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Memos" sheetId="14" state="visible" r:id="rId14"/>
    <sheet name="DailyLog" sheetId="15" state="visible" r:id="rId15"/>
    <sheet name="PT" sheetId="16" state="visible" r:id="rId16"/>
    <sheet name="Medical" sheetId="17" state="visible" r:id="rId17"/>
    <sheet name="Certifications" sheetId="18" state="visible" r:id="rId18"/>
    <sheet name="StateExam" sheetId="19" state="visible" r:id="rId19"/>
    <sheet name="AdvisoryBoard" sheetId="20" state="visible" r:id="rId20"/>
    <sheet name="DismissalLog" sheetId="21" state="visible" r:id="rId21"/>
    <sheet name="ScoresGrid" sheetId="22" state="visible" r:id="rId22"/>
    <sheet name="Ranking" sheetId="23" state="visible" r:id="rId23"/>
    <sheet name="WatchList" sheetId="24" state="visible" r:id="rId24"/>
    <sheet name="CadetProfile" sheetId="25" state="visible" r:id="rId25"/>
    <sheet name="Transcript" sheetId="26" state="visible" r:id="rId26"/>
    <sheet name="GradChecklist" sheetId="27" state="visible" r:id="rId27"/>
    <sheet name="Audit" sheetId="28" state="visible" r:id="rId28"/>
    <sheet name="Addendum" sheetId="29" state="visible" r:id="rId29"/>
    <sheet name="ChapterPacket" sheetId="30" state="visible" r:id="rId30"/>
    <sheet name="ExamSheet" sheetId="31" state="visible" r:id="rId31"/>
    <sheet name="SignIn" sheetId="32" state="visible" r:id="rId32"/>
    <sheet name="EvalSheet" sheetId="33" state="visible" r:id="rId33"/>
    <sheet name="SpellingPrint" sheetId="34" state="visible" r:id="rId34"/>
    <sheet name="WritingHandout" sheetId="35" state="visible" r:id="rId35"/>
    <sheet name="EmailPreview" sheetId="36" state="visible" r:id="rId36"/>
    <sheet name="EmailLog" sheetId="37" state="visible" r:id="rId37"/>
    <sheet name="Settings" sheetId="38" state="visible" r:id="rId38"/>
    <sheet name="Lists" sheetId="39" state="visible" r:id="rId39"/>
    <sheet name="Agencies" sheetId="40" state="visible" r:id="rId40"/>
    <sheet name="Instructors" sheetId="41" state="visible" r:id="rId41"/>
    <sheet name="InstructorBanks" sheetId="42" state="visible" r:id="rId42"/>
    <sheet name="ChapterMaster" sheetId="43" state="visible" r:id="rId43"/>
    <sheet name="ExamMaster" sheetId="44" state="visible" r:id="rId44"/>
    <sheet name="ExamPlan" sheetId="45" state="visible" r:id="rId45"/>
    <sheet name="SkillsMaster" sheetId="46" state="visible" r:id="rId46"/>
    <sheet name="SpellingMaster" sheetId="47" state="visible" r:id="rId47"/>
    <sheet name="WritingMaster" sheetId="48" state="visible" r:id="rId48"/>
    <sheet name="Control" sheetId="49" state="visible" r:id="rId49"/>
    <sheet name="Schedule" sheetId="50" state="visible" r:id="rId50"/>
    <sheet name="sysGrades" sheetId="51" state="visible" r:id="rId51"/>
    <sheet name="sysAttendance" sheetId="52" state="visible" r:id="rId52"/>
    <sheet name="sysSkills" sheetId="53" state="visible" r:id="rId53"/>
    <sheet name="sysIncidents" sheetId="54" state="visible" r:id="rId54"/>
    <sheet name="sysFlags" sheetId="55" state="visible" r:id="rId55"/>
    <sheet name="sysChecks" sheetId="56" state="visible" r:id="rId56"/>
    <sheet name="sysAwards" sheetId="57" state="visible" r:id="rId57"/>
    <sheet name="sysAudit" sheetId="58" state="visible" r:id="rId58"/>
    <sheet name="sysListsHelper" sheetId="59" state="veryHidden" r:id="rId59"/>
    <sheet name="NamedRanges" sheetId="60" state="visible" r:id="rId60"/>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ClassroomCapPct">'Settings'!$C$21</definedName>
    <definedName name="cfgPTCapSessions">'Settings'!$C$22</definedName>
    <definedName name="cfgAttendanceAdvisoryPct">'Settings'!$C$23</definedName>
    <definedName name="cfgAttendanceCriticalPct">'Settings'!$C$24</definedName>
    <definedName name="cfgHomeAgency">'Settings'!$C$25</definedName>
    <definedName name="cfgCurrentExamNum">'Settings'!$C$26</definedName>
    <definedName name="cfgCurrentSpellingNum">'Settings'!$C$27</definedName>
    <definedName name="cfgWritingDueTime">'Settings'!$C$28</definedName>
    <definedName name="cfgPTFinalMinPoints">'Settings'!$C$29</definedName>
    <definedName name="cfgFlagConsecFails">'Settings'!$C$30</definedName>
    <definedName name="cfgFlagGradeDrop">'Settings'!$C$31</definedName>
    <definedName name="cfgFlagCategoryMargin">'Settings'!$C$32</definedName>
    <definedName name="cfgFlagAttendancePct">'Settings'!$C$33</definedName>
    <definedName name="cfgFlagOpenIncidents">'Settings'!$C$34</definedName>
    <definedName name="cfgFlagOverdueWriting">'Settings'!$C$35</definedName>
    <definedName name="cfgClassroomCapMinutes">'Settings'!$C$36</definedName>
    <definedName name="cfgWeightsTotal">'Settings'!$C$37</definedName>
    <definedName name="nrPTRubricEvents">'Settings'!$B$43:$B$49</definedName>
    <definedName name="nrPTRubricPoints">'Settings'!$D$43:$H$49</definedName>
    <definedName name="lstYesNo">'Lists'!$B$6:$B$7</definedName>
    <definedName name="lstCadetStatus">'Lists'!$C$6:$C$9</definedName>
    <definedName name="lstExamType">'Lists'!$D$6:$D$9</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BankTopics">'InstructorBanks'!$B$6:$B$80</definedName>
    <definedName name="nrBankGrid">'InstructorBanks'!$C$6:$L$80</definedName>
    <definedName name="nrBankSel">'InstructorBanks'!$M$6:$V$80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handoutOpt">'ChapterMaster'!$R$6:$R$49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AllRefIDs">'sysListsHelper'!$D$6:$D$1621</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AWfinal">'sysAwards'!$F$6:$F$9</definedName>
    <definedName name="nrAWnames">'sysAwards'!$B$6:$B$9</definedName>
    <definedName name="cfgRequiredHours">'sysAudit'!$H$6</definedName>
    <definedName name="nrAUDstatus">'sysAudit'!$E$6:$E$32</definedName>
    <definedName name="nrAUDcheck">'sysAudit'!$B$6:$B$32</definedName>
    <definedName name="nrSGclassavg">'ScoresGrid'!$D$57:$AB$57</definedName>
    <definedName name="cfgProfileCadet">'CadetProfile'!$C$5</definedName>
    <definedName name="cfgTranscriptCadet">'Transcript'!$C$5</definedName>
    <definedName name="nrPRGitems">'Audit'!$B$43:$B$60</definedName>
    <definedName name="nrPRGmet">'Audit'!$F$43:$F$60</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'ExamScores'!$B$5:$X$5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1" hidden="1">'Incidents'!$B$5:$O$5</definedName>
    <definedName name="_xlnm._FilterDatabase" localSheetId="12" hidden="1">'Counseling'!$B$5:$N$5</definedName>
    <definedName name="_xlnm._FilterDatabase" localSheetId="13" hidden="1">'Memos'!$B$5:$N$5</definedName>
    <definedName name="_xlnm._FilterDatabase" localSheetId="14" hidden="1">'DailyLog'!$B$5:$N$5</definedName>
    <definedName name="_xlnm._FilterDatabase" localSheetId="16" hidden="1">'Medical'!$B$5:$N$5</definedName>
    <definedName name="_xlnm._FilterDatabase" localSheetId="20" hidden="1">'DismissalLog'!$B$5:$O$5</definedName>
    <definedName name="_xlnm.Print_Titles" localSheetId="22">'Ranking'!$5:$5</definedName>
    <definedName name="_xlnm.Print_Area" localSheetId="22">'Ranking'!$B$5:$J$60</definedName>
    <definedName name="_xlnm.Print_Titles" localSheetId="23">'WatchList'!$5:$5</definedName>
    <definedName name="_xlnm.Print_Area" localSheetId="23">'WatchList'!$B$5:$I$60</definedName>
    <definedName name="_xlnm.Print_Area" localSheetId="24">'CadetProfile'!$B$5:$J$86</definedName>
    <definedName name="_xlnm.Print_Area" localSheetId="25">'Transcript'!$B$5:$J$58</definedName>
    <definedName name="_xlnm.Print_Titles" localSheetId="26">'GradChecklist'!$5:$5</definedName>
    <definedName name="_xlnm.Print_Area" localSheetId="26">'GradChecklist'!$B$5:$P$55</definedName>
    <definedName name="_xlnm.Print_Area" localSheetId="27">'Audit'!$B$5:$J$113</definedName>
    <definedName name="_xlnm.Print_Titles" localSheetId="28">'Addendum'!$5:$8</definedName>
    <definedName name="_xlnm.Print_Area" localSheetId="28">'Addendum'!$B$5:$G$60</definedName>
    <definedName name="_xlnm.Print_Area" localSheetId="29">'ChapterPacket'!$B$5:$I$65</definedName>
    <definedName name="_xlnm.Print_Titles" localSheetId="30">'ExamSheet'!$7:$10</definedName>
    <definedName name="_xlnm.Print_Area" localSheetId="30">'ExamSheet'!$B$7:$I$64</definedName>
    <definedName name="_xlnm.Print_Area" localSheetId="31">'SignIn'!$B$5:$H$81</definedName>
    <definedName name="_xlnm.Print_Area" localSheetId="32">'EvalSheet'!$B$7:$H$36</definedName>
    <definedName name="_xlnm.Print_Area" localSheetId="33">'SpellingPrint'!$B$7:$F$26</definedName>
    <definedName name="_xlnm.Print_Area" localSheetId="34">'WritingHandout'!$B$7:$F$19</definedName>
    <definedName name="_xlnm._FilterDatabase" localSheetId="36" hidden="1">'EmailLog'!$B$5:$I$5</definedName>
    <definedName name="_xlnm._FilterDatabase" localSheetId="49" hidden="1">'Schedule'!$B$5:$O$5</definedName>
    <definedName name="_xlnm.Print_Titles" localSheetId="49">'Schedule'!$5:$5</definedName>
    <definedName name="_xlnm.Print_Area" localSheetId="49">'Schedule'!$B$5:$O$905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8">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49" fontId="5" fillId="3" borderId="1" pivotButton="0" quotePrefix="0" xfId="0"/>
    <xf numFmtId="0" fontId="4" fillId="4" borderId="0" pivotButton="0" quotePrefix="0" xfId="0"/>
    <xf numFmtId="164" fontId="4" fillId="4" borderId="0" pivotButton="0" quotePrefix="0" xfId="0"/>
    <xf numFmtId="18" fontId="5" fillId="3"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76</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92</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92"/>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f>IFERROR(_xlfn.TAKE(_xlfn._xlws.FILTER(_xlfn.HSTACK(TEXT(nrSCH_Start,"h:mm AM/PM"),TEXT(nrSCH_End,"h:mm AM/PM"),nrSCH_Act,nrSCH_Instr,nrSCH_Loc),nrSCH_Date=TODAY()),7),"— no schedule entered for today —")</f>
        <v/>
      </c>
      <c r="H11" s="3">
        <f>IFERROR("Training Day #"&amp;_xlfn.XLOOKUP(TODAY(),nrCDdate,nrCDnum)&amp;"  (Week "&amp;_xlfn.XLOOKUP(TODAY(),nrCDdate,nrCDweek)&amp;")","(not a class day)")</f>
        <v/>
      </c>
    </row>
    <row r="12"/>
    <row r="13"/>
    <row r="14"/>
    <row r="15"/>
    <row r="16"/>
    <row r="17"/>
    <row r="18">
      <c r="B18" s="2">
        <f>IF(COUNTIF(nrDL_Date,TODAY())=0,"DailyLog: no entry for today yet","DailyLog: entered ✓")</f>
        <v/>
      </c>
    </row>
    <row r="19"/>
    <row r="20" ht="16" customHeight="1">
      <c r="B20" s="9">
        <f>"TODAY — "&amp;UPPER(TEXT(TODAY(),"dddd, mmmm d"))&amp;IFERROR(" — TRAINING DAY #"&amp;_xlfn.XLOOKUP(TODAY(),nrCDdate,nrCDnum)&amp;", WEEK "&amp;_xlfn.XLOOKUP(TODAY(),nrCDdate,nrCDweek),"")</f>
        <v/>
      </c>
      <c r="C20" s="8" t="n"/>
      <c r="D20" s="8" t="n"/>
      <c r="E20" s="8" t="n"/>
      <c r="F20" s="8" t="n"/>
      <c r="G20" s="8" t="n"/>
      <c r="H20" s="8" t="n"/>
      <c r="I20" s="8" t="n"/>
      <c r="J20" s="8" t="n"/>
      <c r="K20" s="8" t="n"/>
    </row>
    <row r="21">
      <c r="B21">
        <f>IFERROR(_xlfn.TAKE(_xlfn._xlws.FILTER(_xlfn.HSTACK(TEXT(nrSCH_Start,"h:mm AM/PM"),TEXT(nrSCH_End,"h:mm AM/PM"),nrSCH_Act,nrSCH_Instr,nrSCH_Loc),nrSCH_Date=TODAY()),8),"No class scheduled today")</f>
        <v/>
      </c>
    </row>
    <row r="22"/>
    <row r="23"/>
    <row r="24"/>
    <row r="25"/>
    <row r="26"/>
    <row r="27"/>
    <row r="28"/>
    <row r="29">
      <c r="B29" s="4" t="inlineStr">
        <is>
          <t>Separated / total enrolled</t>
        </is>
      </c>
      <c r="C29" s="5" t="n"/>
      <c r="D29" s="4" t="inlineStr">
        <is>
          <t>Class current avg</t>
        </is>
      </c>
      <c r="E29" s="5" t="n"/>
      <c r="F29" s="4" t="inlineStr">
        <is>
          <t>Graduation eligible</t>
        </is>
      </c>
      <c r="G29" s="5" t="n"/>
      <c r="H29" s="4" t="inlineStr">
        <is>
          <t>Flagged cadets</t>
        </is>
      </c>
      <c r="I29" s="5" t="n"/>
      <c r="J29" s="4" t="inlineStr">
        <is>
          <t>Retests overdue / late / undated</t>
        </is>
      </c>
      <c r="K29" s="5" t="n"/>
    </row>
    <row r="30">
      <c r="B30" s="6">
        <f>SUMPRODUCT((nrCadetStatus="Separated")*1)&amp;" / "&amp;SUMPRODUCT((nrCadetStatus&lt;&gt;"")*1)</f>
        <v/>
      </c>
      <c r="C30" s="5" t="n"/>
      <c r="D30" s="6">
        <f>IFERROR(ROUND(AVERAGEIF(nrCadetStatus,"Active",nrGRcurrent),1),"—")</f>
        <v/>
      </c>
      <c r="E30" s="5" t="n"/>
      <c r="F30" s="6">
        <f>SUMPRODUCT((nrCadetStatus="Active")*(nrCKgradElig="Yes"))</f>
        <v/>
      </c>
      <c r="G30" s="5" t="n"/>
      <c r="H30" s="6">
        <f>SUMPRODUCT((nrCadetStatus="Active")*(nrFLcount&gt;0))</f>
        <v/>
      </c>
      <c r="I30" s="5" t="n"/>
      <c r="J30" s="6">
        <f>COUNTIF(nrES_RetStat,"OVERDUE")+COUNTIF(nrES_RetStat,"CHECK DATE")+COUNTIF(nrES_RetStat,"LATE RETEST*")+COUNTIF(nrES_RetStat,"RETEST UNDATED")+COUNTIF(nrES_RetStat,"RETEST DATE UNCHECKED")</f>
        <v/>
      </c>
      <c r="K30" s="5" t="n"/>
    </row>
    <row r="31"/>
    <row r="32">
      <c r="B32" s="4" t="inlineStr">
        <is>
          <t>Spelling interventions</t>
        </is>
      </c>
      <c r="C32" s="5" t="n"/>
      <c r="D32" s="4" t="inlineStr">
        <is>
          <t>Makeup owed (cadets)</t>
        </is>
      </c>
      <c r="E32" s="5" t="n"/>
      <c r="F32" s="4" t="inlineStr">
        <is>
          <t>Delivered hours</t>
        </is>
      </c>
      <c r="G32" s="5" t="n"/>
      <c r="H32" s="4" t="inlineStr">
        <is>
          <t>Audit checks failing</t>
        </is>
      </c>
      <c r="I32" s="5" t="n"/>
      <c r="J32" s="4" t="inlineStr">
        <is>
          <t>Days to graduation</t>
        </is>
      </c>
      <c r="K32" s="5" t="n"/>
      <c r="L32" s="4" t="inlineStr">
        <is>
          <t>Cert copies to collect</t>
        </is>
      </c>
      <c r="M32" s="5" t="n"/>
    </row>
    <row r="33">
      <c r="B33" s="6">
        <f>COUNTIF(nrSpellFlag,"INTERVENTION")</f>
        <v/>
      </c>
      <c r="C33" s="5" t="n"/>
      <c r="D33" s="6">
        <f>SUMPRODUCT((nrCadetStatus="Active")*(nrATTmakeupOK="No"))</f>
        <v/>
      </c>
      <c r="E33" s="5" t="n"/>
      <c r="F33" s="6">
        <f>ROUND(N(nrCHtotalDelivered),0)&amp;" / "&amp;cfgRequiredHours</f>
        <v/>
      </c>
      <c r="G33" s="5" t="n"/>
      <c r="H33" s="6">
        <f>SUMPRODUCT((nrAUDstatus&lt;&gt;"OK")*(nrAUDstatus&lt;&gt;""))</f>
        <v/>
      </c>
      <c r="I33" s="5" t="n"/>
      <c r="J33" s="6">
        <f>MAX(0,cfgEndDate-TODAY())</f>
        <v/>
      </c>
      <c r="K33" s="5" t="n"/>
      <c r="L33" s="6">
        <f>SUMPRODUCT((nrCadetStatus="Active")*(nrCERTmissing&lt;&gt;""))</f>
        <v/>
      </c>
      <c r="M33" s="5" t="n"/>
    </row>
    <row r="34"/>
    <row r="35" ht="16" customHeight="1">
      <c r="B35" s="7" t="inlineStr">
        <is>
          <t>Watch list — highest flag counts first (full list on WatchList)</t>
        </is>
      </c>
      <c r="C35" s="8" t="n"/>
      <c r="D35" s="8" t="n"/>
      <c r="E35" s="8" t="n"/>
      <c r="F35" s="8" t="n"/>
      <c r="G35" s="8" t="n"/>
      <c r="H35" s="8" t="n"/>
      <c r="I35" s="8" t="n"/>
      <c r="J35" s="8" t="n"/>
      <c r="K35" s="8" t="n"/>
    </row>
    <row r="36">
      <c r="B36">
        <f>IFERROR(_xlfn.TAKE(_xlfn.SORTBY(_xlfn._xlws.FILTER(_xlfn.HSTACK(rngCadetNames,nrCadetAgency,nrFLcount,nrFLreasons),(nrFLcount&gt;0)*(nrCadetStatus="Active")),_xlfn._xlws.FILTER(nrFLcount,(nrFLcount&gt;0)*(nrCadetStatus="Active")),-1),11),"No flags — clear")</f>
        <v/>
      </c>
    </row>
    <row r="37"/>
    <row r="38"/>
    <row r="39"/>
    <row r="40"/>
    <row r="41"/>
    <row r="42"/>
    <row r="43"/>
    <row r="44"/>
    <row r="45"/>
    <row r="46"/>
    <row r="47" ht="16" customHeight="1">
      <c r="B47" s="7" t="inlineStr">
        <is>
          <t>Certification reminders — copies to collect from cadets (Certifications sheet)</t>
        </is>
      </c>
      <c r="C47" s="8" t="n"/>
      <c r="D47" s="8" t="n"/>
      <c r="E47" s="8" t="n"/>
      <c r="F47" s="8" t="n"/>
      <c r="G47" s="8" t="n"/>
      <c r="H47" s="8" t="n"/>
      <c r="I47" s="8" t="n"/>
      <c r="J47" s="8" t="n"/>
      <c r="K47" s="8" t="n"/>
    </row>
    <row r="48">
      <c r="B48">
        <f>IFERROR(_xlfn.TAKE(_xlfn._xlws.FILTER(_xlfn.HSTACK(rngCadetNames,nrCadetAgency,nrCERTmissing),(nrCERTmissing&lt;&gt;"")*(nrCadetStatus="Active")),9),"All certification copies collected")</f>
        <v/>
      </c>
    </row>
    <row r="49"/>
    <row r="50"/>
    <row r="51"/>
    <row r="52"/>
    <row r="53"/>
    <row r="54"/>
    <row r="55"/>
    <row r="56"/>
    <row r="57" ht="16" customHeight="1">
      <c r="B57" s="7" t="inlineStr">
        <is>
          <t>Open missed-time events — not yet made up (Attendance ↔ Makeup by EventID)</t>
        </is>
      </c>
      <c r="C57" s="8" t="n"/>
      <c r="D57" s="8" t="n"/>
      <c r="E57" s="8" t="n"/>
      <c r="F57" s="8" t="n"/>
      <c r="G57" s="8" t="n"/>
      <c r="H57" s="8" t="n"/>
      <c r="I57" s="8" t="n"/>
      <c r="J57" s="8" t="n"/>
      <c r="K57" s="8" t="n"/>
    </row>
    <row r="58">
      <c r="B58">
        <f>IFERROR(_xlfn.TAKE(_xlfn.SORTBY(_xlfn._xlws.FILTER(_xlfn.HSTACK(nrAT_ID,Attendance!$D$6:$D$805,TEXT(nrAT_Date,"mm/dd"),Attendance!$G$6:$G$805,Attendance!$H$6:$H$805,nrAT_Balance),(nrAT_Cleared="OPEN")),_xlfn._xlws.FILTER(nrAT_Date,(nrAT_Cleared="OPEN")),-1),9),"All missed time cleared")</f>
        <v/>
      </c>
    </row>
    <row r="59"/>
    <row r="60"/>
    <row r="61"/>
    <row r="62"/>
    <row r="63"/>
    <row r="64"/>
    <row r="65"/>
    <row r="66"/>
    <row r="67" ht="16" customHeight="1">
      <c r="B67" s="7" t="inlineStr">
        <is>
          <t>Outstanding memos (pending / overdue)</t>
        </is>
      </c>
      <c r="C67" s="8" t="n"/>
      <c r="D67" s="8" t="n"/>
      <c r="E67" s="8" t="n"/>
      <c r="F67" s="8" t="n"/>
      <c r="G67" s="8" t="n"/>
      <c r="H67" s="8" t="n"/>
      <c r="I67" s="8" t="n"/>
      <c r="J67" s="8" t="n"/>
      <c r="K67" s="8" t="n"/>
    </row>
    <row r="68">
      <c r="B68">
        <f>IFERROR(_xlfn.TAKE(_xlfn.SORTBY(_xlfn._xlws.FILTER(_xlfn.HSTACK(Memos!$B$6:$B$305,nrME_Cadet,TEXT(nrME_Assigned,"mm/dd"),nrME_Ref,nrME_Subject,TEXT(nrME_Due,"mm/dd"),nrME_Status),(nrME_Cadet&lt;&gt;"")*(nrME_Received="")),_xlfn._xlws.FILTER(nrME_Due,(nrME_Cadet&lt;&gt;"")*(nrME_Received="")),1),8),"No memos outstanding")</f>
        <v/>
      </c>
    </row>
    <row r="69"/>
    <row r="70"/>
    <row r="71"/>
    <row r="72"/>
    <row r="73"/>
    <row r="74"/>
    <row r="75"/>
    <row r="76" ht="16" customHeight="1">
      <c r="B76" s="7" t="inlineStr">
        <is>
          <t>Class average by exam</t>
        </is>
      </c>
      <c r="C76" s="8" t="n"/>
      <c r="D76" s="8" t="n"/>
      <c r="E76" s="8" t="n"/>
      <c r="F76" s="8" t="n"/>
      <c r="G76" s="8" t="n"/>
      <c r="H76" s="8" t="n"/>
      <c r="I76" s="8" t="n"/>
      <c r="J76" s="8" t="n"/>
      <c r="K76" s="8" t="n"/>
    </row>
    <row r="77"/>
    <row r="78"/>
    <row r="79"/>
    <row r="80"/>
    <row r="81"/>
    <row r="82"/>
    <row r="83"/>
    <row r="84"/>
    <row r="85"/>
    <row r="86"/>
    <row r="87"/>
    <row r="88"/>
    <row r="89"/>
    <row r="90"/>
    <row r="91"/>
    <row r="92" ht="16" customHeight="1">
      <c r="B92" s="7" t="inlineStr">
        <is>
          <t>Spelling class average by test</t>
        </is>
      </c>
      <c r="C92" s="8" t="n"/>
      <c r="D92" s="8" t="n"/>
      <c r="E92" s="8" t="n"/>
      <c r="F92" s="8" t="n"/>
      <c r="G92" s="8" t="n"/>
      <c r="H92" s="8" t="n"/>
      <c r="I92" s="8" t="n"/>
      <c r="J92" s="8" t="n"/>
      <c r="K92" s="8" t="n"/>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J29:K29"/>
    <mergeCell ref="B7:C7"/>
    <mergeCell ref="F29:G29"/>
    <mergeCell ref="H29:I29"/>
    <mergeCell ref="L32:M32"/>
    <mergeCell ref="B92:K92"/>
    <mergeCell ref="F7:G7"/>
    <mergeCell ref="B76:K76"/>
    <mergeCell ref="J30:K30"/>
    <mergeCell ref="F30:G30"/>
    <mergeCell ref="B35:K35"/>
    <mergeCell ref="F33:G33"/>
    <mergeCell ref="L33:M33"/>
    <mergeCell ref="J8:K8"/>
    <mergeCell ref="D32:E32"/>
    <mergeCell ref="F32:G32"/>
    <mergeCell ref="B47:K47"/>
    <mergeCell ref="B8:C8"/>
    <mergeCell ref="F8:G8"/>
    <mergeCell ref="D7:E7"/>
    <mergeCell ref="B29:C29"/>
    <mergeCell ref="H32:I32"/>
    <mergeCell ref="H7:I7"/>
    <mergeCell ref="J32:K32"/>
    <mergeCell ref="J7:K7"/>
    <mergeCell ref="D8:E8"/>
    <mergeCell ref="B67:K67"/>
    <mergeCell ref="B30:C30"/>
    <mergeCell ref="B57:K57"/>
    <mergeCell ref="D30:E30"/>
    <mergeCell ref="B33:C33"/>
    <mergeCell ref="D33:E33"/>
    <mergeCell ref="D29:E29"/>
    <mergeCell ref="H33:I33"/>
    <mergeCell ref="J33:K33"/>
    <mergeCell ref="B32:C32"/>
    <mergeCell ref="H8:I8"/>
    <mergeCell ref="B10:K10"/>
    <mergeCell ref="H30:I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white boxes with a blue border are yours to type (your entries show in blue),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2"/>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White boxes with a blue border are yours to type (what you type shows in blue); gray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 'Agency Notified?' = Yes puts it in the next email digest.</t>
        </is>
      </c>
    </row>
    <row r="30" ht="26" customHeight="1">
      <c r="B30" s="3">
        <f>HYPERLINK("#Memos!B6","Memos")</f>
        <v/>
      </c>
      <c r="C30" s="13" t="inlineStr">
        <is>
          <t>Deficiency memos: assign, link to the I/A/C record, due auto-computes, mark received. 'Report to Agency?' is your call.</t>
        </is>
      </c>
    </row>
    <row r="31" ht="26" customHeight="1">
      <c r="B31" s="3">
        <f>HYPERLINK("#DailyLog!B6","DailyLog")</f>
        <v/>
      </c>
      <c r="C31" s="13" t="inlineStr">
        <is>
          <t>One row per training day — the digital daily report. Counters compute; mark when the leader's signed report is scanned.</t>
        </is>
      </c>
    </row>
    <row r="32" ht="26" customHeight="1">
      <c r="B32" s="3">
        <f>HYPERLINK("#PT!B6","PT")</f>
        <v/>
      </c>
      <c r="C32" s="13" t="inlineStr">
        <is>
          <t>Baseline and final raw values per event; final points once the rubric arrives.</t>
        </is>
      </c>
    </row>
    <row r="33" ht="26" customHeight="1">
      <c r="B33" s="3">
        <f>HYPERLINK("#Medical!B6","Medical")</f>
        <v/>
      </c>
      <c r="C33" s="13" t="inlineStr">
        <is>
          <t>Injuries, restrictions, clearances and expirations.</t>
        </is>
      </c>
    </row>
    <row r="34" ht="26" customHeight="1">
      <c r="B34" s="3">
        <f>HYPERLINK("#Certifications!B6","Certifications")</f>
        <v/>
      </c>
      <c r="C34" s="13" t="inlineStr">
        <is>
          <t>Per-cadet TIM/SFST/TCIC/CPR/ALERRT/ICS completion dates and certificate copies collected.</t>
        </is>
      </c>
    </row>
    <row r="35" ht="26" customHeight="1">
      <c r="B35" s="3">
        <f>HYPERLINK("#StateExam!B6","StateExam")</f>
        <v/>
      </c>
      <c r="C35" s="13" t="inlineStr">
        <is>
          <t>TCOLE licensing exam attempts and results (3 max).</t>
        </is>
      </c>
    </row>
    <row r="36" ht="26" customHeight="1">
      <c r="B36" s="3">
        <f>HYPERLINK("#DismissalLog!B6","DismissalLog")</f>
        <v/>
      </c>
      <c r="C36" s="13" t="inlineStr">
        <is>
          <t>Formal reviews: trigger, decision, approvals.</t>
        </is>
      </c>
    </row>
    <row r="37" ht="26" customHeight="1">
      <c r="B37" s="3">
        <f>HYPERLINK("#AdvisoryBoard!B6","AdvisoryBoard")</f>
        <v/>
      </c>
      <c r="C37" s="13" t="inlineStr">
        <is>
          <t>Governance: this academy's alignment record (policy version, minutes reviewed, workbook aligned) + the running board-meeting list with minutes folder locations. The Startup Review button fills it.</t>
        </is>
      </c>
    </row>
    <row r="38" ht="16" customHeight="1">
      <c r="B38" s="7" t="inlineStr">
        <is>
          <t>End of academy / as needed</t>
        </is>
      </c>
      <c r="C38" s="8" t="n"/>
      <c r="D38" s="8" t="n"/>
      <c r="E38" s="8" t="n"/>
      <c r="F38" s="8" t="n"/>
      <c r="G38" s="8" t="n"/>
      <c r="H38" s="8" t="n"/>
    </row>
    <row r="39" ht="26" customHeight="1">
      <c r="B39" s="3">
        <f>HYPERLINK("#Audit!B6","Audit")</f>
        <v/>
      </c>
      <c r="C39" s="13" t="inlineStr">
        <is>
          <t>Program-requirement checklist answers + per-cadet enrollment documents grid.</t>
        </is>
      </c>
    </row>
    <row r="40" ht="26" customHeight="1">
      <c r="B40" s="3">
        <f>HYPERLINK("#EmailPreview!B6","EmailPreview")</f>
        <v/>
      </c>
      <c r="C40" s="13" t="inlineStr">
        <is>
          <t>Pick an agency to preview its email; the button builds Outlook drafts.</t>
        </is>
      </c>
    </row>
    <row r="41" ht="26" customHeight="1">
      <c r="B41" s="3">
        <f>HYPERLINK("#sysAwards!B6","sysAwards")</f>
        <v/>
      </c>
      <c r="C41" s="13" t="inlineStr">
        <is>
          <t>Award override cells — your pick always wins.</t>
        </is>
      </c>
    </row>
    <row r="42" ht="26" customHeight="1">
      <c r="B42" s="3">
        <f>HYPERLINK("#PrintCenter!B6","PrintCenter")</f>
        <v/>
      </c>
      <c r="C42"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7">
    <mergeCell ref="C25:H25"/>
    <mergeCell ref="C10:H10"/>
    <mergeCell ref="C16:H16"/>
    <mergeCell ref="C41:H41"/>
    <mergeCell ref="C22:H22"/>
    <mergeCell ref="C40:H40"/>
    <mergeCell ref="C9:H9"/>
    <mergeCell ref="C31:H31"/>
    <mergeCell ref="B6:H6"/>
    <mergeCell ref="C12:H12"/>
    <mergeCell ref="B20:H20"/>
    <mergeCell ref="C21:H21"/>
    <mergeCell ref="C11:H11"/>
    <mergeCell ref="C36:H36"/>
    <mergeCell ref="C27:H27"/>
    <mergeCell ref="C23:H23"/>
    <mergeCell ref="C39:H39"/>
    <mergeCell ref="C8:H8"/>
    <mergeCell ref="C17:H17"/>
    <mergeCell ref="C7:H7"/>
    <mergeCell ref="C32:H32"/>
    <mergeCell ref="C19:H19"/>
    <mergeCell ref="C28:H28"/>
    <mergeCell ref="C13:H13"/>
    <mergeCell ref="C37:H37"/>
    <mergeCell ref="C18:H18"/>
    <mergeCell ref="C34:H34"/>
    <mergeCell ref="C30:H30"/>
    <mergeCell ref="C15:H15"/>
    <mergeCell ref="C33:H33"/>
    <mergeCell ref="C24:H24"/>
    <mergeCell ref="C42:H42"/>
    <mergeCell ref="C14:H14"/>
    <mergeCell ref="B38:H38"/>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X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or an attempt 2 with no attempt 1 on file each distort the category average.</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IF($C6="","",IF($K6="","",IF(COUNTIFS(nrES_PID,$D6,nrES_Code,$F6,nrES_Att,"&gt;"&amp;$K6,nrES_Raw,"&gt;=0")=0,"Yes","No")))</f>
        <v/>
      </c>
      <c r="Q6" s="17">
        <f>IF($C6="","",IF($L6="","",IF(AND($K6=1,ISNUMBER($L6),$L6&lt;$J6,COUNTIFS(nrES_PID,$D6,nrES_Code,$F6,nrES_Att,2,nrES_Raw,"&gt;=0")=0),"Yes","No")))</f>
        <v/>
      </c>
      <c r="R6" s="17">
        <f>IF($C6="","",IF($L6="","",IF(AND($K6=2,ISNUMBER($L6),$L6&lt;$J6),"Yes","No")))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IF(OR($C6="",$L6="",$K6&lt;&gt;1,NOT(ISNUMBER($L6)),$L6&gt;=$J6),"",IF(COUNTIFS(nrES_PID,$D6,nrES_Code,$F6,nrES_Att,2,nrES_Raw,"&gt;=0")&gt;0,IF(IFERROR(_xlfn.MINIFS(nrES_Date,nrES_PID,$D6,nrES_Code,$F6,nrES_Att,2,nrES_Raw,"&gt;=0",nrES_Date,"&gt;0"),0)=0,"RETEST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RANGE",IF(COUNTIF(nrES_RecID,$B6)&gt;1,"DUPLICATE RECORD",IF(AND($K6=2,COUNTIFS(nrES_PID,$D6,nrES_Code,$F6,nrES_Att,1)=0),"ATTEMPT 2 WITHOUT ATTEMPT 1",IF(AND($K6=2,$L6=""),"RETEST ROW HAS NO SCORE",IF(AND($H6="Final",$L6&lt;&gt;"",IFERROR(INDEX(nrCKfinalExamElig,MATCH($D6,rngCadetPIDs,0)),"")="No"),"FINAL EXAM AFTER FAILED FINAL PT (500.1.H)","OK")))))))</f>
        <v/>
      </c>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IF($C7="","",IF($K7="","",IF(COUNTIFS(nrES_PID,$D7,nrES_Code,$F7,nrES_Att,"&gt;"&amp;$K7,nrES_Raw,"&gt;=0")=0,"Yes","No")))</f>
        <v/>
      </c>
      <c r="Q7" s="17">
        <f>IF($C7="","",IF($L7="","",IF(AND($K7=1,ISNUMBER($L7),$L7&lt;$J7,COUNTIFS(nrES_PID,$D7,nrES_Code,$F7,nrES_Att,2,nrES_Raw,"&gt;=0")=0),"Yes","No")))</f>
        <v/>
      </c>
      <c r="R7" s="17">
        <f>IF($C7="","",IF($L7="","",IF(AND($K7=2,ISNUMBER($L7),$L7&lt;$J7),"Yes","No")))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IF(OR($C7="",$L7="",$K7&lt;&gt;1,NOT(ISNUMBER($L7)),$L7&gt;=$J7),"",IF(COUNTIFS(nrES_PID,$D7,nrES_Code,$F7,nrES_Att,2,nrES_Raw,"&gt;=0")&gt;0,IF(IFERROR(_xlfn.MINIFS(nrES_Date,nrES_PID,$D7,nrES_Code,$F7,nrES_Att,2,nrES_Raw,"&gt;=0",nrES_Date,"&gt;0"),0)=0,"RETEST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RANGE",IF(COUNTIF(nrES_RecID,$B7)&gt;1,"DUPLICATE RECORD",IF(AND($K7=2,COUNTIFS(nrES_PID,$D7,nrES_Code,$F7,nrES_Att,1)=0),"ATTEMPT 2 WITHOUT ATTEMPT 1",IF(AND($K7=2,$L7=""),"RETEST ROW HAS NO SCORE",IF(AND($H7="Final",$L7&lt;&gt;"",IFERROR(INDEX(nrCKfinalExamElig,MATCH($D7,rngCadetPIDs,0)),"")="No"),"FINAL EXAM AFTER FAILED FINAL PT (500.1.H)","OK")))))))</f>
        <v/>
      </c>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IF($C8="","",IF($K8="","",IF(COUNTIFS(nrES_PID,$D8,nrES_Code,$F8,nrES_Att,"&gt;"&amp;$K8,nrES_Raw,"&gt;=0")=0,"Yes","No")))</f>
        <v/>
      </c>
      <c r="Q8" s="17">
        <f>IF($C8="","",IF($L8="","",IF(AND($K8=1,ISNUMBER($L8),$L8&lt;$J8,COUNTIFS(nrES_PID,$D8,nrES_Code,$F8,nrES_Att,2,nrES_Raw,"&gt;=0")=0),"Yes","No")))</f>
        <v/>
      </c>
      <c r="R8" s="17">
        <f>IF($C8="","",IF($L8="","",IF(AND($K8=2,ISNUMBER($L8),$L8&lt;$J8),"Yes","No")))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IF(OR($C8="",$L8="",$K8&lt;&gt;1,NOT(ISNUMBER($L8)),$L8&gt;=$J8),"",IF(COUNTIFS(nrES_PID,$D8,nrES_Code,$F8,nrES_Att,2,nrES_Raw,"&gt;=0")&gt;0,IF(IFERROR(_xlfn.MINIFS(nrES_Date,nrES_PID,$D8,nrES_Code,$F8,nrES_Att,2,nrES_Raw,"&gt;=0",nrES_Date,"&gt;0"),0)=0,"RETEST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RANGE",IF(COUNTIF(nrES_RecID,$B8)&gt;1,"DUPLICATE RECORD",IF(AND($K8=2,COUNTIFS(nrES_PID,$D8,nrES_Code,$F8,nrES_Att,1)=0),"ATTEMPT 2 WITHOUT ATTEMPT 1",IF(AND($K8=2,$L8=""),"RETEST ROW HAS NO SCORE",IF(AND($H8="Final",$L8&lt;&gt;"",IFERROR(INDEX(nrCKfinalExamElig,MATCH($D8,rngCadetPIDs,0)),"")="No"),"FINAL EXAM AFTER FAILED FINAL PT (500.1.H)","OK")))))))</f>
        <v/>
      </c>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IF($C9="","",IF($K9="","",IF(COUNTIFS(nrES_PID,$D9,nrES_Code,$F9,nrES_Att,"&gt;"&amp;$K9,nrES_Raw,"&gt;=0")=0,"Yes","No")))</f>
        <v/>
      </c>
      <c r="Q9" s="17">
        <f>IF($C9="","",IF($L9="","",IF(AND($K9=1,ISNUMBER($L9),$L9&lt;$J9,COUNTIFS(nrES_PID,$D9,nrES_Code,$F9,nrES_Att,2,nrES_Raw,"&gt;=0")=0),"Yes","No")))</f>
        <v/>
      </c>
      <c r="R9" s="17">
        <f>IF($C9="","",IF($L9="","",IF(AND($K9=2,ISNUMBER($L9),$L9&lt;$J9),"Yes","No")))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IF(OR($C9="",$L9="",$K9&lt;&gt;1,NOT(ISNUMBER($L9)),$L9&gt;=$J9),"",IF(COUNTIFS(nrES_PID,$D9,nrES_Code,$F9,nrES_Att,2,nrES_Raw,"&gt;=0")&gt;0,IF(IFERROR(_xlfn.MINIFS(nrES_Date,nrES_PID,$D9,nrES_Code,$F9,nrES_Att,2,nrES_Raw,"&gt;=0",nrES_Date,"&gt;0"),0)=0,"RETEST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RANGE",IF(COUNTIF(nrES_RecID,$B9)&gt;1,"DUPLICATE RECORD",IF(AND($K9=2,COUNTIFS(nrES_PID,$D9,nrES_Code,$F9,nrES_Att,1)=0),"ATTEMPT 2 WITHOUT ATTEMPT 1",IF(AND($K9=2,$L9=""),"RETEST ROW HAS NO SCORE",IF(AND($H9="Final",$L9&lt;&gt;"",IFERROR(INDEX(nrCKfinalExamElig,MATCH($D9,rngCadetPIDs,0)),"")="No"),"FINAL EXAM AFTER FAILED FINAL PT (500.1.H)","OK")))))))</f>
        <v/>
      </c>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IF($C10="","",IF($K10="","",IF(COUNTIFS(nrES_PID,$D10,nrES_Code,$F10,nrES_Att,"&gt;"&amp;$K10,nrES_Raw,"&gt;=0")=0,"Yes","No")))</f>
        <v/>
      </c>
      <c r="Q10" s="17">
        <f>IF($C10="","",IF($L10="","",IF(AND($K10=1,ISNUMBER($L10),$L10&lt;$J10,COUNTIFS(nrES_PID,$D10,nrES_Code,$F10,nrES_Att,2,nrES_Raw,"&gt;=0")=0),"Yes","No")))</f>
        <v/>
      </c>
      <c r="R10" s="17">
        <f>IF($C10="","",IF($L10="","",IF(AND($K10=2,ISNUMBER($L10),$L10&lt;$J10),"Yes","No")))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IF(OR($C10="",$L10="",$K10&lt;&gt;1,NOT(ISNUMBER($L10)),$L10&gt;=$J10),"",IF(COUNTIFS(nrES_PID,$D10,nrES_Code,$F10,nrES_Att,2,nrES_Raw,"&gt;=0")&gt;0,IF(IFERROR(_xlfn.MINIFS(nrES_Date,nrES_PID,$D10,nrES_Code,$F10,nrES_Att,2,nrES_Raw,"&gt;=0",nrES_Date,"&gt;0"),0)=0,"RETEST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RANGE",IF(COUNTIF(nrES_RecID,$B10)&gt;1,"DUPLICATE RECORD",IF(AND($K10=2,COUNTIFS(nrES_PID,$D10,nrES_Code,$F10,nrES_Att,1)=0),"ATTEMPT 2 WITHOUT ATTEMPT 1",IF(AND($K10=2,$L10=""),"RETEST ROW HAS NO SCORE",IF(AND($H10="Final",$L10&lt;&gt;"",IFERROR(INDEX(nrCKfinalExamElig,MATCH($D10,rngCadetPIDs,0)),"")="No"),"FINAL EXAM AFTER FAILED FINAL PT (500.1.H)","OK")))))))</f>
        <v/>
      </c>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IF($C11="","",IF($K11="","",IF(COUNTIFS(nrES_PID,$D11,nrES_Code,$F11,nrES_Att,"&gt;"&amp;$K11,nrES_Raw,"&gt;=0")=0,"Yes","No")))</f>
        <v/>
      </c>
      <c r="Q11" s="17">
        <f>IF($C11="","",IF($L11="","",IF(AND($K11=1,ISNUMBER($L11),$L11&lt;$J11,COUNTIFS(nrES_PID,$D11,nrES_Code,$F11,nrES_Att,2,nrES_Raw,"&gt;=0")=0),"Yes","No")))</f>
        <v/>
      </c>
      <c r="R11" s="17">
        <f>IF($C11="","",IF($L11="","",IF(AND($K11=2,ISNUMBER($L11),$L11&lt;$J11),"Yes","No")))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IF(OR($C11="",$L11="",$K11&lt;&gt;1,NOT(ISNUMBER($L11)),$L11&gt;=$J11),"",IF(COUNTIFS(nrES_PID,$D11,nrES_Code,$F11,nrES_Att,2,nrES_Raw,"&gt;=0")&gt;0,IF(IFERROR(_xlfn.MINIFS(nrES_Date,nrES_PID,$D11,nrES_Code,$F11,nrES_Att,2,nrES_Raw,"&gt;=0",nrES_Date,"&gt;0"),0)=0,"RETEST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RANGE",IF(COUNTIF(nrES_RecID,$B11)&gt;1,"DUPLICATE RECORD",IF(AND($K11=2,COUNTIFS(nrES_PID,$D11,nrES_Code,$F11,nrES_Att,1)=0),"ATTEMPT 2 WITHOUT ATTEMPT 1",IF(AND($K11=2,$L11=""),"RETEST ROW HAS NO SCORE",IF(AND($H11="Final",$L11&lt;&gt;"",IFERROR(INDEX(nrCKfinalExamElig,MATCH($D11,rngCadetPIDs,0)),"")="No"),"FINAL EXAM AFTER FAILED FINAL PT (500.1.H)","OK")))))))</f>
        <v/>
      </c>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IF($C12="","",IF($K12="","",IF(COUNTIFS(nrES_PID,$D12,nrES_Code,$F12,nrES_Att,"&gt;"&amp;$K12,nrES_Raw,"&gt;=0")=0,"Yes","No")))</f>
        <v/>
      </c>
      <c r="Q12" s="17">
        <f>IF($C12="","",IF($L12="","",IF(AND($K12=1,ISNUMBER($L12),$L12&lt;$J12,COUNTIFS(nrES_PID,$D12,nrES_Code,$F12,nrES_Att,2,nrES_Raw,"&gt;=0")=0),"Yes","No")))</f>
        <v/>
      </c>
      <c r="R12" s="17">
        <f>IF($C12="","",IF($L12="","",IF(AND($K12=2,ISNUMBER($L12),$L12&lt;$J12),"Yes","No")))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IF(OR($C12="",$L12="",$K12&lt;&gt;1,NOT(ISNUMBER($L12)),$L12&gt;=$J12),"",IF(COUNTIFS(nrES_PID,$D12,nrES_Code,$F12,nrES_Att,2,nrES_Raw,"&gt;=0")&gt;0,IF(IFERROR(_xlfn.MINIFS(nrES_Date,nrES_PID,$D12,nrES_Code,$F12,nrES_Att,2,nrES_Raw,"&gt;=0",nrES_Date,"&gt;0"),0)=0,"RETEST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RANGE",IF(COUNTIF(nrES_RecID,$B12)&gt;1,"DUPLICATE RECORD",IF(AND($K12=2,COUNTIFS(nrES_PID,$D12,nrES_Code,$F12,nrES_Att,1)=0),"ATTEMPT 2 WITHOUT ATTEMPT 1",IF(AND($K12=2,$L12=""),"RETEST ROW HAS NO SCORE",IF(AND($H12="Final",$L12&lt;&gt;"",IFERROR(INDEX(nrCKfinalExamElig,MATCH($D12,rngCadetPIDs,0)),"")="No"),"FINAL EXAM AFTER FAILED FINAL PT (500.1.H)","OK")))))))</f>
        <v/>
      </c>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IF($C13="","",IF($K13="","",IF(COUNTIFS(nrES_PID,$D13,nrES_Code,$F13,nrES_Att,"&gt;"&amp;$K13,nrES_Raw,"&gt;=0")=0,"Yes","No")))</f>
        <v/>
      </c>
      <c r="Q13" s="17">
        <f>IF($C13="","",IF($L13="","",IF(AND($K13=1,ISNUMBER($L13),$L13&lt;$J13,COUNTIFS(nrES_PID,$D13,nrES_Code,$F13,nrES_Att,2,nrES_Raw,"&gt;=0")=0),"Yes","No")))</f>
        <v/>
      </c>
      <c r="R13" s="17">
        <f>IF($C13="","",IF($L13="","",IF(AND($K13=2,ISNUMBER($L13),$L13&lt;$J13),"Yes","No")))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IF(OR($C13="",$L13="",$K13&lt;&gt;1,NOT(ISNUMBER($L13)),$L13&gt;=$J13),"",IF(COUNTIFS(nrES_PID,$D13,nrES_Code,$F13,nrES_Att,2,nrES_Raw,"&gt;=0")&gt;0,IF(IFERROR(_xlfn.MINIFS(nrES_Date,nrES_PID,$D13,nrES_Code,$F13,nrES_Att,2,nrES_Raw,"&gt;=0",nrES_Date,"&gt;0"),0)=0,"RETEST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RANGE",IF(COUNTIF(nrES_RecID,$B13)&gt;1,"DUPLICATE RECORD",IF(AND($K13=2,COUNTIFS(nrES_PID,$D13,nrES_Code,$F13,nrES_Att,1)=0),"ATTEMPT 2 WITHOUT ATTEMPT 1",IF(AND($K13=2,$L13=""),"RETEST ROW HAS NO SCORE",IF(AND($H13="Final",$L13&lt;&gt;"",IFERROR(INDEX(nrCKfinalExamElig,MATCH($D13,rngCadetPIDs,0)),"")="No"),"FINAL EXAM AFTER FAILED FINAL PT (500.1.H)","OK")))))))</f>
        <v/>
      </c>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IF($C14="","",IF($K14="","",IF(COUNTIFS(nrES_PID,$D14,nrES_Code,$F14,nrES_Att,"&gt;"&amp;$K14,nrES_Raw,"&gt;=0")=0,"Yes","No")))</f>
        <v/>
      </c>
      <c r="Q14" s="17">
        <f>IF($C14="","",IF($L14="","",IF(AND($K14=1,ISNUMBER($L14),$L14&lt;$J14,COUNTIFS(nrES_PID,$D14,nrES_Code,$F14,nrES_Att,2,nrES_Raw,"&gt;=0")=0),"Yes","No")))</f>
        <v/>
      </c>
      <c r="R14" s="17">
        <f>IF($C14="","",IF($L14="","",IF(AND($K14=2,ISNUMBER($L14),$L14&lt;$J14),"Yes","No")))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IF(OR($C14="",$L14="",$K14&lt;&gt;1,NOT(ISNUMBER($L14)),$L14&gt;=$J14),"",IF(COUNTIFS(nrES_PID,$D14,nrES_Code,$F14,nrES_Att,2,nrES_Raw,"&gt;=0")&gt;0,IF(IFERROR(_xlfn.MINIFS(nrES_Date,nrES_PID,$D14,nrES_Code,$F14,nrES_Att,2,nrES_Raw,"&gt;=0",nrES_Date,"&gt;0"),0)=0,"RETEST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RANGE",IF(COUNTIF(nrES_RecID,$B14)&gt;1,"DUPLICATE RECORD",IF(AND($K14=2,COUNTIFS(nrES_PID,$D14,nrES_Code,$F14,nrES_Att,1)=0),"ATTEMPT 2 WITHOUT ATTEMPT 1",IF(AND($K14=2,$L14=""),"RETEST ROW HAS NO SCORE",IF(AND($H14="Final",$L14&lt;&gt;"",IFERROR(INDEX(nrCKfinalExamElig,MATCH($D14,rngCadetPIDs,0)),"")="No"),"FINAL EXAM AFTER FAILED FINAL PT (500.1.H)","OK")))))))</f>
        <v/>
      </c>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IF($C15="","",IF($K15="","",IF(COUNTIFS(nrES_PID,$D15,nrES_Code,$F15,nrES_Att,"&gt;"&amp;$K15,nrES_Raw,"&gt;=0")=0,"Yes","No")))</f>
        <v/>
      </c>
      <c r="Q15" s="17">
        <f>IF($C15="","",IF($L15="","",IF(AND($K15=1,ISNUMBER($L15),$L15&lt;$J15,COUNTIFS(nrES_PID,$D15,nrES_Code,$F15,nrES_Att,2,nrES_Raw,"&gt;=0")=0),"Yes","No")))</f>
        <v/>
      </c>
      <c r="R15" s="17">
        <f>IF($C15="","",IF($L15="","",IF(AND($K15=2,ISNUMBER($L15),$L15&lt;$J15),"Yes","No")))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IF(OR($C15="",$L15="",$K15&lt;&gt;1,NOT(ISNUMBER($L15)),$L15&gt;=$J15),"",IF(COUNTIFS(nrES_PID,$D15,nrES_Code,$F15,nrES_Att,2,nrES_Raw,"&gt;=0")&gt;0,IF(IFERROR(_xlfn.MINIFS(nrES_Date,nrES_PID,$D15,nrES_Code,$F15,nrES_Att,2,nrES_Raw,"&gt;=0",nrES_Date,"&gt;0"),0)=0,"RETEST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RANGE",IF(COUNTIF(nrES_RecID,$B15)&gt;1,"DUPLICATE RECORD",IF(AND($K15=2,COUNTIFS(nrES_PID,$D15,nrES_Code,$F15,nrES_Att,1)=0),"ATTEMPT 2 WITHOUT ATTEMPT 1",IF(AND($K15=2,$L15=""),"RETEST ROW HAS NO SCORE",IF(AND($H15="Final",$L15&lt;&gt;"",IFERROR(INDEX(nrCKfinalExamElig,MATCH($D15,rngCadetPIDs,0)),"")="No"),"FINAL EXAM AFTER FAILED FINAL PT (500.1.H)","OK")))))))</f>
        <v/>
      </c>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IF($C16="","",IF($K16="","",IF(COUNTIFS(nrES_PID,$D16,nrES_Code,$F16,nrES_Att,"&gt;"&amp;$K16,nrES_Raw,"&gt;=0")=0,"Yes","No")))</f>
        <v/>
      </c>
      <c r="Q16" s="17">
        <f>IF($C16="","",IF($L16="","",IF(AND($K16=1,ISNUMBER($L16),$L16&lt;$J16,COUNTIFS(nrES_PID,$D16,nrES_Code,$F16,nrES_Att,2,nrES_Raw,"&gt;=0")=0),"Yes","No")))</f>
        <v/>
      </c>
      <c r="R16" s="17">
        <f>IF($C16="","",IF($L16="","",IF(AND($K16=2,ISNUMBER($L16),$L16&lt;$J16),"Yes","No")))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IF(OR($C16="",$L16="",$K16&lt;&gt;1,NOT(ISNUMBER($L16)),$L16&gt;=$J16),"",IF(COUNTIFS(nrES_PID,$D16,nrES_Code,$F16,nrES_Att,2,nrES_Raw,"&gt;=0")&gt;0,IF(IFERROR(_xlfn.MINIFS(nrES_Date,nrES_PID,$D16,nrES_Code,$F16,nrES_Att,2,nrES_Raw,"&gt;=0",nrES_Date,"&gt;0"),0)=0,"RETEST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RANGE",IF(COUNTIF(nrES_RecID,$B16)&gt;1,"DUPLICATE RECORD",IF(AND($K16=2,COUNTIFS(nrES_PID,$D16,nrES_Code,$F16,nrES_Att,1)=0),"ATTEMPT 2 WITHOUT ATTEMPT 1",IF(AND($K16=2,$L16=""),"RETEST ROW HAS NO SCORE",IF(AND($H16="Final",$L16&lt;&gt;"",IFERROR(INDEX(nrCKfinalExamElig,MATCH($D16,rngCadetPIDs,0)),"")="No"),"FINAL EXAM AFTER FAILED FINAL PT (500.1.H)","OK")))))))</f>
        <v/>
      </c>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IF($C17="","",IF($K17="","",IF(COUNTIFS(nrES_PID,$D17,nrES_Code,$F17,nrES_Att,"&gt;"&amp;$K17,nrES_Raw,"&gt;=0")=0,"Yes","No")))</f>
        <v/>
      </c>
      <c r="Q17" s="17">
        <f>IF($C17="","",IF($L17="","",IF(AND($K17=1,ISNUMBER($L17),$L17&lt;$J17,COUNTIFS(nrES_PID,$D17,nrES_Code,$F17,nrES_Att,2,nrES_Raw,"&gt;=0")=0),"Yes","No")))</f>
        <v/>
      </c>
      <c r="R17" s="17">
        <f>IF($C17="","",IF($L17="","",IF(AND($K17=2,ISNUMBER($L17),$L17&lt;$J17),"Yes","No")))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IF(OR($C17="",$L17="",$K17&lt;&gt;1,NOT(ISNUMBER($L17)),$L17&gt;=$J17),"",IF(COUNTIFS(nrES_PID,$D17,nrES_Code,$F17,nrES_Att,2,nrES_Raw,"&gt;=0")&gt;0,IF(IFERROR(_xlfn.MINIFS(nrES_Date,nrES_PID,$D17,nrES_Code,$F17,nrES_Att,2,nrES_Raw,"&gt;=0",nrES_Date,"&gt;0"),0)=0,"RETEST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RANGE",IF(COUNTIF(nrES_RecID,$B17)&gt;1,"DUPLICATE RECORD",IF(AND($K17=2,COUNTIFS(nrES_PID,$D17,nrES_Code,$F17,nrES_Att,1)=0),"ATTEMPT 2 WITHOUT ATTEMPT 1",IF(AND($K17=2,$L17=""),"RETEST ROW HAS NO SCORE",IF(AND($H17="Final",$L17&lt;&gt;"",IFERROR(INDEX(nrCKfinalExamElig,MATCH($D17,rngCadetPIDs,0)),"")="No"),"FINAL EXAM AFTER FAILED FINAL PT (500.1.H)","OK")))))))</f>
        <v/>
      </c>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IF($C18="","",IF($K18="","",IF(COUNTIFS(nrES_PID,$D18,nrES_Code,$F18,nrES_Att,"&gt;"&amp;$K18,nrES_Raw,"&gt;=0")=0,"Yes","No")))</f>
        <v/>
      </c>
      <c r="Q18" s="17">
        <f>IF($C18="","",IF($L18="","",IF(AND($K18=1,ISNUMBER($L18),$L18&lt;$J18,COUNTIFS(nrES_PID,$D18,nrES_Code,$F18,nrES_Att,2,nrES_Raw,"&gt;=0")=0),"Yes","No")))</f>
        <v/>
      </c>
      <c r="R18" s="17">
        <f>IF($C18="","",IF($L18="","",IF(AND($K18=2,ISNUMBER($L18),$L18&lt;$J18),"Yes","No")))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IF(OR($C18="",$L18="",$K18&lt;&gt;1,NOT(ISNUMBER($L18)),$L18&gt;=$J18),"",IF(COUNTIFS(nrES_PID,$D18,nrES_Code,$F18,nrES_Att,2,nrES_Raw,"&gt;=0")&gt;0,IF(IFERROR(_xlfn.MINIFS(nrES_Date,nrES_PID,$D18,nrES_Code,$F18,nrES_Att,2,nrES_Raw,"&gt;=0",nrES_Date,"&gt;0"),0)=0,"RETEST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RANGE",IF(COUNTIF(nrES_RecID,$B18)&gt;1,"DUPLICATE RECORD",IF(AND($K18=2,COUNTIFS(nrES_PID,$D18,nrES_Code,$F18,nrES_Att,1)=0),"ATTEMPT 2 WITHOUT ATTEMPT 1",IF(AND($K18=2,$L18=""),"RETEST ROW HAS NO SCORE",IF(AND($H18="Final",$L18&lt;&gt;"",IFERROR(INDEX(nrCKfinalExamElig,MATCH($D18,rngCadetPIDs,0)),"")="No"),"FINAL EXAM AFTER FAILED FINAL PT (500.1.H)","OK")))))))</f>
        <v/>
      </c>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IF($C19="","",IF($K19="","",IF(COUNTIFS(nrES_PID,$D19,nrES_Code,$F19,nrES_Att,"&gt;"&amp;$K19,nrES_Raw,"&gt;=0")=0,"Yes","No")))</f>
        <v/>
      </c>
      <c r="Q19" s="17">
        <f>IF($C19="","",IF($L19="","",IF(AND($K19=1,ISNUMBER($L19),$L19&lt;$J19,COUNTIFS(nrES_PID,$D19,nrES_Code,$F19,nrES_Att,2,nrES_Raw,"&gt;=0")=0),"Yes","No")))</f>
        <v/>
      </c>
      <c r="R19" s="17">
        <f>IF($C19="","",IF($L19="","",IF(AND($K19=2,ISNUMBER($L19),$L19&lt;$J19),"Yes","No")))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IF(OR($C19="",$L19="",$K19&lt;&gt;1,NOT(ISNUMBER($L19)),$L19&gt;=$J19),"",IF(COUNTIFS(nrES_PID,$D19,nrES_Code,$F19,nrES_Att,2,nrES_Raw,"&gt;=0")&gt;0,IF(IFERROR(_xlfn.MINIFS(nrES_Date,nrES_PID,$D19,nrES_Code,$F19,nrES_Att,2,nrES_Raw,"&gt;=0",nrES_Date,"&gt;0"),0)=0,"RETEST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RANGE",IF(COUNTIF(nrES_RecID,$B19)&gt;1,"DUPLICATE RECORD",IF(AND($K19=2,COUNTIFS(nrES_PID,$D19,nrES_Code,$F19,nrES_Att,1)=0),"ATTEMPT 2 WITHOUT ATTEMPT 1",IF(AND($K19=2,$L19=""),"RETEST ROW HAS NO SCORE",IF(AND($H19="Final",$L19&lt;&gt;"",IFERROR(INDEX(nrCKfinalExamElig,MATCH($D19,rngCadetPIDs,0)),"")="No"),"FINAL EXAM AFTER FAILED FINAL PT (500.1.H)","OK")))))))</f>
        <v/>
      </c>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IF($C20="","",IF($K20="","",IF(COUNTIFS(nrES_PID,$D20,nrES_Code,$F20,nrES_Att,"&gt;"&amp;$K20,nrES_Raw,"&gt;=0")=0,"Yes","No")))</f>
        <v/>
      </c>
      <c r="Q20" s="17">
        <f>IF($C20="","",IF($L20="","",IF(AND($K20=1,ISNUMBER($L20),$L20&lt;$J20,COUNTIFS(nrES_PID,$D20,nrES_Code,$F20,nrES_Att,2,nrES_Raw,"&gt;=0")=0),"Yes","No")))</f>
        <v/>
      </c>
      <c r="R20" s="17">
        <f>IF($C20="","",IF($L20="","",IF(AND($K20=2,ISNUMBER($L20),$L20&lt;$J20),"Yes","No")))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IF(OR($C20="",$L20="",$K20&lt;&gt;1,NOT(ISNUMBER($L20)),$L20&gt;=$J20),"",IF(COUNTIFS(nrES_PID,$D20,nrES_Code,$F20,nrES_Att,2,nrES_Raw,"&gt;=0")&gt;0,IF(IFERROR(_xlfn.MINIFS(nrES_Date,nrES_PID,$D20,nrES_Code,$F20,nrES_Att,2,nrES_Raw,"&gt;=0",nrES_Date,"&gt;0"),0)=0,"RETEST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RANGE",IF(COUNTIF(nrES_RecID,$B20)&gt;1,"DUPLICATE RECORD",IF(AND($K20=2,COUNTIFS(nrES_PID,$D20,nrES_Code,$F20,nrES_Att,1)=0),"ATTEMPT 2 WITHOUT ATTEMPT 1",IF(AND($K20=2,$L20=""),"RETEST ROW HAS NO SCORE",IF(AND($H20="Final",$L20&lt;&gt;"",IFERROR(INDEX(nrCKfinalExamElig,MATCH($D20,rngCadetPIDs,0)),"")="No"),"FINAL EXAM AFTER FAILED FINAL PT (500.1.H)","OK")))))))</f>
        <v/>
      </c>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IF($C21="","",IF($K21="","",IF(COUNTIFS(nrES_PID,$D21,nrES_Code,$F21,nrES_Att,"&gt;"&amp;$K21,nrES_Raw,"&gt;=0")=0,"Yes","No")))</f>
        <v/>
      </c>
      <c r="Q21" s="17">
        <f>IF($C21="","",IF($L21="","",IF(AND($K21=1,ISNUMBER($L21),$L21&lt;$J21,COUNTIFS(nrES_PID,$D21,nrES_Code,$F21,nrES_Att,2,nrES_Raw,"&gt;=0")=0),"Yes","No")))</f>
        <v/>
      </c>
      <c r="R21" s="17">
        <f>IF($C21="","",IF($L21="","",IF(AND($K21=2,ISNUMBER($L21),$L21&lt;$J21),"Yes","No")))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IF(OR($C21="",$L21="",$K21&lt;&gt;1,NOT(ISNUMBER($L21)),$L21&gt;=$J21),"",IF(COUNTIFS(nrES_PID,$D21,nrES_Code,$F21,nrES_Att,2,nrES_Raw,"&gt;=0")&gt;0,IF(IFERROR(_xlfn.MINIFS(nrES_Date,nrES_PID,$D21,nrES_Code,$F21,nrES_Att,2,nrES_Raw,"&gt;=0",nrES_Date,"&gt;0"),0)=0,"RETEST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RANGE",IF(COUNTIF(nrES_RecID,$B21)&gt;1,"DUPLICATE RECORD",IF(AND($K21=2,COUNTIFS(nrES_PID,$D21,nrES_Code,$F21,nrES_Att,1)=0),"ATTEMPT 2 WITHOUT ATTEMPT 1",IF(AND($K21=2,$L21=""),"RETEST ROW HAS NO SCORE",IF(AND($H21="Final",$L21&lt;&gt;"",IFERROR(INDEX(nrCKfinalExamElig,MATCH($D21,rngCadetPIDs,0)),"")="No"),"FINAL EXAM AFTER FAILED FINAL PT (500.1.H)","OK")))))))</f>
        <v/>
      </c>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IF($C22="","",IF($K22="","",IF(COUNTIFS(nrES_PID,$D22,nrES_Code,$F22,nrES_Att,"&gt;"&amp;$K22,nrES_Raw,"&gt;=0")=0,"Yes","No")))</f>
        <v/>
      </c>
      <c r="Q22" s="17">
        <f>IF($C22="","",IF($L22="","",IF(AND($K22=1,ISNUMBER($L22),$L22&lt;$J22,COUNTIFS(nrES_PID,$D22,nrES_Code,$F22,nrES_Att,2,nrES_Raw,"&gt;=0")=0),"Yes","No")))</f>
        <v/>
      </c>
      <c r="R22" s="17">
        <f>IF($C22="","",IF($L22="","",IF(AND($K22=2,ISNUMBER($L22),$L22&lt;$J22),"Yes","No")))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IF(OR($C22="",$L22="",$K22&lt;&gt;1,NOT(ISNUMBER($L22)),$L22&gt;=$J22),"",IF(COUNTIFS(nrES_PID,$D22,nrES_Code,$F22,nrES_Att,2,nrES_Raw,"&gt;=0")&gt;0,IF(IFERROR(_xlfn.MINIFS(nrES_Date,nrES_PID,$D22,nrES_Code,$F22,nrES_Att,2,nrES_Raw,"&gt;=0",nrES_Date,"&gt;0"),0)=0,"RETEST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RANGE",IF(COUNTIF(nrES_RecID,$B22)&gt;1,"DUPLICATE RECORD",IF(AND($K22=2,COUNTIFS(nrES_PID,$D22,nrES_Code,$F22,nrES_Att,1)=0),"ATTEMPT 2 WITHOUT ATTEMPT 1",IF(AND($K22=2,$L22=""),"RETEST ROW HAS NO SCORE",IF(AND($H22="Final",$L22&lt;&gt;"",IFERROR(INDEX(nrCKfinalExamElig,MATCH($D22,rngCadetPIDs,0)),"")="No"),"FINAL EXAM AFTER FAILED FINAL PT (500.1.H)","OK")))))))</f>
        <v/>
      </c>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IF($C23="","",IF($K23="","",IF(COUNTIFS(nrES_PID,$D23,nrES_Code,$F23,nrES_Att,"&gt;"&amp;$K23,nrES_Raw,"&gt;=0")=0,"Yes","No")))</f>
        <v/>
      </c>
      <c r="Q23" s="17">
        <f>IF($C23="","",IF($L23="","",IF(AND($K23=1,ISNUMBER($L23),$L23&lt;$J23,COUNTIFS(nrES_PID,$D23,nrES_Code,$F23,nrES_Att,2,nrES_Raw,"&gt;=0")=0),"Yes","No")))</f>
        <v/>
      </c>
      <c r="R23" s="17">
        <f>IF($C23="","",IF($L23="","",IF(AND($K23=2,ISNUMBER($L23),$L23&lt;$J23),"Yes","No")))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IF(OR($C23="",$L23="",$K23&lt;&gt;1,NOT(ISNUMBER($L23)),$L23&gt;=$J23),"",IF(COUNTIFS(nrES_PID,$D23,nrES_Code,$F23,nrES_Att,2,nrES_Raw,"&gt;=0")&gt;0,IF(IFERROR(_xlfn.MINIFS(nrES_Date,nrES_PID,$D23,nrES_Code,$F23,nrES_Att,2,nrES_Raw,"&gt;=0",nrES_Date,"&gt;0"),0)=0,"RETEST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RANGE",IF(COUNTIF(nrES_RecID,$B23)&gt;1,"DUPLICATE RECORD",IF(AND($K23=2,COUNTIFS(nrES_PID,$D23,nrES_Code,$F23,nrES_Att,1)=0),"ATTEMPT 2 WITHOUT ATTEMPT 1",IF(AND($K23=2,$L23=""),"RETEST ROW HAS NO SCORE",IF(AND($H23="Final",$L23&lt;&gt;"",IFERROR(INDEX(nrCKfinalExamElig,MATCH($D23,rngCadetPIDs,0)),"")="No"),"FINAL EXAM AFTER FAILED FINAL PT (500.1.H)","OK")))))))</f>
        <v/>
      </c>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IF($C24="","",IF($K24="","",IF(COUNTIFS(nrES_PID,$D24,nrES_Code,$F24,nrES_Att,"&gt;"&amp;$K24,nrES_Raw,"&gt;=0")=0,"Yes","No")))</f>
        <v/>
      </c>
      <c r="Q24" s="17">
        <f>IF($C24="","",IF($L24="","",IF(AND($K24=1,ISNUMBER($L24),$L24&lt;$J24,COUNTIFS(nrES_PID,$D24,nrES_Code,$F24,nrES_Att,2,nrES_Raw,"&gt;=0")=0),"Yes","No")))</f>
        <v/>
      </c>
      <c r="R24" s="17">
        <f>IF($C24="","",IF($L24="","",IF(AND($K24=2,ISNUMBER($L24),$L24&lt;$J24),"Yes","No")))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IF(OR($C24="",$L24="",$K24&lt;&gt;1,NOT(ISNUMBER($L24)),$L24&gt;=$J24),"",IF(COUNTIFS(nrES_PID,$D24,nrES_Code,$F24,nrES_Att,2,nrES_Raw,"&gt;=0")&gt;0,IF(IFERROR(_xlfn.MINIFS(nrES_Date,nrES_PID,$D24,nrES_Code,$F24,nrES_Att,2,nrES_Raw,"&gt;=0",nrES_Date,"&gt;0"),0)=0,"RETEST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RANGE",IF(COUNTIF(nrES_RecID,$B24)&gt;1,"DUPLICATE RECORD",IF(AND($K24=2,COUNTIFS(nrES_PID,$D24,nrES_Code,$F24,nrES_Att,1)=0),"ATTEMPT 2 WITHOUT ATTEMPT 1",IF(AND($K24=2,$L24=""),"RETEST ROW HAS NO SCORE",IF(AND($H24="Final",$L24&lt;&gt;"",IFERROR(INDEX(nrCKfinalExamElig,MATCH($D24,rngCadetPIDs,0)),"")="No"),"FINAL EXAM AFTER FAILED FINAL PT (500.1.H)","OK")))))))</f>
        <v/>
      </c>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IF($C25="","",IF($K25="","",IF(COUNTIFS(nrES_PID,$D25,nrES_Code,$F25,nrES_Att,"&gt;"&amp;$K25,nrES_Raw,"&gt;=0")=0,"Yes","No")))</f>
        <v/>
      </c>
      <c r="Q25" s="17">
        <f>IF($C25="","",IF($L25="","",IF(AND($K25=1,ISNUMBER($L25),$L25&lt;$J25,COUNTIFS(nrES_PID,$D25,nrES_Code,$F25,nrES_Att,2,nrES_Raw,"&gt;=0")=0),"Yes","No")))</f>
        <v/>
      </c>
      <c r="R25" s="17">
        <f>IF($C25="","",IF($L25="","",IF(AND($K25=2,ISNUMBER($L25),$L25&lt;$J25),"Yes","No")))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IF(OR($C25="",$L25="",$K25&lt;&gt;1,NOT(ISNUMBER($L25)),$L25&gt;=$J25),"",IF(COUNTIFS(nrES_PID,$D25,nrES_Code,$F25,nrES_Att,2,nrES_Raw,"&gt;=0")&gt;0,IF(IFERROR(_xlfn.MINIFS(nrES_Date,nrES_PID,$D25,nrES_Code,$F25,nrES_Att,2,nrES_Raw,"&gt;=0",nrES_Date,"&gt;0"),0)=0,"RETEST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RANGE",IF(COUNTIF(nrES_RecID,$B25)&gt;1,"DUPLICATE RECORD",IF(AND($K25=2,COUNTIFS(nrES_PID,$D25,nrES_Code,$F25,nrES_Att,1)=0),"ATTEMPT 2 WITHOUT ATTEMPT 1",IF(AND($K25=2,$L25=""),"RETEST ROW HAS NO SCORE",IF(AND($H25="Final",$L25&lt;&gt;"",IFERROR(INDEX(nrCKfinalExamElig,MATCH($D25,rngCadetPIDs,0)),"")="No"),"FINAL EXAM AFTER FAILED FINAL PT (500.1.H)","OK")))))))</f>
        <v/>
      </c>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IF($C26="","",IF($K26="","",IF(COUNTIFS(nrES_PID,$D26,nrES_Code,$F26,nrES_Att,"&gt;"&amp;$K26,nrES_Raw,"&gt;=0")=0,"Yes","No")))</f>
        <v/>
      </c>
      <c r="Q26" s="17">
        <f>IF($C26="","",IF($L26="","",IF(AND($K26=1,ISNUMBER($L26),$L26&lt;$J26,COUNTIFS(nrES_PID,$D26,nrES_Code,$F26,nrES_Att,2,nrES_Raw,"&gt;=0")=0),"Yes","No")))</f>
        <v/>
      </c>
      <c r="R26" s="17">
        <f>IF($C26="","",IF($L26="","",IF(AND($K26=2,ISNUMBER($L26),$L26&lt;$J26),"Yes","No")))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IF(OR($C26="",$L26="",$K26&lt;&gt;1,NOT(ISNUMBER($L26)),$L26&gt;=$J26),"",IF(COUNTIFS(nrES_PID,$D26,nrES_Code,$F26,nrES_Att,2,nrES_Raw,"&gt;=0")&gt;0,IF(IFERROR(_xlfn.MINIFS(nrES_Date,nrES_PID,$D26,nrES_Code,$F26,nrES_Att,2,nrES_Raw,"&gt;=0",nrES_Date,"&gt;0"),0)=0,"RETEST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RANGE",IF(COUNTIF(nrES_RecID,$B26)&gt;1,"DUPLICATE RECORD",IF(AND($K26=2,COUNTIFS(nrES_PID,$D26,nrES_Code,$F26,nrES_Att,1)=0),"ATTEMPT 2 WITHOUT ATTEMPT 1",IF(AND($K26=2,$L26=""),"RETEST ROW HAS NO SCORE",IF(AND($H26="Final",$L26&lt;&gt;"",IFERROR(INDEX(nrCKfinalExamElig,MATCH($D26,rngCadetPIDs,0)),"")="No"),"FINAL EXAM AFTER FAILED FINAL PT (500.1.H)","OK")))))))</f>
        <v/>
      </c>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IF($C27="","",IF($K27="","",IF(COUNTIFS(nrES_PID,$D27,nrES_Code,$F27,nrES_Att,"&gt;"&amp;$K27,nrES_Raw,"&gt;=0")=0,"Yes","No")))</f>
        <v/>
      </c>
      <c r="Q27" s="17">
        <f>IF($C27="","",IF($L27="","",IF(AND($K27=1,ISNUMBER($L27),$L27&lt;$J27,COUNTIFS(nrES_PID,$D27,nrES_Code,$F27,nrES_Att,2,nrES_Raw,"&gt;=0")=0),"Yes","No")))</f>
        <v/>
      </c>
      <c r="R27" s="17">
        <f>IF($C27="","",IF($L27="","",IF(AND($K27=2,ISNUMBER($L27),$L27&lt;$J27),"Yes","No")))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IF(OR($C27="",$L27="",$K27&lt;&gt;1,NOT(ISNUMBER($L27)),$L27&gt;=$J27),"",IF(COUNTIFS(nrES_PID,$D27,nrES_Code,$F27,nrES_Att,2,nrES_Raw,"&gt;=0")&gt;0,IF(IFERROR(_xlfn.MINIFS(nrES_Date,nrES_PID,$D27,nrES_Code,$F27,nrES_Att,2,nrES_Raw,"&gt;=0",nrES_Date,"&gt;0"),0)=0,"RETEST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RANGE",IF(COUNTIF(nrES_RecID,$B27)&gt;1,"DUPLICATE RECORD",IF(AND($K27=2,COUNTIFS(nrES_PID,$D27,nrES_Code,$F27,nrES_Att,1)=0),"ATTEMPT 2 WITHOUT ATTEMPT 1",IF(AND($K27=2,$L27=""),"RETEST ROW HAS NO SCORE",IF(AND($H27="Final",$L27&lt;&gt;"",IFERROR(INDEX(nrCKfinalExamElig,MATCH($D27,rngCadetPIDs,0)),"")="No"),"FINAL EXAM AFTER FAILED FINAL PT (500.1.H)","OK")))))))</f>
        <v/>
      </c>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IF($C28="","",IF($K28="","",IF(COUNTIFS(nrES_PID,$D28,nrES_Code,$F28,nrES_Att,"&gt;"&amp;$K28,nrES_Raw,"&gt;=0")=0,"Yes","No")))</f>
        <v/>
      </c>
      <c r="Q28" s="17">
        <f>IF($C28="","",IF($L28="","",IF(AND($K28=1,ISNUMBER($L28),$L28&lt;$J28,COUNTIFS(nrES_PID,$D28,nrES_Code,$F28,nrES_Att,2,nrES_Raw,"&gt;=0")=0),"Yes","No")))</f>
        <v/>
      </c>
      <c r="R28" s="17">
        <f>IF($C28="","",IF($L28="","",IF(AND($K28=2,ISNUMBER($L28),$L28&lt;$J28),"Yes","No")))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IF(OR($C28="",$L28="",$K28&lt;&gt;1,NOT(ISNUMBER($L28)),$L28&gt;=$J28),"",IF(COUNTIFS(nrES_PID,$D28,nrES_Code,$F28,nrES_Att,2,nrES_Raw,"&gt;=0")&gt;0,IF(IFERROR(_xlfn.MINIFS(nrES_Date,nrES_PID,$D28,nrES_Code,$F28,nrES_Att,2,nrES_Raw,"&gt;=0",nrES_Date,"&gt;0"),0)=0,"RETEST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RANGE",IF(COUNTIF(nrES_RecID,$B28)&gt;1,"DUPLICATE RECORD",IF(AND($K28=2,COUNTIFS(nrES_PID,$D28,nrES_Code,$F28,nrES_Att,1)=0),"ATTEMPT 2 WITHOUT ATTEMPT 1",IF(AND($K28=2,$L28=""),"RETEST ROW HAS NO SCORE",IF(AND($H28="Final",$L28&lt;&gt;"",IFERROR(INDEX(nrCKfinalExamElig,MATCH($D28,rngCadetPIDs,0)),"")="No"),"FINAL EXAM AFTER FAILED FINAL PT (500.1.H)","OK")))))))</f>
        <v/>
      </c>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IF($C29="","",IF($K29="","",IF(COUNTIFS(nrES_PID,$D29,nrES_Code,$F29,nrES_Att,"&gt;"&amp;$K29,nrES_Raw,"&gt;=0")=0,"Yes","No")))</f>
        <v/>
      </c>
      <c r="Q29" s="17">
        <f>IF($C29="","",IF($L29="","",IF(AND($K29=1,ISNUMBER($L29),$L29&lt;$J29,COUNTIFS(nrES_PID,$D29,nrES_Code,$F29,nrES_Att,2,nrES_Raw,"&gt;=0")=0),"Yes","No")))</f>
        <v/>
      </c>
      <c r="R29" s="17">
        <f>IF($C29="","",IF($L29="","",IF(AND($K29=2,ISNUMBER($L29),$L29&lt;$J29),"Yes","No")))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IF(OR($C29="",$L29="",$K29&lt;&gt;1,NOT(ISNUMBER($L29)),$L29&gt;=$J29),"",IF(COUNTIFS(nrES_PID,$D29,nrES_Code,$F29,nrES_Att,2,nrES_Raw,"&gt;=0")&gt;0,IF(IFERROR(_xlfn.MINIFS(nrES_Date,nrES_PID,$D29,nrES_Code,$F29,nrES_Att,2,nrES_Raw,"&gt;=0",nrES_Date,"&gt;0"),0)=0,"RETEST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RANGE",IF(COUNTIF(nrES_RecID,$B29)&gt;1,"DUPLICATE RECORD",IF(AND($K29=2,COUNTIFS(nrES_PID,$D29,nrES_Code,$F29,nrES_Att,1)=0),"ATTEMPT 2 WITHOUT ATTEMPT 1",IF(AND($K29=2,$L29=""),"RETEST ROW HAS NO SCORE",IF(AND($H29="Final",$L29&lt;&gt;"",IFERROR(INDEX(nrCKfinalExamElig,MATCH($D29,rngCadetPIDs,0)),"")="No"),"FINAL EXAM AFTER FAILED FINAL PT (500.1.H)","OK")))))))</f>
        <v/>
      </c>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IF($C30="","",IF($K30="","",IF(COUNTIFS(nrES_PID,$D30,nrES_Code,$F30,nrES_Att,"&gt;"&amp;$K30,nrES_Raw,"&gt;=0")=0,"Yes","No")))</f>
        <v/>
      </c>
      <c r="Q30" s="17">
        <f>IF($C30="","",IF($L30="","",IF(AND($K30=1,ISNUMBER($L30),$L30&lt;$J30,COUNTIFS(nrES_PID,$D30,nrES_Code,$F30,nrES_Att,2,nrES_Raw,"&gt;=0")=0),"Yes","No")))</f>
        <v/>
      </c>
      <c r="R30" s="17">
        <f>IF($C30="","",IF($L30="","",IF(AND($K30=2,ISNUMBER($L30),$L30&lt;$J30),"Yes","No")))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IF(OR($C30="",$L30="",$K30&lt;&gt;1,NOT(ISNUMBER($L30)),$L30&gt;=$J30),"",IF(COUNTIFS(nrES_PID,$D30,nrES_Code,$F30,nrES_Att,2,nrES_Raw,"&gt;=0")&gt;0,IF(IFERROR(_xlfn.MINIFS(nrES_Date,nrES_PID,$D30,nrES_Code,$F30,nrES_Att,2,nrES_Raw,"&gt;=0",nrES_Date,"&gt;0"),0)=0,"RETEST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RANGE",IF(COUNTIF(nrES_RecID,$B30)&gt;1,"DUPLICATE RECORD",IF(AND($K30=2,COUNTIFS(nrES_PID,$D30,nrES_Code,$F30,nrES_Att,1)=0),"ATTEMPT 2 WITHOUT ATTEMPT 1",IF(AND($K30=2,$L30=""),"RETEST ROW HAS NO SCORE",IF(AND($H30="Final",$L30&lt;&gt;"",IFERROR(INDEX(nrCKfinalExamElig,MATCH($D30,rngCadetPIDs,0)),"")="No"),"FINAL EXAM AFTER FAILED FINAL PT (500.1.H)","OK")))))))</f>
        <v/>
      </c>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IF($C31="","",IF($K31="","",IF(COUNTIFS(nrES_PID,$D31,nrES_Code,$F31,nrES_Att,"&gt;"&amp;$K31,nrES_Raw,"&gt;=0")=0,"Yes","No")))</f>
        <v/>
      </c>
      <c r="Q31" s="17">
        <f>IF($C31="","",IF($L31="","",IF(AND($K31=1,ISNUMBER($L31),$L31&lt;$J31,COUNTIFS(nrES_PID,$D31,nrES_Code,$F31,nrES_Att,2,nrES_Raw,"&gt;=0")=0),"Yes","No")))</f>
        <v/>
      </c>
      <c r="R31" s="17">
        <f>IF($C31="","",IF($L31="","",IF(AND($K31=2,ISNUMBER($L31),$L31&lt;$J31),"Yes","No")))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IF(OR($C31="",$L31="",$K31&lt;&gt;1,NOT(ISNUMBER($L31)),$L31&gt;=$J31),"",IF(COUNTIFS(nrES_PID,$D31,nrES_Code,$F31,nrES_Att,2,nrES_Raw,"&gt;=0")&gt;0,IF(IFERROR(_xlfn.MINIFS(nrES_Date,nrES_PID,$D31,nrES_Code,$F31,nrES_Att,2,nrES_Raw,"&gt;=0",nrES_Date,"&gt;0"),0)=0,"RETEST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RANGE",IF(COUNTIF(nrES_RecID,$B31)&gt;1,"DUPLICATE RECORD",IF(AND($K31=2,COUNTIFS(nrES_PID,$D31,nrES_Code,$F31,nrES_Att,1)=0),"ATTEMPT 2 WITHOUT ATTEMPT 1",IF(AND($K31=2,$L31=""),"RETEST ROW HAS NO SCORE",IF(AND($H31="Final",$L31&lt;&gt;"",IFERROR(INDEX(nrCKfinalExamElig,MATCH($D31,rngCadetPIDs,0)),"")="No"),"FINAL EXAM AFTER FAILED FINAL PT (500.1.H)","OK")))))))</f>
        <v/>
      </c>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IF($C32="","",IF($K32="","",IF(COUNTIFS(nrES_PID,$D32,nrES_Code,$F32,nrES_Att,"&gt;"&amp;$K32,nrES_Raw,"&gt;=0")=0,"Yes","No")))</f>
        <v/>
      </c>
      <c r="Q32" s="17">
        <f>IF($C32="","",IF($L32="","",IF(AND($K32=1,ISNUMBER($L32),$L32&lt;$J32,COUNTIFS(nrES_PID,$D32,nrES_Code,$F32,nrES_Att,2,nrES_Raw,"&gt;=0")=0),"Yes","No")))</f>
        <v/>
      </c>
      <c r="R32" s="17">
        <f>IF($C32="","",IF($L32="","",IF(AND($K32=2,ISNUMBER($L32),$L32&lt;$J32),"Yes","No")))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IF(OR($C32="",$L32="",$K32&lt;&gt;1,NOT(ISNUMBER($L32)),$L32&gt;=$J32),"",IF(COUNTIFS(nrES_PID,$D32,nrES_Code,$F32,nrES_Att,2,nrES_Raw,"&gt;=0")&gt;0,IF(IFERROR(_xlfn.MINIFS(nrES_Date,nrES_PID,$D32,nrES_Code,$F32,nrES_Att,2,nrES_Raw,"&gt;=0",nrES_Date,"&gt;0"),0)=0,"RETEST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RANGE",IF(COUNTIF(nrES_RecID,$B32)&gt;1,"DUPLICATE RECORD",IF(AND($K32=2,COUNTIFS(nrES_PID,$D32,nrES_Code,$F32,nrES_Att,1)=0),"ATTEMPT 2 WITHOUT ATTEMPT 1",IF(AND($K32=2,$L32=""),"RETEST ROW HAS NO SCORE",IF(AND($H32="Final",$L32&lt;&gt;"",IFERROR(INDEX(nrCKfinalExamElig,MATCH($D32,rngCadetPIDs,0)),"")="No"),"FINAL EXAM AFTER FAILED FINAL PT (500.1.H)","OK")))))))</f>
        <v/>
      </c>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IF($C33="","",IF($K33="","",IF(COUNTIFS(nrES_PID,$D33,nrES_Code,$F33,nrES_Att,"&gt;"&amp;$K33,nrES_Raw,"&gt;=0")=0,"Yes","No")))</f>
        <v/>
      </c>
      <c r="Q33" s="17">
        <f>IF($C33="","",IF($L33="","",IF(AND($K33=1,ISNUMBER($L33),$L33&lt;$J33,COUNTIFS(nrES_PID,$D33,nrES_Code,$F33,nrES_Att,2,nrES_Raw,"&gt;=0")=0),"Yes","No")))</f>
        <v/>
      </c>
      <c r="R33" s="17">
        <f>IF($C33="","",IF($L33="","",IF(AND($K33=2,ISNUMBER($L33),$L33&lt;$J33),"Yes","No")))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IF(OR($C33="",$L33="",$K33&lt;&gt;1,NOT(ISNUMBER($L33)),$L33&gt;=$J33),"",IF(COUNTIFS(nrES_PID,$D33,nrES_Code,$F33,nrES_Att,2,nrES_Raw,"&gt;=0")&gt;0,IF(IFERROR(_xlfn.MINIFS(nrES_Date,nrES_PID,$D33,nrES_Code,$F33,nrES_Att,2,nrES_Raw,"&gt;=0",nrES_Date,"&gt;0"),0)=0,"RETEST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RANGE",IF(COUNTIF(nrES_RecID,$B33)&gt;1,"DUPLICATE RECORD",IF(AND($K33=2,COUNTIFS(nrES_PID,$D33,nrES_Code,$F33,nrES_Att,1)=0),"ATTEMPT 2 WITHOUT ATTEMPT 1",IF(AND($K33=2,$L33=""),"RETEST ROW HAS NO SCORE",IF(AND($H33="Final",$L33&lt;&gt;"",IFERROR(INDEX(nrCKfinalExamElig,MATCH($D33,rngCadetPIDs,0)),"")="No"),"FINAL EXAM AFTER FAILED FINAL PT (500.1.H)","OK")))))))</f>
        <v/>
      </c>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IF($C34="","",IF($K34="","",IF(COUNTIFS(nrES_PID,$D34,nrES_Code,$F34,nrES_Att,"&gt;"&amp;$K34,nrES_Raw,"&gt;=0")=0,"Yes","No")))</f>
        <v/>
      </c>
      <c r="Q34" s="17">
        <f>IF($C34="","",IF($L34="","",IF(AND($K34=1,ISNUMBER($L34),$L34&lt;$J34,COUNTIFS(nrES_PID,$D34,nrES_Code,$F34,nrES_Att,2,nrES_Raw,"&gt;=0")=0),"Yes","No")))</f>
        <v/>
      </c>
      <c r="R34" s="17">
        <f>IF($C34="","",IF($L34="","",IF(AND($K34=2,ISNUMBER($L34),$L34&lt;$J34),"Yes","No")))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IF(OR($C34="",$L34="",$K34&lt;&gt;1,NOT(ISNUMBER($L34)),$L34&gt;=$J34),"",IF(COUNTIFS(nrES_PID,$D34,nrES_Code,$F34,nrES_Att,2,nrES_Raw,"&gt;=0")&gt;0,IF(IFERROR(_xlfn.MINIFS(nrES_Date,nrES_PID,$D34,nrES_Code,$F34,nrES_Att,2,nrES_Raw,"&gt;=0",nrES_Date,"&gt;0"),0)=0,"RETEST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RANGE",IF(COUNTIF(nrES_RecID,$B34)&gt;1,"DUPLICATE RECORD",IF(AND($K34=2,COUNTIFS(nrES_PID,$D34,nrES_Code,$F34,nrES_Att,1)=0),"ATTEMPT 2 WITHOUT ATTEMPT 1",IF(AND($K34=2,$L34=""),"RETEST ROW HAS NO SCORE",IF(AND($H34="Final",$L34&lt;&gt;"",IFERROR(INDEX(nrCKfinalExamElig,MATCH($D34,rngCadetPIDs,0)),"")="No"),"FINAL EXAM AFTER FAILED FINAL PT (500.1.H)","OK")))))))</f>
        <v/>
      </c>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IF($C35="","",IF($K35="","",IF(COUNTIFS(nrES_PID,$D35,nrES_Code,$F35,nrES_Att,"&gt;"&amp;$K35,nrES_Raw,"&gt;=0")=0,"Yes","No")))</f>
        <v/>
      </c>
      <c r="Q35" s="17">
        <f>IF($C35="","",IF($L35="","",IF(AND($K35=1,ISNUMBER($L35),$L35&lt;$J35,COUNTIFS(nrES_PID,$D35,nrES_Code,$F35,nrES_Att,2,nrES_Raw,"&gt;=0")=0),"Yes","No")))</f>
        <v/>
      </c>
      <c r="R35" s="17">
        <f>IF($C35="","",IF($L35="","",IF(AND($K35=2,ISNUMBER($L35),$L35&lt;$J35),"Yes","No")))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IF(OR($C35="",$L35="",$K35&lt;&gt;1,NOT(ISNUMBER($L35)),$L35&gt;=$J35),"",IF(COUNTIFS(nrES_PID,$D35,nrES_Code,$F35,nrES_Att,2,nrES_Raw,"&gt;=0")&gt;0,IF(IFERROR(_xlfn.MINIFS(nrES_Date,nrES_PID,$D35,nrES_Code,$F35,nrES_Att,2,nrES_Raw,"&gt;=0",nrES_Date,"&gt;0"),0)=0,"RETEST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RANGE",IF(COUNTIF(nrES_RecID,$B35)&gt;1,"DUPLICATE RECORD",IF(AND($K35=2,COUNTIFS(nrES_PID,$D35,nrES_Code,$F35,nrES_Att,1)=0),"ATTEMPT 2 WITHOUT ATTEMPT 1",IF(AND($K35=2,$L35=""),"RETEST ROW HAS NO SCORE",IF(AND($H35="Final",$L35&lt;&gt;"",IFERROR(INDEX(nrCKfinalExamElig,MATCH($D35,rngCadetPIDs,0)),"")="No"),"FINAL EXAM AFTER FAILED FINAL PT (500.1.H)","OK")))))))</f>
        <v/>
      </c>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IF($C36="","",IF($K36="","",IF(COUNTIFS(nrES_PID,$D36,nrES_Code,$F36,nrES_Att,"&gt;"&amp;$K36,nrES_Raw,"&gt;=0")=0,"Yes","No")))</f>
        <v/>
      </c>
      <c r="Q36" s="17">
        <f>IF($C36="","",IF($L36="","",IF(AND($K36=1,ISNUMBER($L36),$L36&lt;$J36,COUNTIFS(nrES_PID,$D36,nrES_Code,$F36,nrES_Att,2,nrES_Raw,"&gt;=0")=0),"Yes","No")))</f>
        <v/>
      </c>
      <c r="R36" s="17">
        <f>IF($C36="","",IF($L36="","",IF(AND($K36=2,ISNUMBER($L36),$L36&lt;$J36),"Yes","No")))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IF(OR($C36="",$L36="",$K36&lt;&gt;1,NOT(ISNUMBER($L36)),$L36&gt;=$J36),"",IF(COUNTIFS(nrES_PID,$D36,nrES_Code,$F36,nrES_Att,2,nrES_Raw,"&gt;=0")&gt;0,IF(IFERROR(_xlfn.MINIFS(nrES_Date,nrES_PID,$D36,nrES_Code,$F36,nrES_Att,2,nrES_Raw,"&gt;=0",nrES_Date,"&gt;0"),0)=0,"RETEST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RANGE",IF(COUNTIF(nrES_RecID,$B36)&gt;1,"DUPLICATE RECORD",IF(AND($K36=2,COUNTIFS(nrES_PID,$D36,nrES_Code,$F36,nrES_Att,1)=0),"ATTEMPT 2 WITHOUT ATTEMPT 1",IF(AND($K36=2,$L36=""),"RETEST ROW HAS NO SCORE",IF(AND($H36="Final",$L36&lt;&gt;"",IFERROR(INDEX(nrCKfinalExamElig,MATCH($D36,rngCadetPIDs,0)),"")="No"),"FINAL EXAM AFTER FAILED FINAL PT (500.1.H)","OK")))))))</f>
        <v/>
      </c>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IF($C37="","",IF($K37="","",IF(COUNTIFS(nrES_PID,$D37,nrES_Code,$F37,nrES_Att,"&gt;"&amp;$K37,nrES_Raw,"&gt;=0")=0,"Yes","No")))</f>
        <v/>
      </c>
      <c r="Q37" s="17">
        <f>IF($C37="","",IF($L37="","",IF(AND($K37=1,ISNUMBER($L37),$L37&lt;$J37,COUNTIFS(nrES_PID,$D37,nrES_Code,$F37,nrES_Att,2,nrES_Raw,"&gt;=0")=0),"Yes","No")))</f>
        <v/>
      </c>
      <c r="R37" s="17">
        <f>IF($C37="","",IF($L37="","",IF(AND($K37=2,ISNUMBER($L37),$L37&lt;$J37),"Yes","No")))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IF(OR($C37="",$L37="",$K37&lt;&gt;1,NOT(ISNUMBER($L37)),$L37&gt;=$J37),"",IF(COUNTIFS(nrES_PID,$D37,nrES_Code,$F37,nrES_Att,2,nrES_Raw,"&gt;=0")&gt;0,IF(IFERROR(_xlfn.MINIFS(nrES_Date,nrES_PID,$D37,nrES_Code,$F37,nrES_Att,2,nrES_Raw,"&gt;=0",nrES_Date,"&gt;0"),0)=0,"RETEST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RANGE",IF(COUNTIF(nrES_RecID,$B37)&gt;1,"DUPLICATE RECORD",IF(AND($K37=2,COUNTIFS(nrES_PID,$D37,nrES_Code,$F37,nrES_Att,1)=0),"ATTEMPT 2 WITHOUT ATTEMPT 1",IF(AND($K37=2,$L37=""),"RETEST ROW HAS NO SCORE",IF(AND($H37="Final",$L37&lt;&gt;"",IFERROR(INDEX(nrCKfinalExamElig,MATCH($D37,rngCadetPIDs,0)),"")="No"),"FINAL EXAM AFTER FAILED FINAL PT (500.1.H)","OK")))))))</f>
        <v/>
      </c>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IF($C38="","",IF($K38="","",IF(COUNTIFS(nrES_PID,$D38,nrES_Code,$F38,nrES_Att,"&gt;"&amp;$K38,nrES_Raw,"&gt;=0")=0,"Yes","No")))</f>
        <v/>
      </c>
      <c r="Q38" s="17">
        <f>IF($C38="","",IF($L38="","",IF(AND($K38=1,ISNUMBER($L38),$L38&lt;$J38,COUNTIFS(nrES_PID,$D38,nrES_Code,$F38,nrES_Att,2,nrES_Raw,"&gt;=0")=0),"Yes","No")))</f>
        <v/>
      </c>
      <c r="R38" s="17">
        <f>IF($C38="","",IF($L38="","",IF(AND($K38=2,ISNUMBER($L38),$L38&lt;$J38),"Yes","No")))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IF(OR($C38="",$L38="",$K38&lt;&gt;1,NOT(ISNUMBER($L38)),$L38&gt;=$J38),"",IF(COUNTIFS(nrES_PID,$D38,nrES_Code,$F38,nrES_Att,2,nrES_Raw,"&gt;=0")&gt;0,IF(IFERROR(_xlfn.MINIFS(nrES_Date,nrES_PID,$D38,nrES_Code,$F38,nrES_Att,2,nrES_Raw,"&gt;=0",nrES_Date,"&gt;0"),0)=0,"RETEST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RANGE",IF(COUNTIF(nrES_RecID,$B38)&gt;1,"DUPLICATE RECORD",IF(AND($K38=2,COUNTIFS(nrES_PID,$D38,nrES_Code,$F38,nrES_Att,1)=0),"ATTEMPT 2 WITHOUT ATTEMPT 1",IF(AND($K38=2,$L38=""),"RETEST ROW HAS NO SCORE",IF(AND($H38="Final",$L38&lt;&gt;"",IFERROR(INDEX(nrCKfinalExamElig,MATCH($D38,rngCadetPIDs,0)),"")="No"),"FINAL EXAM AFTER FAILED FINAL PT (500.1.H)","OK")))))))</f>
        <v/>
      </c>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IF($C39="","",IF($K39="","",IF(COUNTIFS(nrES_PID,$D39,nrES_Code,$F39,nrES_Att,"&gt;"&amp;$K39,nrES_Raw,"&gt;=0")=0,"Yes","No")))</f>
        <v/>
      </c>
      <c r="Q39" s="17">
        <f>IF($C39="","",IF($L39="","",IF(AND($K39=1,ISNUMBER($L39),$L39&lt;$J39,COUNTIFS(nrES_PID,$D39,nrES_Code,$F39,nrES_Att,2,nrES_Raw,"&gt;=0")=0),"Yes","No")))</f>
        <v/>
      </c>
      <c r="R39" s="17">
        <f>IF($C39="","",IF($L39="","",IF(AND($K39=2,ISNUMBER($L39),$L39&lt;$J39),"Yes","No")))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IF(OR($C39="",$L39="",$K39&lt;&gt;1,NOT(ISNUMBER($L39)),$L39&gt;=$J39),"",IF(COUNTIFS(nrES_PID,$D39,nrES_Code,$F39,nrES_Att,2,nrES_Raw,"&gt;=0")&gt;0,IF(IFERROR(_xlfn.MINIFS(nrES_Date,nrES_PID,$D39,nrES_Code,$F39,nrES_Att,2,nrES_Raw,"&gt;=0",nrES_Date,"&gt;0"),0)=0,"RETEST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RANGE",IF(COUNTIF(nrES_RecID,$B39)&gt;1,"DUPLICATE RECORD",IF(AND($K39=2,COUNTIFS(nrES_PID,$D39,nrES_Code,$F39,nrES_Att,1)=0),"ATTEMPT 2 WITHOUT ATTEMPT 1",IF(AND($K39=2,$L39=""),"RETEST ROW HAS NO SCORE",IF(AND($H39="Final",$L39&lt;&gt;"",IFERROR(INDEX(nrCKfinalExamElig,MATCH($D39,rngCadetPIDs,0)),"")="No"),"FINAL EXAM AFTER FAILED FINAL PT (500.1.H)","OK")))))))</f>
        <v/>
      </c>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IF($C40="","",IF($K40="","",IF(COUNTIFS(nrES_PID,$D40,nrES_Code,$F40,nrES_Att,"&gt;"&amp;$K40,nrES_Raw,"&gt;=0")=0,"Yes","No")))</f>
        <v/>
      </c>
      <c r="Q40" s="17">
        <f>IF($C40="","",IF($L40="","",IF(AND($K40=1,ISNUMBER($L40),$L40&lt;$J40,COUNTIFS(nrES_PID,$D40,nrES_Code,$F40,nrES_Att,2,nrES_Raw,"&gt;=0")=0),"Yes","No")))</f>
        <v/>
      </c>
      <c r="R40" s="17">
        <f>IF($C40="","",IF($L40="","",IF(AND($K40=2,ISNUMBER($L40),$L40&lt;$J40),"Yes","No")))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IF(OR($C40="",$L40="",$K40&lt;&gt;1,NOT(ISNUMBER($L40)),$L40&gt;=$J40),"",IF(COUNTIFS(nrES_PID,$D40,nrES_Code,$F40,nrES_Att,2,nrES_Raw,"&gt;=0")&gt;0,IF(IFERROR(_xlfn.MINIFS(nrES_Date,nrES_PID,$D40,nrES_Code,$F40,nrES_Att,2,nrES_Raw,"&gt;=0",nrES_Date,"&gt;0"),0)=0,"RETEST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RANGE",IF(COUNTIF(nrES_RecID,$B40)&gt;1,"DUPLICATE RECORD",IF(AND($K40=2,COUNTIFS(nrES_PID,$D40,nrES_Code,$F40,nrES_Att,1)=0),"ATTEMPT 2 WITHOUT ATTEMPT 1",IF(AND($K40=2,$L40=""),"RETEST ROW HAS NO SCORE",IF(AND($H40="Final",$L40&lt;&gt;"",IFERROR(INDEX(nrCKfinalExamElig,MATCH($D40,rngCadetPIDs,0)),"")="No"),"FINAL EXAM AFTER FAILED FINAL PT (500.1.H)","OK")))))))</f>
        <v/>
      </c>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IF($C41="","",IF($K41="","",IF(COUNTIFS(nrES_PID,$D41,nrES_Code,$F41,nrES_Att,"&gt;"&amp;$K41,nrES_Raw,"&gt;=0")=0,"Yes","No")))</f>
        <v/>
      </c>
      <c r="Q41" s="17">
        <f>IF($C41="","",IF($L41="","",IF(AND($K41=1,ISNUMBER($L41),$L41&lt;$J41,COUNTIFS(nrES_PID,$D41,nrES_Code,$F41,nrES_Att,2,nrES_Raw,"&gt;=0")=0),"Yes","No")))</f>
        <v/>
      </c>
      <c r="R41" s="17">
        <f>IF($C41="","",IF($L41="","",IF(AND($K41=2,ISNUMBER($L41),$L41&lt;$J41),"Yes","No")))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IF(OR($C41="",$L41="",$K41&lt;&gt;1,NOT(ISNUMBER($L41)),$L41&gt;=$J41),"",IF(COUNTIFS(nrES_PID,$D41,nrES_Code,$F41,nrES_Att,2,nrES_Raw,"&gt;=0")&gt;0,IF(IFERROR(_xlfn.MINIFS(nrES_Date,nrES_PID,$D41,nrES_Code,$F41,nrES_Att,2,nrES_Raw,"&gt;=0",nrES_Date,"&gt;0"),0)=0,"RETEST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RANGE",IF(COUNTIF(nrES_RecID,$B41)&gt;1,"DUPLICATE RECORD",IF(AND($K41=2,COUNTIFS(nrES_PID,$D41,nrES_Code,$F41,nrES_Att,1)=0),"ATTEMPT 2 WITHOUT ATTEMPT 1",IF(AND($K41=2,$L41=""),"RETEST ROW HAS NO SCORE",IF(AND($H41="Final",$L41&lt;&gt;"",IFERROR(INDEX(nrCKfinalExamElig,MATCH($D41,rngCadetPIDs,0)),"")="No"),"FINAL EXAM AFTER FAILED FINAL PT (500.1.H)","OK")))))))</f>
        <v/>
      </c>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IF($C42="","",IF($K42="","",IF(COUNTIFS(nrES_PID,$D42,nrES_Code,$F42,nrES_Att,"&gt;"&amp;$K42,nrES_Raw,"&gt;=0")=0,"Yes","No")))</f>
        <v/>
      </c>
      <c r="Q42" s="17">
        <f>IF($C42="","",IF($L42="","",IF(AND($K42=1,ISNUMBER($L42),$L42&lt;$J42,COUNTIFS(nrES_PID,$D42,nrES_Code,$F42,nrES_Att,2,nrES_Raw,"&gt;=0")=0),"Yes","No")))</f>
        <v/>
      </c>
      <c r="R42" s="17">
        <f>IF($C42="","",IF($L42="","",IF(AND($K42=2,ISNUMBER($L42),$L42&lt;$J42),"Yes","No")))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IF(OR($C42="",$L42="",$K42&lt;&gt;1,NOT(ISNUMBER($L42)),$L42&gt;=$J42),"",IF(COUNTIFS(nrES_PID,$D42,nrES_Code,$F42,nrES_Att,2,nrES_Raw,"&gt;=0")&gt;0,IF(IFERROR(_xlfn.MINIFS(nrES_Date,nrES_PID,$D42,nrES_Code,$F42,nrES_Att,2,nrES_Raw,"&gt;=0",nrES_Date,"&gt;0"),0)=0,"RETEST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RANGE",IF(COUNTIF(nrES_RecID,$B42)&gt;1,"DUPLICATE RECORD",IF(AND($K42=2,COUNTIFS(nrES_PID,$D42,nrES_Code,$F42,nrES_Att,1)=0),"ATTEMPT 2 WITHOUT ATTEMPT 1",IF(AND($K42=2,$L42=""),"RETEST ROW HAS NO SCORE",IF(AND($H42="Final",$L42&lt;&gt;"",IFERROR(INDEX(nrCKfinalExamElig,MATCH($D42,rngCadetPIDs,0)),"")="No"),"FINAL EXAM AFTER FAILED FINAL PT (500.1.H)","OK")))))))</f>
        <v/>
      </c>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IF($C43="","",IF($K43="","",IF(COUNTIFS(nrES_PID,$D43,nrES_Code,$F43,nrES_Att,"&gt;"&amp;$K43,nrES_Raw,"&gt;=0")=0,"Yes","No")))</f>
        <v/>
      </c>
      <c r="Q43" s="17">
        <f>IF($C43="","",IF($L43="","",IF(AND($K43=1,ISNUMBER($L43),$L43&lt;$J43,COUNTIFS(nrES_PID,$D43,nrES_Code,$F43,nrES_Att,2,nrES_Raw,"&gt;=0")=0),"Yes","No")))</f>
        <v/>
      </c>
      <c r="R43" s="17">
        <f>IF($C43="","",IF($L43="","",IF(AND($K43=2,ISNUMBER($L43),$L43&lt;$J43),"Yes","No")))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IF(OR($C43="",$L43="",$K43&lt;&gt;1,NOT(ISNUMBER($L43)),$L43&gt;=$J43),"",IF(COUNTIFS(nrES_PID,$D43,nrES_Code,$F43,nrES_Att,2,nrES_Raw,"&gt;=0")&gt;0,IF(IFERROR(_xlfn.MINIFS(nrES_Date,nrES_PID,$D43,nrES_Code,$F43,nrES_Att,2,nrES_Raw,"&gt;=0",nrES_Date,"&gt;0"),0)=0,"RETEST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RANGE",IF(COUNTIF(nrES_RecID,$B43)&gt;1,"DUPLICATE RECORD",IF(AND($K43=2,COUNTIFS(nrES_PID,$D43,nrES_Code,$F43,nrES_Att,1)=0),"ATTEMPT 2 WITHOUT ATTEMPT 1",IF(AND($K43=2,$L43=""),"RETEST ROW HAS NO SCORE",IF(AND($H43="Final",$L43&lt;&gt;"",IFERROR(INDEX(nrCKfinalExamElig,MATCH($D43,rngCadetPIDs,0)),"")="No"),"FINAL EXAM AFTER FAILED FINAL PT (500.1.H)","OK")))))))</f>
        <v/>
      </c>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IF($C44="","",IF($K44="","",IF(COUNTIFS(nrES_PID,$D44,nrES_Code,$F44,nrES_Att,"&gt;"&amp;$K44,nrES_Raw,"&gt;=0")=0,"Yes","No")))</f>
        <v/>
      </c>
      <c r="Q44" s="17">
        <f>IF($C44="","",IF($L44="","",IF(AND($K44=1,ISNUMBER($L44),$L44&lt;$J44,COUNTIFS(nrES_PID,$D44,nrES_Code,$F44,nrES_Att,2,nrES_Raw,"&gt;=0")=0),"Yes","No")))</f>
        <v/>
      </c>
      <c r="R44" s="17">
        <f>IF($C44="","",IF($L44="","",IF(AND($K44=2,ISNUMBER($L44),$L44&lt;$J44),"Yes","No")))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IF(OR($C44="",$L44="",$K44&lt;&gt;1,NOT(ISNUMBER($L44)),$L44&gt;=$J44),"",IF(COUNTIFS(nrES_PID,$D44,nrES_Code,$F44,nrES_Att,2,nrES_Raw,"&gt;=0")&gt;0,IF(IFERROR(_xlfn.MINIFS(nrES_Date,nrES_PID,$D44,nrES_Code,$F44,nrES_Att,2,nrES_Raw,"&gt;=0",nrES_Date,"&gt;0"),0)=0,"RETEST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RANGE",IF(COUNTIF(nrES_RecID,$B44)&gt;1,"DUPLICATE RECORD",IF(AND($K44=2,COUNTIFS(nrES_PID,$D44,nrES_Code,$F44,nrES_Att,1)=0),"ATTEMPT 2 WITHOUT ATTEMPT 1",IF(AND($K44=2,$L44=""),"RETEST ROW HAS NO SCORE",IF(AND($H44="Final",$L44&lt;&gt;"",IFERROR(INDEX(nrCKfinalExamElig,MATCH($D44,rngCadetPIDs,0)),"")="No"),"FINAL EXAM AFTER FAILED FINAL PT (500.1.H)","OK")))))))</f>
        <v/>
      </c>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IF($C45="","",IF($K45="","",IF(COUNTIFS(nrES_PID,$D45,nrES_Code,$F45,nrES_Att,"&gt;"&amp;$K45,nrES_Raw,"&gt;=0")=0,"Yes","No")))</f>
        <v/>
      </c>
      <c r="Q45" s="17">
        <f>IF($C45="","",IF($L45="","",IF(AND($K45=1,ISNUMBER($L45),$L45&lt;$J45,COUNTIFS(nrES_PID,$D45,nrES_Code,$F45,nrES_Att,2,nrES_Raw,"&gt;=0")=0),"Yes","No")))</f>
        <v/>
      </c>
      <c r="R45" s="17">
        <f>IF($C45="","",IF($L45="","",IF(AND($K45=2,ISNUMBER($L45),$L45&lt;$J45),"Yes","No")))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IF(OR($C45="",$L45="",$K45&lt;&gt;1,NOT(ISNUMBER($L45)),$L45&gt;=$J45),"",IF(COUNTIFS(nrES_PID,$D45,nrES_Code,$F45,nrES_Att,2,nrES_Raw,"&gt;=0")&gt;0,IF(IFERROR(_xlfn.MINIFS(nrES_Date,nrES_PID,$D45,nrES_Code,$F45,nrES_Att,2,nrES_Raw,"&gt;=0",nrES_Date,"&gt;0"),0)=0,"RETEST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RANGE",IF(COUNTIF(nrES_RecID,$B45)&gt;1,"DUPLICATE RECORD",IF(AND($K45=2,COUNTIFS(nrES_PID,$D45,nrES_Code,$F45,nrES_Att,1)=0),"ATTEMPT 2 WITHOUT ATTEMPT 1",IF(AND($K45=2,$L45=""),"RETEST ROW HAS NO SCORE",IF(AND($H45="Final",$L45&lt;&gt;"",IFERROR(INDEX(nrCKfinalExamElig,MATCH($D45,rngCadetPIDs,0)),"")="No"),"FINAL EXAM AFTER FAILED FINAL PT (500.1.H)","OK")))))))</f>
        <v/>
      </c>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IF($C46="","",IF($K46="","",IF(COUNTIFS(nrES_PID,$D46,nrES_Code,$F46,nrES_Att,"&gt;"&amp;$K46,nrES_Raw,"&gt;=0")=0,"Yes","No")))</f>
        <v/>
      </c>
      <c r="Q46" s="17">
        <f>IF($C46="","",IF($L46="","",IF(AND($K46=1,ISNUMBER($L46),$L46&lt;$J46,COUNTIFS(nrES_PID,$D46,nrES_Code,$F46,nrES_Att,2,nrES_Raw,"&gt;=0")=0),"Yes","No")))</f>
        <v/>
      </c>
      <c r="R46" s="17">
        <f>IF($C46="","",IF($L46="","",IF(AND($K46=2,ISNUMBER($L46),$L46&lt;$J46),"Yes","No")))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IF(OR($C46="",$L46="",$K46&lt;&gt;1,NOT(ISNUMBER($L46)),$L46&gt;=$J46),"",IF(COUNTIFS(nrES_PID,$D46,nrES_Code,$F46,nrES_Att,2,nrES_Raw,"&gt;=0")&gt;0,IF(IFERROR(_xlfn.MINIFS(nrES_Date,nrES_PID,$D46,nrES_Code,$F46,nrES_Att,2,nrES_Raw,"&gt;=0",nrES_Date,"&gt;0"),0)=0,"RETEST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RANGE",IF(COUNTIF(nrES_RecID,$B46)&gt;1,"DUPLICATE RECORD",IF(AND($K46=2,COUNTIFS(nrES_PID,$D46,nrES_Code,$F46,nrES_Att,1)=0),"ATTEMPT 2 WITHOUT ATTEMPT 1",IF(AND($K46=2,$L46=""),"RETEST ROW HAS NO SCORE",IF(AND($H46="Final",$L46&lt;&gt;"",IFERROR(INDEX(nrCKfinalExamElig,MATCH($D46,rngCadetPIDs,0)),"")="No"),"FINAL EXAM AFTER FAILED FINAL PT (500.1.H)","OK")))))))</f>
        <v/>
      </c>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IF($C47="","",IF($K47="","",IF(COUNTIFS(nrES_PID,$D47,nrES_Code,$F47,nrES_Att,"&gt;"&amp;$K47,nrES_Raw,"&gt;=0")=0,"Yes","No")))</f>
        <v/>
      </c>
      <c r="Q47" s="17">
        <f>IF($C47="","",IF($L47="","",IF(AND($K47=1,ISNUMBER($L47),$L47&lt;$J47,COUNTIFS(nrES_PID,$D47,nrES_Code,$F47,nrES_Att,2,nrES_Raw,"&gt;=0")=0),"Yes","No")))</f>
        <v/>
      </c>
      <c r="R47" s="17">
        <f>IF($C47="","",IF($L47="","",IF(AND($K47=2,ISNUMBER($L47),$L47&lt;$J47),"Yes","No")))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IF(OR($C47="",$L47="",$K47&lt;&gt;1,NOT(ISNUMBER($L47)),$L47&gt;=$J47),"",IF(COUNTIFS(nrES_PID,$D47,nrES_Code,$F47,nrES_Att,2,nrES_Raw,"&gt;=0")&gt;0,IF(IFERROR(_xlfn.MINIFS(nrES_Date,nrES_PID,$D47,nrES_Code,$F47,nrES_Att,2,nrES_Raw,"&gt;=0",nrES_Date,"&gt;0"),0)=0,"RETEST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RANGE",IF(COUNTIF(nrES_RecID,$B47)&gt;1,"DUPLICATE RECORD",IF(AND($K47=2,COUNTIFS(nrES_PID,$D47,nrES_Code,$F47,nrES_Att,1)=0),"ATTEMPT 2 WITHOUT ATTEMPT 1",IF(AND($K47=2,$L47=""),"RETEST ROW HAS NO SCORE",IF(AND($H47="Final",$L47&lt;&gt;"",IFERROR(INDEX(nrCKfinalExamElig,MATCH($D47,rngCadetPIDs,0)),"")="No"),"FINAL EXAM AFTER FAILED FINAL PT (500.1.H)","OK")))))))</f>
        <v/>
      </c>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IF($C48="","",IF($K48="","",IF(COUNTIFS(nrES_PID,$D48,nrES_Code,$F48,nrES_Att,"&gt;"&amp;$K48,nrES_Raw,"&gt;=0")=0,"Yes","No")))</f>
        <v/>
      </c>
      <c r="Q48" s="17">
        <f>IF($C48="","",IF($L48="","",IF(AND($K48=1,ISNUMBER($L48),$L48&lt;$J48,COUNTIFS(nrES_PID,$D48,nrES_Code,$F48,nrES_Att,2,nrES_Raw,"&gt;=0")=0),"Yes","No")))</f>
        <v/>
      </c>
      <c r="R48" s="17">
        <f>IF($C48="","",IF($L48="","",IF(AND($K48=2,ISNUMBER($L48),$L48&lt;$J48),"Yes","No")))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IF(OR($C48="",$L48="",$K48&lt;&gt;1,NOT(ISNUMBER($L48)),$L48&gt;=$J48),"",IF(COUNTIFS(nrES_PID,$D48,nrES_Code,$F48,nrES_Att,2,nrES_Raw,"&gt;=0")&gt;0,IF(IFERROR(_xlfn.MINIFS(nrES_Date,nrES_PID,$D48,nrES_Code,$F48,nrES_Att,2,nrES_Raw,"&gt;=0",nrES_Date,"&gt;0"),0)=0,"RETEST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RANGE",IF(COUNTIF(nrES_RecID,$B48)&gt;1,"DUPLICATE RECORD",IF(AND($K48=2,COUNTIFS(nrES_PID,$D48,nrES_Code,$F48,nrES_Att,1)=0),"ATTEMPT 2 WITHOUT ATTEMPT 1",IF(AND($K48=2,$L48=""),"RETEST ROW HAS NO SCORE",IF(AND($H48="Final",$L48&lt;&gt;"",IFERROR(INDEX(nrCKfinalExamElig,MATCH($D48,rngCadetPIDs,0)),"")="No"),"FINAL EXAM AFTER FAILED FINAL PT (500.1.H)","OK")))))))</f>
        <v/>
      </c>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IF($C49="","",IF($K49="","",IF(COUNTIFS(nrES_PID,$D49,nrES_Code,$F49,nrES_Att,"&gt;"&amp;$K49,nrES_Raw,"&gt;=0")=0,"Yes","No")))</f>
        <v/>
      </c>
      <c r="Q49" s="17">
        <f>IF($C49="","",IF($L49="","",IF(AND($K49=1,ISNUMBER($L49),$L49&lt;$J49,COUNTIFS(nrES_PID,$D49,nrES_Code,$F49,nrES_Att,2,nrES_Raw,"&gt;=0")=0),"Yes","No")))</f>
        <v/>
      </c>
      <c r="R49" s="17">
        <f>IF($C49="","",IF($L49="","",IF(AND($K49=2,ISNUMBER($L49),$L49&lt;$J49),"Yes","No")))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IF(OR($C49="",$L49="",$K49&lt;&gt;1,NOT(ISNUMBER($L49)),$L49&gt;=$J49),"",IF(COUNTIFS(nrES_PID,$D49,nrES_Code,$F49,nrES_Att,2,nrES_Raw,"&gt;=0")&gt;0,IF(IFERROR(_xlfn.MINIFS(nrES_Date,nrES_PID,$D49,nrES_Code,$F49,nrES_Att,2,nrES_Raw,"&gt;=0",nrES_Date,"&gt;0"),0)=0,"RETEST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RANGE",IF(COUNTIF(nrES_RecID,$B49)&gt;1,"DUPLICATE RECORD",IF(AND($K49=2,COUNTIFS(nrES_PID,$D49,nrES_Code,$F49,nrES_Att,1)=0),"ATTEMPT 2 WITHOUT ATTEMPT 1",IF(AND($K49=2,$L49=""),"RETEST ROW HAS NO SCORE",IF(AND($H49="Final",$L49&lt;&gt;"",IFERROR(INDEX(nrCKfinalExamElig,MATCH($D49,rngCadetPIDs,0)),"")="No"),"FINAL EXAM AFTER FAILED FINAL PT (500.1.H)","OK")))))))</f>
        <v/>
      </c>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IF($C50="","",IF($K50="","",IF(COUNTIFS(nrES_PID,$D50,nrES_Code,$F50,nrES_Att,"&gt;"&amp;$K50,nrES_Raw,"&gt;=0")=0,"Yes","No")))</f>
        <v/>
      </c>
      <c r="Q50" s="17">
        <f>IF($C50="","",IF($L50="","",IF(AND($K50=1,ISNUMBER($L50),$L50&lt;$J50,COUNTIFS(nrES_PID,$D50,nrES_Code,$F50,nrES_Att,2,nrES_Raw,"&gt;=0")=0),"Yes","No")))</f>
        <v/>
      </c>
      <c r="R50" s="17">
        <f>IF($C50="","",IF($L50="","",IF(AND($K50=2,ISNUMBER($L50),$L50&lt;$J50),"Yes","No")))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IF(OR($C50="",$L50="",$K50&lt;&gt;1,NOT(ISNUMBER($L50)),$L50&gt;=$J50),"",IF(COUNTIFS(nrES_PID,$D50,nrES_Code,$F50,nrES_Att,2,nrES_Raw,"&gt;=0")&gt;0,IF(IFERROR(_xlfn.MINIFS(nrES_Date,nrES_PID,$D50,nrES_Code,$F50,nrES_Att,2,nrES_Raw,"&gt;=0",nrES_Date,"&gt;0"),0)=0,"RETEST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RANGE",IF(COUNTIF(nrES_RecID,$B50)&gt;1,"DUPLICATE RECORD",IF(AND($K50=2,COUNTIFS(nrES_PID,$D50,nrES_Code,$F50,nrES_Att,1)=0),"ATTEMPT 2 WITHOUT ATTEMPT 1",IF(AND($K50=2,$L50=""),"RETEST ROW HAS NO SCORE",IF(AND($H50="Final",$L50&lt;&gt;"",IFERROR(INDEX(nrCKfinalExamElig,MATCH($D50,rngCadetPIDs,0)),"")="No"),"FINAL EXAM AFTER FAILED FINAL PT (500.1.H)","OK")))))))</f>
        <v/>
      </c>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IF($C51="","",IF($K51="","",IF(COUNTIFS(nrES_PID,$D51,nrES_Code,$F51,nrES_Att,"&gt;"&amp;$K51,nrES_Raw,"&gt;=0")=0,"Yes","No")))</f>
        <v/>
      </c>
      <c r="Q51" s="17">
        <f>IF($C51="","",IF($L51="","",IF(AND($K51=1,ISNUMBER($L51),$L51&lt;$J51,COUNTIFS(nrES_PID,$D51,nrES_Code,$F51,nrES_Att,2,nrES_Raw,"&gt;=0")=0),"Yes","No")))</f>
        <v/>
      </c>
      <c r="R51" s="17">
        <f>IF($C51="","",IF($L51="","",IF(AND($K51=2,ISNUMBER($L51),$L51&lt;$J51),"Yes","No")))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IF(OR($C51="",$L51="",$K51&lt;&gt;1,NOT(ISNUMBER($L51)),$L51&gt;=$J51),"",IF(COUNTIFS(nrES_PID,$D51,nrES_Code,$F51,nrES_Att,2,nrES_Raw,"&gt;=0")&gt;0,IF(IFERROR(_xlfn.MINIFS(nrES_Date,nrES_PID,$D51,nrES_Code,$F51,nrES_Att,2,nrES_Raw,"&gt;=0",nrES_Date,"&gt;0"),0)=0,"RETEST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RANGE",IF(COUNTIF(nrES_RecID,$B51)&gt;1,"DUPLICATE RECORD",IF(AND($K51=2,COUNTIFS(nrES_PID,$D51,nrES_Code,$F51,nrES_Att,1)=0),"ATTEMPT 2 WITHOUT ATTEMPT 1",IF(AND($K51=2,$L51=""),"RETEST ROW HAS NO SCORE",IF(AND($H51="Final",$L51&lt;&gt;"",IFERROR(INDEX(nrCKfinalExamElig,MATCH($D51,rngCadetPIDs,0)),"")="No"),"FINAL EXAM AFTER FAILED FINAL PT (500.1.H)","OK")))))))</f>
        <v/>
      </c>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IF($C52="","",IF($K52="","",IF(COUNTIFS(nrES_PID,$D52,nrES_Code,$F52,nrES_Att,"&gt;"&amp;$K52,nrES_Raw,"&gt;=0")=0,"Yes","No")))</f>
        <v/>
      </c>
      <c r="Q52" s="17">
        <f>IF($C52="","",IF($L52="","",IF(AND($K52=1,ISNUMBER($L52),$L52&lt;$J52,COUNTIFS(nrES_PID,$D52,nrES_Code,$F52,nrES_Att,2,nrES_Raw,"&gt;=0")=0),"Yes","No")))</f>
        <v/>
      </c>
      <c r="R52" s="17">
        <f>IF($C52="","",IF($L52="","",IF(AND($K52=2,ISNUMBER($L52),$L52&lt;$J52),"Yes","No")))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IF(OR($C52="",$L52="",$K52&lt;&gt;1,NOT(ISNUMBER($L52)),$L52&gt;=$J52),"",IF(COUNTIFS(nrES_PID,$D52,nrES_Code,$F52,nrES_Att,2,nrES_Raw,"&gt;=0")&gt;0,IF(IFERROR(_xlfn.MINIFS(nrES_Date,nrES_PID,$D52,nrES_Code,$F52,nrES_Att,2,nrES_Raw,"&gt;=0",nrES_Date,"&gt;0"),0)=0,"RETEST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RANGE",IF(COUNTIF(nrES_RecID,$B52)&gt;1,"DUPLICATE RECORD",IF(AND($K52=2,COUNTIFS(nrES_PID,$D52,nrES_Code,$F52,nrES_Att,1)=0),"ATTEMPT 2 WITHOUT ATTEMPT 1",IF(AND($K52=2,$L52=""),"RETEST ROW HAS NO SCORE",IF(AND($H52="Final",$L52&lt;&gt;"",IFERROR(INDEX(nrCKfinalExamElig,MATCH($D52,rngCadetPIDs,0)),"")="No"),"FINAL EXAM AFTER FAILED FINAL PT (500.1.H)","OK")))))))</f>
        <v/>
      </c>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IF($C53="","",IF($K53="","",IF(COUNTIFS(nrES_PID,$D53,nrES_Code,$F53,nrES_Att,"&gt;"&amp;$K53,nrES_Raw,"&gt;=0")=0,"Yes","No")))</f>
        <v/>
      </c>
      <c r="Q53" s="17">
        <f>IF($C53="","",IF($L53="","",IF(AND($K53=1,ISNUMBER($L53),$L53&lt;$J53,COUNTIFS(nrES_PID,$D53,nrES_Code,$F53,nrES_Att,2,nrES_Raw,"&gt;=0")=0),"Yes","No")))</f>
        <v/>
      </c>
      <c r="R53" s="17">
        <f>IF($C53="","",IF($L53="","",IF(AND($K53=2,ISNUMBER($L53),$L53&lt;$J53),"Yes","No")))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IF(OR($C53="",$L53="",$K53&lt;&gt;1,NOT(ISNUMBER($L53)),$L53&gt;=$J53),"",IF(COUNTIFS(nrES_PID,$D53,nrES_Code,$F53,nrES_Att,2,nrES_Raw,"&gt;=0")&gt;0,IF(IFERROR(_xlfn.MINIFS(nrES_Date,nrES_PID,$D53,nrES_Code,$F53,nrES_Att,2,nrES_Raw,"&gt;=0",nrES_Date,"&gt;0"),0)=0,"RETEST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RANGE",IF(COUNTIF(nrES_RecID,$B53)&gt;1,"DUPLICATE RECORD",IF(AND($K53=2,COUNTIFS(nrES_PID,$D53,nrES_Code,$F53,nrES_Att,1)=0),"ATTEMPT 2 WITHOUT ATTEMPT 1",IF(AND($K53=2,$L53=""),"RETEST ROW HAS NO SCORE",IF(AND($H53="Final",$L53&lt;&gt;"",IFERROR(INDEX(nrCKfinalExamElig,MATCH($D53,rngCadetPIDs,0)),"")="No"),"FINAL EXAM AFTER FAILED FINAL PT (500.1.H)","OK")))))))</f>
        <v/>
      </c>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IF($C54="","",IF($K54="","",IF(COUNTIFS(nrES_PID,$D54,nrES_Code,$F54,nrES_Att,"&gt;"&amp;$K54,nrES_Raw,"&gt;=0")=0,"Yes","No")))</f>
        <v/>
      </c>
      <c r="Q54" s="17">
        <f>IF($C54="","",IF($L54="","",IF(AND($K54=1,ISNUMBER($L54),$L54&lt;$J54,COUNTIFS(nrES_PID,$D54,nrES_Code,$F54,nrES_Att,2,nrES_Raw,"&gt;=0")=0),"Yes","No")))</f>
        <v/>
      </c>
      <c r="R54" s="17">
        <f>IF($C54="","",IF($L54="","",IF(AND($K54=2,ISNUMBER($L54),$L54&lt;$J54),"Yes","No")))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IF(OR($C54="",$L54="",$K54&lt;&gt;1,NOT(ISNUMBER($L54)),$L54&gt;=$J54),"",IF(COUNTIFS(nrES_PID,$D54,nrES_Code,$F54,nrES_Att,2,nrES_Raw,"&gt;=0")&gt;0,IF(IFERROR(_xlfn.MINIFS(nrES_Date,nrES_PID,$D54,nrES_Code,$F54,nrES_Att,2,nrES_Raw,"&gt;=0",nrES_Date,"&gt;0"),0)=0,"RETEST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RANGE",IF(COUNTIF(nrES_RecID,$B54)&gt;1,"DUPLICATE RECORD",IF(AND($K54=2,COUNTIFS(nrES_PID,$D54,nrES_Code,$F54,nrES_Att,1)=0),"ATTEMPT 2 WITHOUT ATTEMPT 1",IF(AND($K54=2,$L54=""),"RETEST ROW HAS NO SCORE",IF(AND($H54="Final",$L54&lt;&gt;"",IFERROR(INDEX(nrCKfinalExamElig,MATCH($D54,rngCadetPIDs,0)),"")="No"),"FINAL EXAM AFTER FAILED FINAL PT (500.1.H)","OK")))))))</f>
        <v/>
      </c>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IF($C55="","",IF($K55="","",IF(COUNTIFS(nrES_PID,$D55,nrES_Code,$F55,nrES_Att,"&gt;"&amp;$K55,nrES_Raw,"&gt;=0")=0,"Yes","No")))</f>
        <v/>
      </c>
      <c r="Q55" s="17">
        <f>IF($C55="","",IF($L55="","",IF(AND($K55=1,ISNUMBER($L55),$L55&lt;$J55,COUNTIFS(nrES_PID,$D55,nrES_Code,$F55,nrES_Att,2,nrES_Raw,"&gt;=0")=0),"Yes","No")))</f>
        <v/>
      </c>
      <c r="R55" s="17">
        <f>IF($C55="","",IF($L55="","",IF(AND($K55=2,ISNUMBER($L55),$L55&lt;$J55),"Yes","No")))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IF(OR($C55="",$L55="",$K55&lt;&gt;1,NOT(ISNUMBER($L55)),$L55&gt;=$J55),"",IF(COUNTIFS(nrES_PID,$D55,nrES_Code,$F55,nrES_Att,2,nrES_Raw,"&gt;=0")&gt;0,IF(IFERROR(_xlfn.MINIFS(nrES_Date,nrES_PID,$D55,nrES_Code,$F55,nrES_Att,2,nrES_Raw,"&gt;=0",nrES_Date,"&gt;0"),0)=0,"RETEST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RANGE",IF(COUNTIF(nrES_RecID,$B55)&gt;1,"DUPLICATE RECORD",IF(AND($K55=2,COUNTIFS(nrES_PID,$D55,nrES_Code,$F55,nrES_Att,1)=0),"ATTEMPT 2 WITHOUT ATTEMPT 1",IF(AND($K55=2,$L55=""),"RETEST ROW HAS NO SCORE",IF(AND($H55="Final",$L55&lt;&gt;"",IFERROR(INDEX(nrCKfinalExamElig,MATCH($D55,rngCadetPIDs,0)),"")="No"),"FINAL EXAM AFTER FAILED FINAL PT (500.1.H)","OK")))))))</f>
        <v/>
      </c>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IF($C56="","",IF($K56="","",IF(COUNTIFS(nrES_PID,$D56,nrES_Code,$F56,nrES_Att,"&gt;"&amp;$K56,nrES_Raw,"&gt;=0")=0,"Yes","No")))</f>
        <v/>
      </c>
      <c r="Q56" s="17">
        <f>IF($C56="","",IF($L56="","",IF(AND($K56=1,ISNUMBER($L56),$L56&lt;$J56,COUNTIFS(nrES_PID,$D56,nrES_Code,$F56,nrES_Att,2,nrES_Raw,"&gt;=0")=0),"Yes","No")))</f>
        <v/>
      </c>
      <c r="R56" s="17">
        <f>IF($C56="","",IF($L56="","",IF(AND($K56=2,ISNUMBER($L56),$L56&lt;$J56),"Yes","No")))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IF(OR($C56="",$L56="",$K56&lt;&gt;1,NOT(ISNUMBER($L56)),$L56&gt;=$J56),"",IF(COUNTIFS(nrES_PID,$D56,nrES_Code,$F56,nrES_Att,2,nrES_Raw,"&gt;=0")&gt;0,IF(IFERROR(_xlfn.MINIFS(nrES_Date,nrES_PID,$D56,nrES_Code,$F56,nrES_Att,2,nrES_Raw,"&gt;=0",nrES_Date,"&gt;0"),0)=0,"RETEST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RANGE",IF(COUNTIF(nrES_RecID,$B56)&gt;1,"DUPLICATE RECORD",IF(AND($K56=2,COUNTIFS(nrES_PID,$D56,nrES_Code,$F56,nrES_Att,1)=0),"ATTEMPT 2 WITHOUT ATTEMPT 1",IF(AND($K56=2,$L56=""),"RETEST ROW HAS NO SCORE",IF(AND($H56="Final",$L56&lt;&gt;"",IFERROR(INDEX(nrCKfinalExamElig,MATCH($D56,rngCadetPIDs,0)),"")="No"),"FINAL EXAM AFTER FAILED FINAL PT (500.1.H)","OK")))))))</f>
        <v/>
      </c>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IF($C57="","",IF($K57="","",IF(COUNTIFS(nrES_PID,$D57,nrES_Code,$F57,nrES_Att,"&gt;"&amp;$K57,nrES_Raw,"&gt;=0")=0,"Yes","No")))</f>
        <v/>
      </c>
      <c r="Q57" s="17">
        <f>IF($C57="","",IF($L57="","",IF(AND($K57=1,ISNUMBER($L57),$L57&lt;$J57,COUNTIFS(nrES_PID,$D57,nrES_Code,$F57,nrES_Att,2,nrES_Raw,"&gt;=0")=0),"Yes","No")))</f>
        <v/>
      </c>
      <c r="R57" s="17">
        <f>IF($C57="","",IF($L57="","",IF(AND($K57=2,ISNUMBER($L57),$L57&lt;$J57),"Yes","No")))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IF(OR($C57="",$L57="",$K57&lt;&gt;1,NOT(ISNUMBER($L57)),$L57&gt;=$J57),"",IF(COUNTIFS(nrES_PID,$D57,nrES_Code,$F57,nrES_Att,2,nrES_Raw,"&gt;=0")&gt;0,IF(IFERROR(_xlfn.MINIFS(nrES_Date,nrES_PID,$D57,nrES_Code,$F57,nrES_Att,2,nrES_Raw,"&gt;=0",nrES_Date,"&gt;0"),0)=0,"RETEST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RANGE",IF(COUNTIF(nrES_RecID,$B57)&gt;1,"DUPLICATE RECORD",IF(AND($K57=2,COUNTIFS(nrES_PID,$D57,nrES_Code,$F57,nrES_Att,1)=0),"ATTEMPT 2 WITHOUT ATTEMPT 1",IF(AND($K57=2,$L57=""),"RETEST ROW HAS NO SCORE",IF(AND($H57="Final",$L57&lt;&gt;"",IFERROR(INDEX(nrCKfinalExamElig,MATCH($D57,rngCadetPIDs,0)),"")="No"),"FINAL EXAM AFTER FAILED FINAL PT (500.1.H)","OK")))))))</f>
        <v/>
      </c>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IF($C58="","",IF($K58="","",IF(COUNTIFS(nrES_PID,$D58,nrES_Code,$F58,nrES_Att,"&gt;"&amp;$K58,nrES_Raw,"&gt;=0")=0,"Yes","No")))</f>
        <v/>
      </c>
      <c r="Q58" s="17">
        <f>IF($C58="","",IF($L58="","",IF(AND($K58=1,ISNUMBER($L58),$L58&lt;$J58,COUNTIFS(nrES_PID,$D58,nrES_Code,$F58,nrES_Att,2,nrES_Raw,"&gt;=0")=0),"Yes","No")))</f>
        <v/>
      </c>
      <c r="R58" s="17">
        <f>IF($C58="","",IF($L58="","",IF(AND($K58=2,ISNUMBER($L58),$L58&lt;$J58),"Yes","No")))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IF(OR($C58="",$L58="",$K58&lt;&gt;1,NOT(ISNUMBER($L58)),$L58&gt;=$J58),"",IF(COUNTIFS(nrES_PID,$D58,nrES_Code,$F58,nrES_Att,2,nrES_Raw,"&gt;=0")&gt;0,IF(IFERROR(_xlfn.MINIFS(nrES_Date,nrES_PID,$D58,nrES_Code,$F58,nrES_Att,2,nrES_Raw,"&gt;=0",nrES_Date,"&gt;0"),0)=0,"RETEST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RANGE",IF(COUNTIF(nrES_RecID,$B58)&gt;1,"DUPLICATE RECORD",IF(AND($K58=2,COUNTIFS(nrES_PID,$D58,nrES_Code,$F58,nrES_Att,1)=0),"ATTEMPT 2 WITHOUT ATTEMPT 1",IF(AND($K58=2,$L58=""),"RETEST ROW HAS NO SCORE",IF(AND($H58="Final",$L58&lt;&gt;"",IFERROR(INDEX(nrCKfinalExamElig,MATCH($D58,rngCadetPIDs,0)),"")="No"),"FINAL EXAM AFTER FAILED FINAL PT (500.1.H)","OK")))))))</f>
        <v/>
      </c>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IF($C59="","",IF($K59="","",IF(COUNTIFS(nrES_PID,$D59,nrES_Code,$F59,nrES_Att,"&gt;"&amp;$K59,nrES_Raw,"&gt;=0")=0,"Yes","No")))</f>
        <v/>
      </c>
      <c r="Q59" s="17">
        <f>IF($C59="","",IF($L59="","",IF(AND($K59=1,ISNUMBER($L59),$L59&lt;$J59,COUNTIFS(nrES_PID,$D59,nrES_Code,$F59,nrES_Att,2,nrES_Raw,"&gt;=0")=0),"Yes","No")))</f>
        <v/>
      </c>
      <c r="R59" s="17">
        <f>IF($C59="","",IF($L59="","",IF(AND($K59=2,ISNUMBER($L59),$L59&lt;$J59),"Yes","No")))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IF(OR($C59="",$L59="",$K59&lt;&gt;1,NOT(ISNUMBER($L59)),$L59&gt;=$J59),"",IF(COUNTIFS(nrES_PID,$D59,nrES_Code,$F59,nrES_Att,2,nrES_Raw,"&gt;=0")&gt;0,IF(IFERROR(_xlfn.MINIFS(nrES_Date,nrES_PID,$D59,nrES_Code,$F59,nrES_Att,2,nrES_Raw,"&gt;=0",nrES_Date,"&gt;0"),0)=0,"RETEST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RANGE",IF(COUNTIF(nrES_RecID,$B59)&gt;1,"DUPLICATE RECORD",IF(AND($K59=2,COUNTIFS(nrES_PID,$D59,nrES_Code,$F59,nrES_Att,1)=0),"ATTEMPT 2 WITHOUT ATTEMPT 1",IF(AND($K59=2,$L59=""),"RETEST ROW HAS NO SCORE",IF(AND($H59="Final",$L59&lt;&gt;"",IFERROR(INDEX(nrCKfinalExamElig,MATCH($D59,rngCadetPIDs,0)),"")="No"),"FINAL EXAM AFTER FAILED FINAL PT (500.1.H)","OK")))))))</f>
        <v/>
      </c>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IF($C60="","",IF($K60="","",IF(COUNTIFS(nrES_PID,$D60,nrES_Code,$F60,nrES_Att,"&gt;"&amp;$K60,nrES_Raw,"&gt;=0")=0,"Yes","No")))</f>
        <v/>
      </c>
      <c r="Q60" s="17">
        <f>IF($C60="","",IF($L60="","",IF(AND($K60=1,ISNUMBER($L60),$L60&lt;$J60,COUNTIFS(nrES_PID,$D60,nrES_Code,$F60,nrES_Att,2,nrES_Raw,"&gt;=0")=0),"Yes","No")))</f>
        <v/>
      </c>
      <c r="R60" s="17">
        <f>IF($C60="","",IF($L60="","",IF(AND($K60=2,ISNUMBER($L60),$L60&lt;$J60),"Yes","No")))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IF(OR($C60="",$L60="",$K60&lt;&gt;1,NOT(ISNUMBER($L60)),$L60&gt;=$J60),"",IF(COUNTIFS(nrES_PID,$D60,nrES_Code,$F60,nrES_Att,2,nrES_Raw,"&gt;=0")&gt;0,IF(IFERROR(_xlfn.MINIFS(nrES_Date,nrES_PID,$D60,nrES_Code,$F60,nrES_Att,2,nrES_Raw,"&gt;=0",nrES_Date,"&gt;0"),0)=0,"RETEST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RANGE",IF(COUNTIF(nrES_RecID,$B60)&gt;1,"DUPLICATE RECORD",IF(AND($K60=2,COUNTIFS(nrES_PID,$D60,nrES_Code,$F60,nrES_Att,1)=0),"ATTEMPT 2 WITHOUT ATTEMPT 1",IF(AND($K60=2,$L60=""),"RETEST ROW HAS NO SCORE",IF(AND($H60="Final",$L60&lt;&gt;"",IFERROR(INDEX(nrCKfinalExamElig,MATCH($D60,rngCadetPIDs,0)),"")="No"),"FINAL EXAM AFTER FAILED FINAL PT (500.1.H)","OK")))))))</f>
        <v/>
      </c>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IF($C61="","",IF($K61="","",IF(COUNTIFS(nrES_PID,$D61,nrES_Code,$F61,nrES_Att,"&gt;"&amp;$K61,nrES_Raw,"&gt;=0")=0,"Yes","No")))</f>
        <v/>
      </c>
      <c r="Q61" s="17">
        <f>IF($C61="","",IF($L61="","",IF(AND($K61=1,ISNUMBER($L61),$L61&lt;$J61,COUNTIFS(nrES_PID,$D61,nrES_Code,$F61,nrES_Att,2,nrES_Raw,"&gt;=0")=0),"Yes","No")))</f>
        <v/>
      </c>
      <c r="R61" s="17">
        <f>IF($C61="","",IF($L61="","",IF(AND($K61=2,ISNUMBER($L61),$L61&lt;$J61),"Yes","No")))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IF(OR($C61="",$L61="",$K61&lt;&gt;1,NOT(ISNUMBER($L61)),$L61&gt;=$J61),"",IF(COUNTIFS(nrES_PID,$D61,nrES_Code,$F61,nrES_Att,2,nrES_Raw,"&gt;=0")&gt;0,IF(IFERROR(_xlfn.MINIFS(nrES_Date,nrES_PID,$D61,nrES_Code,$F61,nrES_Att,2,nrES_Raw,"&gt;=0",nrES_Date,"&gt;0"),0)=0,"RETEST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RANGE",IF(COUNTIF(nrES_RecID,$B61)&gt;1,"DUPLICATE RECORD",IF(AND($K61=2,COUNTIFS(nrES_PID,$D61,nrES_Code,$F61,nrES_Att,1)=0),"ATTEMPT 2 WITHOUT ATTEMPT 1",IF(AND($K61=2,$L61=""),"RETEST ROW HAS NO SCORE",IF(AND($H61="Final",$L61&lt;&gt;"",IFERROR(INDEX(nrCKfinalExamElig,MATCH($D61,rngCadetPIDs,0)),"")="No"),"FINAL EXAM AFTER FAILED FINAL PT (500.1.H)","OK")))))))</f>
        <v/>
      </c>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IF($C62="","",IF($K62="","",IF(COUNTIFS(nrES_PID,$D62,nrES_Code,$F62,nrES_Att,"&gt;"&amp;$K62,nrES_Raw,"&gt;=0")=0,"Yes","No")))</f>
        <v/>
      </c>
      <c r="Q62" s="17">
        <f>IF($C62="","",IF($L62="","",IF(AND($K62=1,ISNUMBER($L62),$L62&lt;$J62,COUNTIFS(nrES_PID,$D62,nrES_Code,$F62,nrES_Att,2,nrES_Raw,"&gt;=0")=0),"Yes","No")))</f>
        <v/>
      </c>
      <c r="R62" s="17">
        <f>IF($C62="","",IF($L62="","",IF(AND($K62=2,ISNUMBER($L62),$L62&lt;$J62),"Yes","No")))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IF(OR($C62="",$L62="",$K62&lt;&gt;1,NOT(ISNUMBER($L62)),$L62&gt;=$J62),"",IF(COUNTIFS(nrES_PID,$D62,nrES_Code,$F62,nrES_Att,2,nrES_Raw,"&gt;=0")&gt;0,IF(IFERROR(_xlfn.MINIFS(nrES_Date,nrES_PID,$D62,nrES_Code,$F62,nrES_Att,2,nrES_Raw,"&gt;=0",nrES_Date,"&gt;0"),0)=0,"RETEST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RANGE",IF(COUNTIF(nrES_RecID,$B62)&gt;1,"DUPLICATE RECORD",IF(AND($K62=2,COUNTIFS(nrES_PID,$D62,nrES_Code,$F62,nrES_Att,1)=0),"ATTEMPT 2 WITHOUT ATTEMPT 1",IF(AND($K62=2,$L62=""),"RETEST ROW HAS NO SCORE",IF(AND($H62="Final",$L62&lt;&gt;"",IFERROR(INDEX(nrCKfinalExamElig,MATCH($D62,rngCadetPIDs,0)),"")="No"),"FINAL EXAM AFTER FAILED FINAL PT (500.1.H)","OK")))))))</f>
        <v/>
      </c>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IF($C63="","",IF($K63="","",IF(COUNTIFS(nrES_PID,$D63,nrES_Code,$F63,nrES_Att,"&gt;"&amp;$K63,nrES_Raw,"&gt;=0")=0,"Yes","No")))</f>
        <v/>
      </c>
      <c r="Q63" s="17">
        <f>IF($C63="","",IF($L63="","",IF(AND($K63=1,ISNUMBER($L63),$L63&lt;$J63,COUNTIFS(nrES_PID,$D63,nrES_Code,$F63,nrES_Att,2,nrES_Raw,"&gt;=0")=0),"Yes","No")))</f>
        <v/>
      </c>
      <c r="R63" s="17">
        <f>IF($C63="","",IF($L63="","",IF(AND($K63=2,ISNUMBER($L63),$L63&lt;$J63),"Yes","No")))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IF(OR($C63="",$L63="",$K63&lt;&gt;1,NOT(ISNUMBER($L63)),$L63&gt;=$J63),"",IF(COUNTIFS(nrES_PID,$D63,nrES_Code,$F63,nrES_Att,2,nrES_Raw,"&gt;=0")&gt;0,IF(IFERROR(_xlfn.MINIFS(nrES_Date,nrES_PID,$D63,nrES_Code,$F63,nrES_Att,2,nrES_Raw,"&gt;=0",nrES_Date,"&gt;0"),0)=0,"RETEST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RANGE",IF(COUNTIF(nrES_RecID,$B63)&gt;1,"DUPLICATE RECORD",IF(AND($K63=2,COUNTIFS(nrES_PID,$D63,nrES_Code,$F63,nrES_Att,1)=0),"ATTEMPT 2 WITHOUT ATTEMPT 1",IF(AND($K63=2,$L63=""),"RETEST ROW HAS NO SCORE",IF(AND($H63="Final",$L63&lt;&gt;"",IFERROR(INDEX(nrCKfinalExamElig,MATCH($D63,rngCadetPIDs,0)),"")="No"),"FINAL EXAM AFTER FAILED FINAL PT (500.1.H)","OK")))))))</f>
        <v/>
      </c>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IF($C64="","",IF($K64="","",IF(COUNTIFS(nrES_PID,$D64,nrES_Code,$F64,nrES_Att,"&gt;"&amp;$K64,nrES_Raw,"&gt;=0")=0,"Yes","No")))</f>
        <v/>
      </c>
      <c r="Q64" s="17">
        <f>IF($C64="","",IF($L64="","",IF(AND($K64=1,ISNUMBER($L64),$L64&lt;$J64,COUNTIFS(nrES_PID,$D64,nrES_Code,$F64,nrES_Att,2,nrES_Raw,"&gt;=0")=0),"Yes","No")))</f>
        <v/>
      </c>
      <c r="R64" s="17">
        <f>IF($C64="","",IF($L64="","",IF(AND($K64=2,ISNUMBER($L64),$L64&lt;$J64),"Yes","No")))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IF(OR($C64="",$L64="",$K64&lt;&gt;1,NOT(ISNUMBER($L64)),$L64&gt;=$J64),"",IF(COUNTIFS(nrES_PID,$D64,nrES_Code,$F64,nrES_Att,2,nrES_Raw,"&gt;=0")&gt;0,IF(IFERROR(_xlfn.MINIFS(nrES_Date,nrES_PID,$D64,nrES_Code,$F64,nrES_Att,2,nrES_Raw,"&gt;=0",nrES_Date,"&gt;0"),0)=0,"RETEST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RANGE",IF(COUNTIF(nrES_RecID,$B64)&gt;1,"DUPLICATE RECORD",IF(AND($K64=2,COUNTIFS(nrES_PID,$D64,nrES_Code,$F64,nrES_Att,1)=0),"ATTEMPT 2 WITHOUT ATTEMPT 1",IF(AND($K64=2,$L64=""),"RETEST ROW HAS NO SCORE",IF(AND($H64="Final",$L64&lt;&gt;"",IFERROR(INDEX(nrCKfinalExamElig,MATCH($D64,rngCadetPIDs,0)),"")="No"),"FINAL EXAM AFTER FAILED FINAL PT (500.1.H)","OK")))))))</f>
        <v/>
      </c>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IF($C65="","",IF($K65="","",IF(COUNTIFS(nrES_PID,$D65,nrES_Code,$F65,nrES_Att,"&gt;"&amp;$K65,nrES_Raw,"&gt;=0")=0,"Yes","No")))</f>
        <v/>
      </c>
      <c r="Q65" s="17">
        <f>IF($C65="","",IF($L65="","",IF(AND($K65=1,ISNUMBER($L65),$L65&lt;$J65,COUNTIFS(nrES_PID,$D65,nrES_Code,$F65,nrES_Att,2,nrES_Raw,"&gt;=0")=0),"Yes","No")))</f>
        <v/>
      </c>
      <c r="R65" s="17">
        <f>IF($C65="","",IF($L65="","",IF(AND($K65=2,ISNUMBER($L65),$L65&lt;$J65),"Yes","No")))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IF(OR($C65="",$L65="",$K65&lt;&gt;1,NOT(ISNUMBER($L65)),$L65&gt;=$J65),"",IF(COUNTIFS(nrES_PID,$D65,nrES_Code,$F65,nrES_Att,2,nrES_Raw,"&gt;=0")&gt;0,IF(IFERROR(_xlfn.MINIFS(nrES_Date,nrES_PID,$D65,nrES_Code,$F65,nrES_Att,2,nrES_Raw,"&gt;=0",nrES_Date,"&gt;0"),0)=0,"RETEST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RANGE",IF(COUNTIF(nrES_RecID,$B65)&gt;1,"DUPLICATE RECORD",IF(AND($K65=2,COUNTIFS(nrES_PID,$D65,nrES_Code,$F65,nrES_Att,1)=0),"ATTEMPT 2 WITHOUT ATTEMPT 1",IF(AND($K65=2,$L65=""),"RETEST ROW HAS NO SCORE",IF(AND($H65="Final",$L65&lt;&gt;"",IFERROR(INDEX(nrCKfinalExamElig,MATCH($D65,rngCadetPIDs,0)),"")="No"),"FINAL EXAM AFTER FAILED FINAL PT (500.1.H)","OK")))))))</f>
        <v/>
      </c>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IF($C66="","",IF($K66="","",IF(COUNTIFS(nrES_PID,$D66,nrES_Code,$F66,nrES_Att,"&gt;"&amp;$K66,nrES_Raw,"&gt;=0")=0,"Yes","No")))</f>
        <v/>
      </c>
      <c r="Q66" s="17">
        <f>IF($C66="","",IF($L66="","",IF(AND($K66=1,ISNUMBER($L66),$L66&lt;$J66,COUNTIFS(nrES_PID,$D66,nrES_Code,$F66,nrES_Att,2,nrES_Raw,"&gt;=0")=0),"Yes","No")))</f>
        <v/>
      </c>
      <c r="R66" s="17">
        <f>IF($C66="","",IF($L66="","",IF(AND($K66=2,ISNUMBER($L66),$L66&lt;$J66),"Yes","No")))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IF(OR($C66="",$L66="",$K66&lt;&gt;1,NOT(ISNUMBER($L66)),$L66&gt;=$J66),"",IF(COUNTIFS(nrES_PID,$D66,nrES_Code,$F66,nrES_Att,2,nrES_Raw,"&gt;=0")&gt;0,IF(IFERROR(_xlfn.MINIFS(nrES_Date,nrES_PID,$D66,nrES_Code,$F66,nrES_Att,2,nrES_Raw,"&gt;=0",nrES_Date,"&gt;0"),0)=0,"RETEST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RANGE",IF(COUNTIF(nrES_RecID,$B66)&gt;1,"DUPLICATE RECORD",IF(AND($K66=2,COUNTIFS(nrES_PID,$D66,nrES_Code,$F66,nrES_Att,1)=0),"ATTEMPT 2 WITHOUT ATTEMPT 1",IF(AND($K66=2,$L66=""),"RETEST ROW HAS NO SCORE",IF(AND($H66="Final",$L66&lt;&gt;"",IFERROR(INDEX(nrCKfinalExamElig,MATCH($D66,rngCadetPIDs,0)),"")="No"),"FINAL EXAM AFTER FAILED FINAL PT (500.1.H)","OK")))))))</f>
        <v/>
      </c>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IF($C67="","",IF($K67="","",IF(COUNTIFS(nrES_PID,$D67,nrES_Code,$F67,nrES_Att,"&gt;"&amp;$K67,nrES_Raw,"&gt;=0")=0,"Yes","No")))</f>
        <v/>
      </c>
      <c r="Q67" s="17">
        <f>IF($C67="","",IF($L67="","",IF(AND($K67=1,ISNUMBER($L67),$L67&lt;$J67,COUNTIFS(nrES_PID,$D67,nrES_Code,$F67,nrES_Att,2,nrES_Raw,"&gt;=0")=0),"Yes","No")))</f>
        <v/>
      </c>
      <c r="R67" s="17">
        <f>IF($C67="","",IF($L67="","",IF(AND($K67=2,ISNUMBER($L67),$L67&lt;$J67),"Yes","No")))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IF(OR($C67="",$L67="",$K67&lt;&gt;1,NOT(ISNUMBER($L67)),$L67&gt;=$J67),"",IF(COUNTIFS(nrES_PID,$D67,nrES_Code,$F67,nrES_Att,2,nrES_Raw,"&gt;=0")&gt;0,IF(IFERROR(_xlfn.MINIFS(nrES_Date,nrES_PID,$D67,nrES_Code,$F67,nrES_Att,2,nrES_Raw,"&gt;=0",nrES_Date,"&gt;0"),0)=0,"RETEST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RANGE",IF(COUNTIF(nrES_RecID,$B67)&gt;1,"DUPLICATE RECORD",IF(AND($K67=2,COUNTIFS(nrES_PID,$D67,nrES_Code,$F67,nrES_Att,1)=0),"ATTEMPT 2 WITHOUT ATTEMPT 1",IF(AND($K67=2,$L67=""),"RETEST ROW HAS NO SCORE",IF(AND($H67="Final",$L67&lt;&gt;"",IFERROR(INDEX(nrCKfinalExamElig,MATCH($D67,rngCadetPIDs,0)),"")="No"),"FINAL EXAM AFTER FAILED FINAL PT (500.1.H)","OK")))))))</f>
        <v/>
      </c>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IF($C68="","",IF($K68="","",IF(COUNTIFS(nrES_PID,$D68,nrES_Code,$F68,nrES_Att,"&gt;"&amp;$K68,nrES_Raw,"&gt;=0")=0,"Yes","No")))</f>
        <v/>
      </c>
      <c r="Q68" s="17">
        <f>IF($C68="","",IF($L68="","",IF(AND($K68=1,ISNUMBER($L68),$L68&lt;$J68,COUNTIFS(nrES_PID,$D68,nrES_Code,$F68,nrES_Att,2,nrES_Raw,"&gt;=0")=0),"Yes","No")))</f>
        <v/>
      </c>
      <c r="R68" s="17">
        <f>IF($C68="","",IF($L68="","",IF(AND($K68=2,ISNUMBER($L68),$L68&lt;$J68),"Yes","No")))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IF(OR($C68="",$L68="",$K68&lt;&gt;1,NOT(ISNUMBER($L68)),$L68&gt;=$J68),"",IF(COUNTIFS(nrES_PID,$D68,nrES_Code,$F68,nrES_Att,2,nrES_Raw,"&gt;=0")&gt;0,IF(IFERROR(_xlfn.MINIFS(nrES_Date,nrES_PID,$D68,nrES_Code,$F68,nrES_Att,2,nrES_Raw,"&gt;=0",nrES_Date,"&gt;0"),0)=0,"RETEST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RANGE",IF(COUNTIF(nrES_RecID,$B68)&gt;1,"DUPLICATE RECORD",IF(AND($K68=2,COUNTIFS(nrES_PID,$D68,nrES_Code,$F68,nrES_Att,1)=0),"ATTEMPT 2 WITHOUT ATTEMPT 1",IF(AND($K68=2,$L68=""),"RETEST ROW HAS NO SCORE",IF(AND($H68="Final",$L68&lt;&gt;"",IFERROR(INDEX(nrCKfinalExamElig,MATCH($D68,rngCadetPIDs,0)),"")="No"),"FINAL EXAM AFTER FAILED FINAL PT (500.1.H)","OK")))))))</f>
        <v/>
      </c>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IF($C69="","",IF($K69="","",IF(COUNTIFS(nrES_PID,$D69,nrES_Code,$F69,nrES_Att,"&gt;"&amp;$K69,nrES_Raw,"&gt;=0")=0,"Yes","No")))</f>
        <v/>
      </c>
      <c r="Q69" s="17">
        <f>IF($C69="","",IF($L69="","",IF(AND($K69=1,ISNUMBER($L69),$L69&lt;$J69,COUNTIFS(nrES_PID,$D69,nrES_Code,$F69,nrES_Att,2,nrES_Raw,"&gt;=0")=0),"Yes","No")))</f>
        <v/>
      </c>
      <c r="R69" s="17">
        <f>IF($C69="","",IF($L69="","",IF(AND($K69=2,ISNUMBER($L69),$L69&lt;$J69),"Yes","No")))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IF(OR($C69="",$L69="",$K69&lt;&gt;1,NOT(ISNUMBER($L69)),$L69&gt;=$J69),"",IF(COUNTIFS(nrES_PID,$D69,nrES_Code,$F69,nrES_Att,2,nrES_Raw,"&gt;=0")&gt;0,IF(IFERROR(_xlfn.MINIFS(nrES_Date,nrES_PID,$D69,nrES_Code,$F69,nrES_Att,2,nrES_Raw,"&gt;=0",nrES_Date,"&gt;0"),0)=0,"RETEST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RANGE",IF(COUNTIF(nrES_RecID,$B69)&gt;1,"DUPLICATE RECORD",IF(AND($K69=2,COUNTIFS(nrES_PID,$D69,nrES_Code,$F69,nrES_Att,1)=0),"ATTEMPT 2 WITHOUT ATTEMPT 1",IF(AND($K69=2,$L69=""),"RETEST ROW HAS NO SCORE",IF(AND($H69="Final",$L69&lt;&gt;"",IFERROR(INDEX(nrCKfinalExamElig,MATCH($D69,rngCadetPIDs,0)),"")="No"),"FINAL EXAM AFTER FAILED FINAL PT (500.1.H)","OK")))))))</f>
        <v/>
      </c>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IF($C70="","",IF($K70="","",IF(COUNTIFS(nrES_PID,$D70,nrES_Code,$F70,nrES_Att,"&gt;"&amp;$K70,nrES_Raw,"&gt;=0")=0,"Yes","No")))</f>
        <v/>
      </c>
      <c r="Q70" s="17">
        <f>IF($C70="","",IF($L70="","",IF(AND($K70=1,ISNUMBER($L70),$L70&lt;$J70,COUNTIFS(nrES_PID,$D70,nrES_Code,$F70,nrES_Att,2,nrES_Raw,"&gt;=0")=0),"Yes","No")))</f>
        <v/>
      </c>
      <c r="R70" s="17">
        <f>IF($C70="","",IF($L70="","",IF(AND($K70=2,ISNUMBER($L70),$L70&lt;$J70),"Yes","No")))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IF(OR($C70="",$L70="",$K70&lt;&gt;1,NOT(ISNUMBER($L70)),$L70&gt;=$J70),"",IF(COUNTIFS(nrES_PID,$D70,nrES_Code,$F70,nrES_Att,2,nrES_Raw,"&gt;=0")&gt;0,IF(IFERROR(_xlfn.MINIFS(nrES_Date,nrES_PID,$D70,nrES_Code,$F70,nrES_Att,2,nrES_Raw,"&gt;=0",nrES_Date,"&gt;0"),0)=0,"RETEST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RANGE",IF(COUNTIF(nrES_RecID,$B70)&gt;1,"DUPLICATE RECORD",IF(AND($K70=2,COUNTIFS(nrES_PID,$D70,nrES_Code,$F70,nrES_Att,1)=0),"ATTEMPT 2 WITHOUT ATTEMPT 1",IF(AND($K70=2,$L70=""),"RETEST ROW HAS NO SCORE",IF(AND($H70="Final",$L70&lt;&gt;"",IFERROR(INDEX(nrCKfinalExamElig,MATCH($D70,rngCadetPIDs,0)),"")="No"),"FINAL EXAM AFTER FAILED FINAL PT (500.1.H)","OK")))))))</f>
        <v/>
      </c>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IF($C71="","",IF($K71="","",IF(COUNTIFS(nrES_PID,$D71,nrES_Code,$F71,nrES_Att,"&gt;"&amp;$K71,nrES_Raw,"&gt;=0")=0,"Yes","No")))</f>
        <v/>
      </c>
      <c r="Q71" s="17">
        <f>IF($C71="","",IF($L71="","",IF(AND($K71=1,ISNUMBER($L71),$L71&lt;$J71,COUNTIFS(nrES_PID,$D71,nrES_Code,$F71,nrES_Att,2,nrES_Raw,"&gt;=0")=0),"Yes","No")))</f>
        <v/>
      </c>
      <c r="R71" s="17">
        <f>IF($C71="","",IF($L71="","",IF(AND($K71=2,ISNUMBER($L71),$L71&lt;$J71),"Yes","No")))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IF(OR($C71="",$L71="",$K71&lt;&gt;1,NOT(ISNUMBER($L71)),$L71&gt;=$J71),"",IF(COUNTIFS(nrES_PID,$D71,nrES_Code,$F71,nrES_Att,2,nrES_Raw,"&gt;=0")&gt;0,IF(IFERROR(_xlfn.MINIFS(nrES_Date,nrES_PID,$D71,nrES_Code,$F71,nrES_Att,2,nrES_Raw,"&gt;=0",nrES_Date,"&gt;0"),0)=0,"RETEST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RANGE",IF(COUNTIF(nrES_RecID,$B71)&gt;1,"DUPLICATE RECORD",IF(AND($K71=2,COUNTIFS(nrES_PID,$D71,nrES_Code,$F71,nrES_Att,1)=0),"ATTEMPT 2 WITHOUT ATTEMPT 1",IF(AND($K71=2,$L71=""),"RETEST ROW HAS NO SCORE",IF(AND($H71="Final",$L71&lt;&gt;"",IFERROR(INDEX(nrCKfinalExamElig,MATCH($D71,rngCadetPIDs,0)),"")="No"),"FINAL EXAM AFTER FAILED FINAL PT (500.1.H)","OK")))))))</f>
        <v/>
      </c>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IF($C72="","",IF($K72="","",IF(COUNTIFS(nrES_PID,$D72,nrES_Code,$F72,nrES_Att,"&gt;"&amp;$K72,nrES_Raw,"&gt;=0")=0,"Yes","No")))</f>
        <v/>
      </c>
      <c r="Q72" s="17">
        <f>IF($C72="","",IF($L72="","",IF(AND($K72=1,ISNUMBER($L72),$L72&lt;$J72,COUNTIFS(nrES_PID,$D72,nrES_Code,$F72,nrES_Att,2,nrES_Raw,"&gt;=0")=0),"Yes","No")))</f>
        <v/>
      </c>
      <c r="R72" s="17">
        <f>IF($C72="","",IF($L72="","",IF(AND($K72=2,ISNUMBER($L72),$L72&lt;$J72),"Yes","No")))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IF(OR($C72="",$L72="",$K72&lt;&gt;1,NOT(ISNUMBER($L72)),$L72&gt;=$J72),"",IF(COUNTIFS(nrES_PID,$D72,nrES_Code,$F72,nrES_Att,2,nrES_Raw,"&gt;=0")&gt;0,IF(IFERROR(_xlfn.MINIFS(nrES_Date,nrES_PID,$D72,nrES_Code,$F72,nrES_Att,2,nrES_Raw,"&gt;=0",nrES_Date,"&gt;0"),0)=0,"RETEST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RANGE",IF(COUNTIF(nrES_RecID,$B72)&gt;1,"DUPLICATE RECORD",IF(AND($K72=2,COUNTIFS(nrES_PID,$D72,nrES_Code,$F72,nrES_Att,1)=0),"ATTEMPT 2 WITHOUT ATTEMPT 1",IF(AND($K72=2,$L72=""),"RETEST ROW HAS NO SCORE",IF(AND($H72="Final",$L72&lt;&gt;"",IFERROR(INDEX(nrCKfinalExamElig,MATCH($D72,rngCadetPIDs,0)),"")="No"),"FINAL EXAM AFTER FAILED FINAL PT (500.1.H)","OK")))))))</f>
        <v/>
      </c>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IF($C73="","",IF($K73="","",IF(COUNTIFS(nrES_PID,$D73,nrES_Code,$F73,nrES_Att,"&gt;"&amp;$K73,nrES_Raw,"&gt;=0")=0,"Yes","No")))</f>
        <v/>
      </c>
      <c r="Q73" s="17">
        <f>IF($C73="","",IF($L73="","",IF(AND($K73=1,ISNUMBER($L73),$L73&lt;$J73,COUNTIFS(nrES_PID,$D73,nrES_Code,$F73,nrES_Att,2,nrES_Raw,"&gt;=0")=0),"Yes","No")))</f>
        <v/>
      </c>
      <c r="R73" s="17">
        <f>IF($C73="","",IF($L73="","",IF(AND($K73=2,ISNUMBER($L73),$L73&lt;$J73),"Yes","No")))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IF(OR($C73="",$L73="",$K73&lt;&gt;1,NOT(ISNUMBER($L73)),$L73&gt;=$J73),"",IF(COUNTIFS(nrES_PID,$D73,nrES_Code,$F73,nrES_Att,2,nrES_Raw,"&gt;=0")&gt;0,IF(IFERROR(_xlfn.MINIFS(nrES_Date,nrES_PID,$D73,nrES_Code,$F73,nrES_Att,2,nrES_Raw,"&gt;=0",nrES_Date,"&gt;0"),0)=0,"RETEST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RANGE",IF(COUNTIF(nrES_RecID,$B73)&gt;1,"DUPLICATE RECORD",IF(AND($K73=2,COUNTIFS(nrES_PID,$D73,nrES_Code,$F73,nrES_Att,1)=0),"ATTEMPT 2 WITHOUT ATTEMPT 1",IF(AND($K73=2,$L73=""),"RETEST ROW HAS NO SCORE",IF(AND($H73="Final",$L73&lt;&gt;"",IFERROR(INDEX(nrCKfinalExamElig,MATCH($D73,rngCadetPIDs,0)),"")="No"),"FINAL EXAM AFTER FAILED FINAL PT (500.1.H)","OK")))))))</f>
        <v/>
      </c>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IF($C74="","",IF($K74="","",IF(COUNTIFS(nrES_PID,$D74,nrES_Code,$F74,nrES_Att,"&gt;"&amp;$K74,nrES_Raw,"&gt;=0")=0,"Yes","No")))</f>
        <v/>
      </c>
      <c r="Q74" s="17">
        <f>IF($C74="","",IF($L74="","",IF(AND($K74=1,ISNUMBER($L74),$L74&lt;$J74,COUNTIFS(nrES_PID,$D74,nrES_Code,$F74,nrES_Att,2,nrES_Raw,"&gt;=0")=0),"Yes","No")))</f>
        <v/>
      </c>
      <c r="R74" s="17">
        <f>IF($C74="","",IF($L74="","",IF(AND($K74=2,ISNUMBER($L74),$L74&lt;$J74),"Yes","No")))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IF(OR($C74="",$L74="",$K74&lt;&gt;1,NOT(ISNUMBER($L74)),$L74&gt;=$J74),"",IF(COUNTIFS(nrES_PID,$D74,nrES_Code,$F74,nrES_Att,2,nrES_Raw,"&gt;=0")&gt;0,IF(IFERROR(_xlfn.MINIFS(nrES_Date,nrES_PID,$D74,nrES_Code,$F74,nrES_Att,2,nrES_Raw,"&gt;=0",nrES_Date,"&gt;0"),0)=0,"RETEST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RANGE",IF(COUNTIF(nrES_RecID,$B74)&gt;1,"DUPLICATE RECORD",IF(AND($K74=2,COUNTIFS(nrES_PID,$D74,nrES_Code,$F74,nrES_Att,1)=0),"ATTEMPT 2 WITHOUT ATTEMPT 1",IF(AND($K74=2,$L74=""),"RETEST ROW HAS NO SCORE",IF(AND($H74="Final",$L74&lt;&gt;"",IFERROR(INDEX(nrCKfinalExamElig,MATCH($D74,rngCadetPIDs,0)),"")="No"),"FINAL EXAM AFTER FAILED FINAL PT (500.1.H)","OK")))))))</f>
        <v/>
      </c>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IF($C75="","",IF($K75="","",IF(COUNTIFS(nrES_PID,$D75,nrES_Code,$F75,nrES_Att,"&gt;"&amp;$K75,nrES_Raw,"&gt;=0")=0,"Yes","No")))</f>
        <v/>
      </c>
      <c r="Q75" s="17">
        <f>IF($C75="","",IF($L75="","",IF(AND($K75=1,ISNUMBER($L75),$L75&lt;$J75,COUNTIFS(nrES_PID,$D75,nrES_Code,$F75,nrES_Att,2,nrES_Raw,"&gt;=0")=0),"Yes","No")))</f>
        <v/>
      </c>
      <c r="R75" s="17">
        <f>IF($C75="","",IF($L75="","",IF(AND($K75=2,ISNUMBER($L75),$L75&lt;$J75),"Yes","No")))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IF(OR($C75="",$L75="",$K75&lt;&gt;1,NOT(ISNUMBER($L75)),$L75&gt;=$J75),"",IF(COUNTIFS(nrES_PID,$D75,nrES_Code,$F75,nrES_Att,2,nrES_Raw,"&gt;=0")&gt;0,IF(IFERROR(_xlfn.MINIFS(nrES_Date,nrES_PID,$D75,nrES_Code,$F75,nrES_Att,2,nrES_Raw,"&gt;=0",nrES_Date,"&gt;0"),0)=0,"RETEST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RANGE",IF(COUNTIF(nrES_RecID,$B75)&gt;1,"DUPLICATE RECORD",IF(AND($K75=2,COUNTIFS(nrES_PID,$D75,nrES_Code,$F75,nrES_Att,1)=0),"ATTEMPT 2 WITHOUT ATTEMPT 1",IF(AND($K75=2,$L75=""),"RETEST ROW HAS NO SCORE",IF(AND($H75="Final",$L75&lt;&gt;"",IFERROR(INDEX(nrCKfinalExamElig,MATCH($D75,rngCadetPIDs,0)),"")="No"),"FINAL EXAM AFTER FAILED FINAL PT (500.1.H)","OK")))))))</f>
        <v/>
      </c>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IF($C76="","",IF($K76="","",IF(COUNTIFS(nrES_PID,$D76,nrES_Code,$F76,nrES_Att,"&gt;"&amp;$K76,nrES_Raw,"&gt;=0")=0,"Yes","No")))</f>
        <v/>
      </c>
      <c r="Q76" s="17">
        <f>IF($C76="","",IF($L76="","",IF(AND($K76=1,ISNUMBER($L76),$L76&lt;$J76,COUNTIFS(nrES_PID,$D76,nrES_Code,$F76,nrES_Att,2,nrES_Raw,"&gt;=0")=0),"Yes","No")))</f>
        <v/>
      </c>
      <c r="R76" s="17">
        <f>IF($C76="","",IF($L76="","",IF(AND($K76=2,ISNUMBER($L76),$L76&lt;$J76),"Yes","No")))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IF(OR($C76="",$L76="",$K76&lt;&gt;1,NOT(ISNUMBER($L76)),$L76&gt;=$J76),"",IF(COUNTIFS(nrES_PID,$D76,nrES_Code,$F76,nrES_Att,2,nrES_Raw,"&gt;=0")&gt;0,IF(IFERROR(_xlfn.MINIFS(nrES_Date,nrES_PID,$D76,nrES_Code,$F76,nrES_Att,2,nrES_Raw,"&gt;=0",nrES_Date,"&gt;0"),0)=0,"RETEST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RANGE",IF(COUNTIF(nrES_RecID,$B76)&gt;1,"DUPLICATE RECORD",IF(AND($K76=2,COUNTIFS(nrES_PID,$D76,nrES_Code,$F76,nrES_Att,1)=0),"ATTEMPT 2 WITHOUT ATTEMPT 1",IF(AND($K76=2,$L76=""),"RETEST ROW HAS NO SCORE",IF(AND($H76="Final",$L76&lt;&gt;"",IFERROR(INDEX(nrCKfinalExamElig,MATCH($D76,rngCadetPIDs,0)),"")="No"),"FINAL EXAM AFTER FAILED FINAL PT (500.1.H)","OK")))))))</f>
        <v/>
      </c>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IF($C77="","",IF($K77="","",IF(COUNTIFS(nrES_PID,$D77,nrES_Code,$F77,nrES_Att,"&gt;"&amp;$K77,nrES_Raw,"&gt;=0")=0,"Yes","No")))</f>
        <v/>
      </c>
      <c r="Q77" s="17">
        <f>IF($C77="","",IF($L77="","",IF(AND($K77=1,ISNUMBER($L77),$L77&lt;$J77,COUNTIFS(nrES_PID,$D77,nrES_Code,$F77,nrES_Att,2,nrES_Raw,"&gt;=0")=0),"Yes","No")))</f>
        <v/>
      </c>
      <c r="R77" s="17">
        <f>IF($C77="","",IF($L77="","",IF(AND($K77=2,ISNUMBER($L77),$L77&lt;$J77),"Yes","No")))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IF(OR($C77="",$L77="",$K77&lt;&gt;1,NOT(ISNUMBER($L77)),$L77&gt;=$J77),"",IF(COUNTIFS(nrES_PID,$D77,nrES_Code,$F77,nrES_Att,2,nrES_Raw,"&gt;=0")&gt;0,IF(IFERROR(_xlfn.MINIFS(nrES_Date,nrES_PID,$D77,nrES_Code,$F77,nrES_Att,2,nrES_Raw,"&gt;=0",nrES_Date,"&gt;0"),0)=0,"RETEST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RANGE",IF(COUNTIF(nrES_RecID,$B77)&gt;1,"DUPLICATE RECORD",IF(AND($K77=2,COUNTIFS(nrES_PID,$D77,nrES_Code,$F77,nrES_Att,1)=0),"ATTEMPT 2 WITHOUT ATTEMPT 1",IF(AND($K77=2,$L77=""),"RETEST ROW HAS NO SCORE",IF(AND($H77="Final",$L77&lt;&gt;"",IFERROR(INDEX(nrCKfinalExamElig,MATCH($D77,rngCadetPIDs,0)),"")="No"),"FINAL EXAM AFTER FAILED FINAL PT (500.1.H)","OK")))))))</f>
        <v/>
      </c>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IF($C78="","",IF($K78="","",IF(COUNTIFS(nrES_PID,$D78,nrES_Code,$F78,nrES_Att,"&gt;"&amp;$K78,nrES_Raw,"&gt;=0")=0,"Yes","No")))</f>
        <v/>
      </c>
      <c r="Q78" s="17">
        <f>IF($C78="","",IF($L78="","",IF(AND($K78=1,ISNUMBER($L78),$L78&lt;$J78,COUNTIFS(nrES_PID,$D78,nrES_Code,$F78,nrES_Att,2,nrES_Raw,"&gt;=0")=0),"Yes","No")))</f>
        <v/>
      </c>
      <c r="R78" s="17">
        <f>IF($C78="","",IF($L78="","",IF(AND($K78=2,ISNUMBER($L78),$L78&lt;$J78),"Yes","No")))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IF(OR($C78="",$L78="",$K78&lt;&gt;1,NOT(ISNUMBER($L78)),$L78&gt;=$J78),"",IF(COUNTIFS(nrES_PID,$D78,nrES_Code,$F78,nrES_Att,2,nrES_Raw,"&gt;=0")&gt;0,IF(IFERROR(_xlfn.MINIFS(nrES_Date,nrES_PID,$D78,nrES_Code,$F78,nrES_Att,2,nrES_Raw,"&gt;=0",nrES_Date,"&gt;0"),0)=0,"RETEST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RANGE",IF(COUNTIF(nrES_RecID,$B78)&gt;1,"DUPLICATE RECORD",IF(AND($K78=2,COUNTIFS(nrES_PID,$D78,nrES_Code,$F78,nrES_Att,1)=0),"ATTEMPT 2 WITHOUT ATTEMPT 1",IF(AND($K78=2,$L78=""),"RETEST ROW HAS NO SCORE",IF(AND($H78="Final",$L78&lt;&gt;"",IFERROR(INDEX(nrCKfinalExamElig,MATCH($D78,rngCadetPIDs,0)),"")="No"),"FINAL EXAM AFTER FAILED FINAL PT (500.1.H)","OK")))))))</f>
        <v/>
      </c>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IF($C79="","",IF($K79="","",IF(COUNTIFS(nrES_PID,$D79,nrES_Code,$F79,nrES_Att,"&gt;"&amp;$K79,nrES_Raw,"&gt;=0")=0,"Yes","No")))</f>
        <v/>
      </c>
      <c r="Q79" s="17">
        <f>IF($C79="","",IF($L79="","",IF(AND($K79=1,ISNUMBER($L79),$L79&lt;$J79,COUNTIFS(nrES_PID,$D79,nrES_Code,$F79,nrES_Att,2,nrES_Raw,"&gt;=0")=0),"Yes","No")))</f>
        <v/>
      </c>
      <c r="R79" s="17">
        <f>IF($C79="","",IF($L79="","",IF(AND($K79=2,ISNUMBER($L79),$L79&lt;$J79),"Yes","No")))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IF(OR($C79="",$L79="",$K79&lt;&gt;1,NOT(ISNUMBER($L79)),$L79&gt;=$J79),"",IF(COUNTIFS(nrES_PID,$D79,nrES_Code,$F79,nrES_Att,2,nrES_Raw,"&gt;=0")&gt;0,IF(IFERROR(_xlfn.MINIFS(nrES_Date,nrES_PID,$D79,nrES_Code,$F79,nrES_Att,2,nrES_Raw,"&gt;=0",nrES_Date,"&gt;0"),0)=0,"RETEST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RANGE",IF(COUNTIF(nrES_RecID,$B79)&gt;1,"DUPLICATE RECORD",IF(AND($K79=2,COUNTIFS(nrES_PID,$D79,nrES_Code,$F79,nrES_Att,1)=0),"ATTEMPT 2 WITHOUT ATTEMPT 1",IF(AND($K79=2,$L79=""),"RETEST ROW HAS NO SCORE",IF(AND($H79="Final",$L79&lt;&gt;"",IFERROR(INDEX(nrCKfinalExamElig,MATCH($D79,rngCadetPIDs,0)),"")="No"),"FINAL EXAM AFTER FAILED FINAL PT (500.1.H)","OK")))))))</f>
        <v/>
      </c>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IF($C80="","",IF($K80="","",IF(COUNTIFS(nrES_PID,$D80,nrES_Code,$F80,nrES_Att,"&gt;"&amp;$K80,nrES_Raw,"&gt;=0")=0,"Yes","No")))</f>
        <v/>
      </c>
      <c r="Q80" s="17">
        <f>IF($C80="","",IF($L80="","",IF(AND($K80=1,ISNUMBER($L80),$L80&lt;$J80,COUNTIFS(nrES_PID,$D80,nrES_Code,$F80,nrES_Att,2,nrES_Raw,"&gt;=0")=0),"Yes","No")))</f>
        <v/>
      </c>
      <c r="R80" s="17">
        <f>IF($C80="","",IF($L80="","",IF(AND($K80=2,ISNUMBER($L80),$L80&lt;$J80),"Yes","No")))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IF(OR($C80="",$L80="",$K80&lt;&gt;1,NOT(ISNUMBER($L80)),$L80&gt;=$J80),"",IF(COUNTIFS(nrES_PID,$D80,nrES_Code,$F80,nrES_Att,2,nrES_Raw,"&gt;=0")&gt;0,IF(IFERROR(_xlfn.MINIFS(nrES_Date,nrES_PID,$D80,nrES_Code,$F80,nrES_Att,2,nrES_Raw,"&gt;=0",nrES_Date,"&gt;0"),0)=0,"RETEST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RANGE",IF(COUNTIF(nrES_RecID,$B80)&gt;1,"DUPLICATE RECORD",IF(AND($K80=2,COUNTIFS(nrES_PID,$D80,nrES_Code,$F80,nrES_Att,1)=0),"ATTEMPT 2 WITHOUT ATTEMPT 1",IF(AND($K80=2,$L80=""),"RETEST ROW HAS NO SCORE",IF(AND($H80="Final",$L80&lt;&gt;"",IFERROR(INDEX(nrCKfinalExamElig,MATCH($D80,rngCadetPIDs,0)),"")="No"),"FINAL EXAM AFTER FAILED FINAL PT (500.1.H)","OK")))))))</f>
        <v/>
      </c>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IF($C81="","",IF($K81="","",IF(COUNTIFS(nrES_PID,$D81,nrES_Code,$F81,nrES_Att,"&gt;"&amp;$K81,nrES_Raw,"&gt;=0")=0,"Yes","No")))</f>
        <v/>
      </c>
      <c r="Q81" s="17">
        <f>IF($C81="","",IF($L81="","",IF(AND($K81=1,ISNUMBER($L81),$L81&lt;$J81,COUNTIFS(nrES_PID,$D81,nrES_Code,$F81,nrES_Att,2,nrES_Raw,"&gt;=0")=0),"Yes","No")))</f>
        <v/>
      </c>
      <c r="R81" s="17">
        <f>IF($C81="","",IF($L81="","",IF(AND($K81=2,ISNUMBER($L81),$L81&lt;$J81),"Yes","No")))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IF(OR($C81="",$L81="",$K81&lt;&gt;1,NOT(ISNUMBER($L81)),$L81&gt;=$J81),"",IF(COUNTIFS(nrES_PID,$D81,nrES_Code,$F81,nrES_Att,2,nrES_Raw,"&gt;=0")&gt;0,IF(IFERROR(_xlfn.MINIFS(nrES_Date,nrES_PID,$D81,nrES_Code,$F81,nrES_Att,2,nrES_Raw,"&gt;=0",nrES_Date,"&gt;0"),0)=0,"RETEST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RANGE",IF(COUNTIF(nrES_RecID,$B81)&gt;1,"DUPLICATE RECORD",IF(AND($K81=2,COUNTIFS(nrES_PID,$D81,nrES_Code,$F81,nrES_Att,1)=0),"ATTEMPT 2 WITHOUT ATTEMPT 1",IF(AND($K81=2,$L81=""),"RETEST ROW HAS NO SCORE",IF(AND($H81="Final",$L81&lt;&gt;"",IFERROR(INDEX(nrCKfinalExamElig,MATCH($D81,rngCadetPIDs,0)),"")="No"),"FINAL EXAM AFTER FAILED FINAL PT (500.1.H)","OK")))))))</f>
        <v/>
      </c>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IF($C82="","",IF($K82="","",IF(COUNTIFS(nrES_PID,$D82,nrES_Code,$F82,nrES_Att,"&gt;"&amp;$K82,nrES_Raw,"&gt;=0")=0,"Yes","No")))</f>
        <v/>
      </c>
      <c r="Q82" s="17">
        <f>IF($C82="","",IF($L82="","",IF(AND($K82=1,ISNUMBER($L82),$L82&lt;$J82,COUNTIFS(nrES_PID,$D82,nrES_Code,$F82,nrES_Att,2,nrES_Raw,"&gt;=0")=0),"Yes","No")))</f>
        <v/>
      </c>
      <c r="R82" s="17">
        <f>IF($C82="","",IF($L82="","",IF(AND($K82=2,ISNUMBER($L82),$L82&lt;$J82),"Yes","No")))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IF(OR($C82="",$L82="",$K82&lt;&gt;1,NOT(ISNUMBER($L82)),$L82&gt;=$J82),"",IF(COUNTIFS(nrES_PID,$D82,nrES_Code,$F82,nrES_Att,2,nrES_Raw,"&gt;=0")&gt;0,IF(IFERROR(_xlfn.MINIFS(nrES_Date,nrES_PID,$D82,nrES_Code,$F82,nrES_Att,2,nrES_Raw,"&gt;=0",nrES_Date,"&gt;0"),0)=0,"RETEST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RANGE",IF(COUNTIF(nrES_RecID,$B82)&gt;1,"DUPLICATE RECORD",IF(AND($K82=2,COUNTIFS(nrES_PID,$D82,nrES_Code,$F82,nrES_Att,1)=0),"ATTEMPT 2 WITHOUT ATTEMPT 1",IF(AND($K82=2,$L82=""),"RETEST ROW HAS NO SCORE",IF(AND($H82="Final",$L82&lt;&gt;"",IFERROR(INDEX(nrCKfinalExamElig,MATCH($D82,rngCadetPIDs,0)),"")="No"),"FINAL EXAM AFTER FAILED FINAL PT (500.1.H)","OK")))))))</f>
        <v/>
      </c>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IF($C83="","",IF($K83="","",IF(COUNTIFS(nrES_PID,$D83,nrES_Code,$F83,nrES_Att,"&gt;"&amp;$K83,nrES_Raw,"&gt;=0")=0,"Yes","No")))</f>
        <v/>
      </c>
      <c r="Q83" s="17">
        <f>IF($C83="","",IF($L83="","",IF(AND($K83=1,ISNUMBER($L83),$L83&lt;$J83,COUNTIFS(nrES_PID,$D83,nrES_Code,$F83,nrES_Att,2,nrES_Raw,"&gt;=0")=0),"Yes","No")))</f>
        <v/>
      </c>
      <c r="R83" s="17">
        <f>IF($C83="","",IF($L83="","",IF(AND($K83=2,ISNUMBER($L83),$L83&lt;$J83),"Yes","No")))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IF(OR($C83="",$L83="",$K83&lt;&gt;1,NOT(ISNUMBER($L83)),$L83&gt;=$J83),"",IF(COUNTIFS(nrES_PID,$D83,nrES_Code,$F83,nrES_Att,2,nrES_Raw,"&gt;=0")&gt;0,IF(IFERROR(_xlfn.MINIFS(nrES_Date,nrES_PID,$D83,nrES_Code,$F83,nrES_Att,2,nrES_Raw,"&gt;=0",nrES_Date,"&gt;0"),0)=0,"RETEST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RANGE",IF(COUNTIF(nrES_RecID,$B83)&gt;1,"DUPLICATE RECORD",IF(AND($K83=2,COUNTIFS(nrES_PID,$D83,nrES_Code,$F83,nrES_Att,1)=0),"ATTEMPT 2 WITHOUT ATTEMPT 1",IF(AND($K83=2,$L83=""),"RETEST ROW HAS NO SCORE",IF(AND($H83="Final",$L83&lt;&gt;"",IFERROR(INDEX(nrCKfinalExamElig,MATCH($D83,rngCadetPIDs,0)),"")="No"),"FINAL EXAM AFTER FAILED FINAL PT (500.1.H)","OK")))))))</f>
        <v/>
      </c>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IF($C84="","",IF($K84="","",IF(COUNTIFS(nrES_PID,$D84,nrES_Code,$F84,nrES_Att,"&gt;"&amp;$K84,nrES_Raw,"&gt;=0")=0,"Yes","No")))</f>
        <v/>
      </c>
      <c r="Q84" s="17">
        <f>IF($C84="","",IF($L84="","",IF(AND($K84=1,ISNUMBER($L84),$L84&lt;$J84,COUNTIFS(nrES_PID,$D84,nrES_Code,$F84,nrES_Att,2,nrES_Raw,"&gt;=0")=0),"Yes","No")))</f>
        <v/>
      </c>
      <c r="R84" s="17">
        <f>IF($C84="","",IF($L84="","",IF(AND($K84=2,ISNUMBER($L84),$L84&lt;$J84),"Yes","No")))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IF(OR($C84="",$L84="",$K84&lt;&gt;1,NOT(ISNUMBER($L84)),$L84&gt;=$J84),"",IF(COUNTIFS(nrES_PID,$D84,nrES_Code,$F84,nrES_Att,2,nrES_Raw,"&gt;=0")&gt;0,IF(IFERROR(_xlfn.MINIFS(nrES_Date,nrES_PID,$D84,nrES_Code,$F84,nrES_Att,2,nrES_Raw,"&gt;=0",nrES_Date,"&gt;0"),0)=0,"RETEST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RANGE",IF(COUNTIF(nrES_RecID,$B84)&gt;1,"DUPLICATE RECORD",IF(AND($K84=2,COUNTIFS(nrES_PID,$D84,nrES_Code,$F84,nrES_Att,1)=0),"ATTEMPT 2 WITHOUT ATTEMPT 1",IF(AND($K84=2,$L84=""),"RETEST ROW HAS NO SCORE",IF(AND($H84="Final",$L84&lt;&gt;"",IFERROR(INDEX(nrCKfinalExamElig,MATCH($D84,rngCadetPIDs,0)),"")="No"),"FINAL EXAM AFTER FAILED FINAL PT (500.1.H)","OK")))))))</f>
        <v/>
      </c>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IF($C85="","",IF($K85="","",IF(COUNTIFS(nrES_PID,$D85,nrES_Code,$F85,nrES_Att,"&gt;"&amp;$K85,nrES_Raw,"&gt;=0")=0,"Yes","No")))</f>
        <v/>
      </c>
      <c r="Q85" s="17">
        <f>IF($C85="","",IF($L85="","",IF(AND($K85=1,ISNUMBER($L85),$L85&lt;$J85,COUNTIFS(nrES_PID,$D85,nrES_Code,$F85,nrES_Att,2,nrES_Raw,"&gt;=0")=0),"Yes","No")))</f>
        <v/>
      </c>
      <c r="R85" s="17">
        <f>IF($C85="","",IF($L85="","",IF(AND($K85=2,ISNUMBER($L85),$L85&lt;$J85),"Yes","No")))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IF(OR($C85="",$L85="",$K85&lt;&gt;1,NOT(ISNUMBER($L85)),$L85&gt;=$J85),"",IF(COUNTIFS(nrES_PID,$D85,nrES_Code,$F85,nrES_Att,2,nrES_Raw,"&gt;=0")&gt;0,IF(IFERROR(_xlfn.MINIFS(nrES_Date,nrES_PID,$D85,nrES_Code,$F85,nrES_Att,2,nrES_Raw,"&gt;=0",nrES_Date,"&gt;0"),0)=0,"RETEST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RANGE",IF(COUNTIF(nrES_RecID,$B85)&gt;1,"DUPLICATE RECORD",IF(AND($K85=2,COUNTIFS(nrES_PID,$D85,nrES_Code,$F85,nrES_Att,1)=0),"ATTEMPT 2 WITHOUT ATTEMPT 1",IF(AND($K85=2,$L85=""),"RETEST ROW HAS NO SCORE",IF(AND($H85="Final",$L85&lt;&gt;"",IFERROR(INDEX(nrCKfinalExamElig,MATCH($D85,rngCadetPIDs,0)),"")="No"),"FINAL EXAM AFTER FAILED FINAL PT (500.1.H)","OK")))))))</f>
        <v/>
      </c>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IF($C86="","",IF($K86="","",IF(COUNTIFS(nrES_PID,$D86,nrES_Code,$F86,nrES_Att,"&gt;"&amp;$K86,nrES_Raw,"&gt;=0")=0,"Yes","No")))</f>
        <v/>
      </c>
      <c r="Q86" s="17">
        <f>IF($C86="","",IF($L86="","",IF(AND($K86=1,ISNUMBER($L86),$L86&lt;$J86,COUNTIFS(nrES_PID,$D86,nrES_Code,$F86,nrES_Att,2,nrES_Raw,"&gt;=0")=0),"Yes","No")))</f>
        <v/>
      </c>
      <c r="R86" s="17">
        <f>IF($C86="","",IF($L86="","",IF(AND($K86=2,ISNUMBER($L86),$L86&lt;$J86),"Yes","No")))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IF(OR($C86="",$L86="",$K86&lt;&gt;1,NOT(ISNUMBER($L86)),$L86&gt;=$J86),"",IF(COUNTIFS(nrES_PID,$D86,nrES_Code,$F86,nrES_Att,2,nrES_Raw,"&gt;=0")&gt;0,IF(IFERROR(_xlfn.MINIFS(nrES_Date,nrES_PID,$D86,nrES_Code,$F86,nrES_Att,2,nrES_Raw,"&gt;=0",nrES_Date,"&gt;0"),0)=0,"RETEST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RANGE",IF(COUNTIF(nrES_RecID,$B86)&gt;1,"DUPLICATE RECORD",IF(AND($K86=2,COUNTIFS(nrES_PID,$D86,nrES_Code,$F86,nrES_Att,1)=0),"ATTEMPT 2 WITHOUT ATTEMPT 1",IF(AND($K86=2,$L86=""),"RETEST ROW HAS NO SCORE",IF(AND($H86="Final",$L86&lt;&gt;"",IFERROR(INDEX(nrCKfinalExamElig,MATCH($D86,rngCadetPIDs,0)),"")="No"),"FINAL EXAM AFTER FAILED FINAL PT (500.1.H)","OK")))))))</f>
        <v/>
      </c>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IF($C87="","",IF($K87="","",IF(COUNTIFS(nrES_PID,$D87,nrES_Code,$F87,nrES_Att,"&gt;"&amp;$K87,nrES_Raw,"&gt;=0")=0,"Yes","No")))</f>
        <v/>
      </c>
      <c r="Q87" s="17">
        <f>IF($C87="","",IF($L87="","",IF(AND($K87=1,ISNUMBER($L87),$L87&lt;$J87,COUNTIFS(nrES_PID,$D87,nrES_Code,$F87,nrES_Att,2,nrES_Raw,"&gt;=0")=0),"Yes","No")))</f>
        <v/>
      </c>
      <c r="R87" s="17">
        <f>IF($C87="","",IF($L87="","",IF(AND($K87=2,ISNUMBER($L87),$L87&lt;$J87),"Yes","No")))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IF(OR($C87="",$L87="",$K87&lt;&gt;1,NOT(ISNUMBER($L87)),$L87&gt;=$J87),"",IF(COUNTIFS(nrES_PID,$D87,nrES_Code,$F87,nrES_Att,2,nrES_Raw,"&gt;=0")&gt;0,IF(IFERROR(_xlfn.MINIFS(nrES_Date,nrES_PID,$D87,nrES_Code,$F87,nrES_Att,2,nrES_Raw,"&gt;=0",nrES_Date,"&gt;0"),0)=0,"RETEST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RANGE",IF(COUNTIF(nrES_RecID,$B87)&gt;1,"DUPLICATE RECORD",IF(AND($K87=2,COUNTIFS(nrES_PID,$D87,nrES_Code,$F87,nrES_Att,1)=0),"ATTEMPT 2 WITHOUT ATTEMPT 1",IF(AND($K87=2,$L87=""),"RETEST ROW HAS NO SCORE",IF(AND($H87="Final",$L87&lt;&gt;"",IFERROR(INDEX(nrCKfinalExamElig,MATCH($D87,rngCadetPIDs,0)),"")="No"),"FINAL EXAM AFTER FAILED FINAL PT (500.1.H)","OK")))))))</f>
        <v/>
      </c>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IF($C88="","",IF($K88="","",IF(COUNTIFS(nrES_PID,$D88,nrES_Code,$F88,nrES_Att,"&gt;"&amp;$K88,nrES_Raw,"&gt;=0")=0,"Yes","No")))</f>
        <v/>
      </c>
      <c r="Q88" s="17">
        <f>IF($C88="","",IF($L88="","",IF(AND($K88=1,ISNUMBER($L88),$L88&lt;$J88,COUNTIFS(nrES_PID,$D88,nrES_Code,$F88,nrES_Att,2,nrES_Raw,"&gt;=0")=0),"Yes","No")))</f>
        <v/>
      </c>
      <c r="R88" s="17">
        <f>IF($C88="","",IF($L88="","",IF(AND($K88=2,ISNUMBER($L88),$L88&lt;$J88),"Yes","No")))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IF(OR($C88="",$L88="",$K88&lt;&gt;1,NOT(ISNUMBER($L88)),$L88&gt;=$J88),"",IF(COUNTIFS(nrES_PID,$D88,nrES_Code,$F88,nrES_Att,2,nrES_Raw,"&gt;=0")&gt;0,IF(IFERROR(_xlfn.MINIFS(nrES_Date,nrES_PID,$D88,nrES_Code,$F88,nrES_Att,2,nrES_Raw,"&gt;=0",nrES_Date,"&gt;0"),0)=0,"RETEST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RANGE",IF(COUNTIF(nrES_RecID,$B88)&gt;1,"DUPLICATE RECORD",IF(AND($K88=2,COUNTIFS(nrES_PID,$D88,nrES_Code,$F88,nrES_Att,1)=0),"ATTEMPT 2 WITHOUT ATTEMPT 1",IF(AND($K88=2,$L88=""),"RETEST ROW HAS NO SCORE",IF(AND($H88="Final",$L88&lt;&gt;"",IFERROR(INDEX(nrCKfinalExamElig,MATCH($D88,rngCadetPIDs,0)),"")="No"),"FINAL EXAM AFTER FAILED FINAL PT (500.1.H)","OK")))))))</f>
        <v/>
      </c>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IF($C89="","",IF($K89="","",IF(COUNTIFS(nrES_PID,$D89,nrES_Code,$F89,nrES_Att,"&gt;"&amp;$K89,nrES_Raw,"&gt;=0")=0,"Yes","No")))</f>
        <v/>
      </c>
      <c r="Q89" s="17">
        <f>IF($C89="","",IF($L89="","",IF(AND($K89=1,ISNUMBER($L89),$L89&lt;$J89,COUNTIFS(nrES_PID,$D89,nrES_Code,$F89,nrES_Att,2,nrES_Raw,"&gt;=0")=0),"Yes","No")))</f>
        <v/>
      </c>
      <c r="R89" s="17">
        <f>IF($C89="","",IF($L89="","",IF(AND($K89=2,ISNUMBER($L89),$L89&lt;$J89),"Yes","No")))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IF(OR($C89="",$L89="",$K89&lt;&gt;1,NOT(ISNUMBER($L89)),$L89&gt;=$J89),"",IF(COUNTIFS(nrES_PID,$D89,nrES_Code,$F89,nrES_Att,2,nrES_Raw,"&gt;=0")&gt;0,IF(IFERROR(_xlfn.MINIFS(nrES_Date,nrES_PID,$D89,nrES_Code,$F89,nrES_Att,2,nrES_Raw,"&gt;=0",nrES_Date,"&gt;0"),0)=0,"RETEST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RANGE",IF(COUNTIF(nrES_RecID,$B89)&gt;1,"DUPLICATE RECORD",IF(AND($K89=2,COUNTIFS(nrES_PID,$D89,nrES_Code,$F89,nrES_Att,1)=0),"ATTEMPT 2 WITHOUT ATTEMPT 1",IF(AND($K89=2,$L89=""),"RETEST ROW HAS NO SCORE",IF(AND($H89="Final",$L89&lt;&gt;"",IFERROR(INDEX(nrCKfinalExamElig,MATCH($D89,rngCadetPIDs,0)),"")="No"),"FINAL EXAM AFTER FAILED FINAL PT (500.1.H)","OK")))))))</f>
        <v/>
      </c>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IF($C90="","",IF($K90="","",IF(COUNTIFS(nrES_PID,$D90,nrES_Code,$F90,nrES_Att,"&gt;"&amp;$K90,nrES_Raw,"&gt;=0")=0,"Yes","No")))</f>
        <v/>
      </c>
      <c r="Q90" s="17">
        <f>IF($C90="","",IF($L90="","",IF(AND($K90=1,ISNUMBER($L90),$L90&lt;$J90,COUNTIFS(nrES_PID,$D90,nrES_Code,$F90,nrES_Att,2,nrES_Raw,"&gt;=0")=0),"Yes","No")))</f>
        <v/>
      </c>
      <c r="R90" s="17">
        <f>IF($C90="","",IF($L90="","",IF(AND($K90=2,ISNUMBER($L90),$L90&lt;$J90),"Yes","No")))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IF(OR($C90="",$L90="",$K90&lt;&gt;1,NOT(ISNUMBER($L90)),$L90&gt;=$J90),"",IF(COUNTIFS(nrES_PID,$D90,nrES_Code,$F90,nrES_Att,2,nrES_Raw,"&gt;=0")&gt;0,IF(IFERROR(_xlfn.MINIFS(nrES_Date,nrES_PID,$D90,nrES_Code,$F90,nrES_Att,2,nrES_Raw,"&gt;=0",nrES_Date,"&gt;0"),0)=0,"RETEST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RANGE",IF(COUNTIF(nrES_RecID,$B90)&gt;1,"DUPLICATE RECORD",IF(AND($K90=2,COUNTIFS(nrES_PID,$D90,nrES_Code,$F90,nrES_Att,1)=0),"ATTEMPT 2 WITHOUT ATTEMPT 1",IF(AND($K90=2,$L90=""),"RETEST ROW HAS NO SCORE",IF(AND($H90="Final",$L90&lt;&gt;"",IFERROR(INDEX(nrCKfinalExamElig,MATCH($D90,rngCadetPIDs,0)),"")="No"),"FINAL EXAM AFTER FAILED FINAL PT (500.1.H)","OK")))))))</f>
        <v/>
      </c>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IF($C91="","",IF($K91="","",IF(COUNTIFS(nrES_PID,$D91,nrES_Code,$F91,nrES_Att,"&gt;"&amp;$K91,nrES_Raw,"&gt;=0")=0,"Yes","No")))</f>
        <v/>
      </c>
      <c r="Q91" s="17">
        <f>IF($C91="","",IF($L91="","",IF(AND($K91=1,ISNUMBER($L91),$L91&lt;$J91,COUNTIFS(nrES_PID,$D91,nrES_Code,$F91,nrES_Att,2,nrES_Raw,"&gt;=0")=0),"Yes","No")))</f>
        <v/>
      </c>
      <c r="R91" s="17">
        <f>IF($C91="","",IF($L91="","",IF(AND($K91=2,ISNUMBER($L91),$L91&lt;$J91),"Yes","No")))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IF(OR($C91="",$L91="",$K91&lt;&gt;1,NOT(ISNUMBER($L91)),$L91&gt;=$J91),"",IF(COUNTIFS(nrES_PID,$D91,nrES_Code,$F91,nrES_Att,2,nrES_Raw,"&gt;=0")&gt;0,IF(IFERROR(_xlfn.MINIFS(nrES_Date,nrES_PID,$D91,nrES_Code,$F91,nrES_Att,2,nrES_Raw,"&gt;=0",nrES_Date,"&gt;0"),0)=0,"RETEST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RANGE",IF(COUNTIF(nrES_RecID,$B91)&gt;1,"DUPLICATE RECORD",IF(AND($K91=2,COUNTIFS(nrES_PID,$D91,nrES_Code,$F91,nrES_Att,1)=0),"ATTEMPT 2 WITHOUT ATTEMPT 1",IF(AND($K91=2,$L91=""),"RETEST ROW HAS NO SCORE",IF(AND($H91="Final",$L91&lt;&gt;"",IFERROR(INDEX(nrCKfinalExamElig,MATCH($D91,rngCadetPIDs,0)),"")="No"),"FINAL EXAM AFTER FAILED FINAL PT (500.1.H)","OK")))))))</f>
        <v/>
      </c>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IF($C92="","",IF($K92="","",IF(COUNTIFS(nrES_PID,$D92,nrES_Code,$F92,nrES_Att,"&gt;"&amp;$K92,nrES_Raw,"&gt;=0")=0,"Yes","No")))</f>
        <v/>
      </c>
      <c r="Q92" s="17">
        <f>IF($C92="","",IF($L92="","",IF(AND($K92=1,ISNUMBER($L92),$L92&lt;$J92,COUNTIFS(nrES_PID,$D92,nrES_Code,$F92,nrES_Att,2,nrES_Raw,"&gt;=0")=0),"Yes","No")))</f>
        <v/>
      </c>
      <c r="R92" s="17">
        <f>IF($C92="","",IF($L92="","",IF(AND($K92=2,ISNUMBER($L92),$L92&lt;$J92),"Yes","No")))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IF(OR($C92="",$L92="",$K92&lt;&gt;1,NOT(ISNUMBER($L92)),$L92&gt;=$J92),"",IF(COUNTIFS(nrES_PID,$D92,nrES_Code,$F92,nrES_Att,2,nrES_Raw,"&gt;=0")&gt;0,IF(IFERROR(_xlfn.MINIFS(nrES_Date,nrES_PID,$D92,nrES_Code,$F92,nrES_Att,2,nrES_Raw,"&gt;=0",nrES_Date,"&gt;0"),0)=0,"RETEST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RANGE",IF(COUNTIF(nrES_RecID,$B92)&gt;1,"DUPLICATE RECORD",IF(AND($K92=2,COUNTIFS(nrES_PID,$D92,nrES_Code,$F92,nrES_Att,1)=0),"ATTEMPT 2 WITHOUT ATTEMPT 1",IF(AND($K92=2,$L92=""),"RETEST ROW HAS NO SCORE",IF(AND($H92="Final",$L92&lt;&gt;"",IFERROR(INDEX(nrCKfinalExamElig,MATCH($D92,rngCadetPIDs,0)),"")="No"),"FINAL EXAM AFTER FAILED FINAL PT (500.1.H)","OK")))))))</f>
        <v/>
      </c>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IF($C93="","",IF($K93="","",IF(COUNTIFS(nrES_PID,$D93,nrES_Code,$F93,nrES_Att,"&gt;"&amp;$K93,nrES_Raw,"&gt;=0")=0,"Yes","No")))</f>
        <v/>
      </c>
      <c r="Q93" s="17">
        <f>IF($C93="","",IF($L93="","",IF(AND($K93=1,ISNUMBER($L93),$L93&lt;$J93,COUNTIFS(nrES_PID,$D93,nrES_Code,$F93,nrES_Att,2,nrES_Raw,"&gt;=0")=0),"Yes","No")))</f>
        <v/>
      </c>
      <c r="R93" s="17">
        <f>IF($C93="","",IF($L93="","",IF(AND($K93=2,ISNUMBER($L93),$L93&lt;$J93),"Yes","No")))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IF(OR($C93="",$L93="",$K93&lt;&gt;1,NOT(ISNUMBER($L93)),$L93&gt;=$J93),"",IF(COUNTIFS(nrES_PID,$D93,nrES_Code,$F93,nrES_Att,2,nrES_Raw,"&gt;=0")&gt;0,IF(IFERROR(_xlfn.MINIFS(nrES_Date,nrES_PID,$D93,nrES_Code,$F93,nrES_Att,2,nrES_Raw,"&gt;=0",nrES_Date,"&gt;0"),0)=0,"RETEST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RANGE",IF(COUNTIF(nrES_RecID,$B93)&gt;1,"DUPLICATE RECORD",IF(AND($K93=2,COUNTIFS(nrES_PID,$D93,nrES_Code,$F93,nrES_Att,1)=0),"ATTEMPT 2 WITHOUT ATTEMPT 1",IF(AND($K93=2,$L93=""),"RETEST ROW HAS NO SCORE",IF(AND($H93="Final",$L93&lt;&gt;"",IFERROR(INDEX(nrCKfinalExamElig,MATCH($D93,rngCadetPIDs,0)),"")="No"),"FINAL EXAM AFTER FAILED FINAL PT (500.1.H)","OK")))))))</f>
        <v/>
      </c>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IF($C94="","",IF($K94="","",IF(COUNTIFS(nrES_PID,$D94,nrES_Code,$F94,nrES_Att,"&gt;"&amp;$K94,nrES_Raw,"&gt;=0")=0,"Yes","No")))</f>
        <v/>
      </c>
      <c r="Q94" s="17">
        <f>IF($C94="","",IF($L94="","",IF(AND($K94=1,ISNUMBER($L94),$L94&lt;$J94,COUNTIFS(nrES_PID,$D94,nrES_Code,$F94,nrES_Att,2,nrES_Raw,"&gt;=0")=0),"Yes","No")))</f>
        <v/>
      </c>
      <c r="R94" s="17">
        <f>IF($C94="","",IF($L94="","",IF(AND($K94=2,ISNUMBER($L94),$L94&lt;$J94),"Yes","No")))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IF(OR($C94="",$L94="",$K94&lt;&gt;1,NOT(ISNUMBER($L94)),$L94&gt;=$J94),"",IF(COUNTIFS(nrES_PID,$D94,nrES_Code,$F94,nrES_Att,2,nrES_Raw,"&gt;=0")&gt;0,IF(IFERROR(_xlfn.MINIFS(nrES_Date,nrES_PID,$D94,nrES_Code,$F94,nrES_Att,2,nrES_Raw,"&gt;=0",nrES_Date,"&gt;0"),0)=0,"RETEST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RANGE",IF(COUNTIF(nrES_RecID,$B94)&gt;1,"DUPLICATE RECORD",IF(AND($K94=2,COUNTIFS(nrES_PID,$D94,nrES_Code,$F94,nrES_Att,1)=0),"ATTEMPT 2 WITHOUT ATTEMPT 1",IF(AND($K94=2,$L94=""),"RETEST ROW HAS NO SCORE",IF(AND($H94="Final",$L94&lt;&gt;"",IFERROR(INDEX(nrCKfinalExamElig,MATCH($D94,rngCadetPIDs,0)),"")="No"),"FINAL EXAM AFTER FAILED FINAL PT (500.1.H)","OK")))))))</f>
        <v/>
      </c>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IF($C95="","",IF($K95="","",IF(COUNTIFS(nrES_PID,$D95,nrES_Code,$F95,nrES_Att,"&gt;"&amp;$K95,nrES_Raw,"&gt;=0")=0,"Yes","No")))</f>
        <v/>
      </c>
      <c r="Q95" s="17">
        <f>IF($C95="","",IF($L95="","",IF(AND($K95=1,ISNUMBER($L95),$L95&lt;$J95,COUNTIFS(nrES_PID,$D95,nrES_Code,$F95,nrES_Att,2,nrES_Raw,"&gt;=0")=0),"Yes","No")))</f>
        <v/>
      </c>
      <c r="R95" s="17">
        <f>IF($C95="","",IF($L95="","",IF(AND($K95=2,ISNUMBER($L95),$L95&lt;$J95),"Yes","No")))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IF(OR($C95="",$L95="",$K95&lt;&gt;1,NOT(ISNUMBER($L95)),$L95&gt;=$J95),"",IF(COUNTIFS(nrES_PID,$D95,nrES_Code,$F95,nrES_Att,2,nrES_Raw,"&gt;=0")&gt;0,IF(IFERROR(_xlfn.MINIFS(nrES_Date,nrES_PID,$D95,nrES_Code,$F95,nrES_Att,2,nrES_Raw,"&gt;=0",nrES_Date,"&gt;0"),0)=0,"RETEST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RANGE",IF(COUNTIF(nrES_RecID,$B95)&gt;1,"DUPLICATE RECORD",IF(AND($K95=2,COUNTIFS(nrES_PID,$D95,nrES_Code,$F95,nrES_Att,1)=0),"ATTEMPT 2 WITHOUT ATTEMPT 1",IF(AND($K95=2,$L95=""),"RETEST ROW HAS NO SCORE",IF(AND($H95="Final",$L95&lt;&gt;"",IFERROR(INDEX(nrCKfinalExamElig,MATCH($D95,rngCadetPIDs,0)),"")="No"),"FINAL EXAM AFTER FAILED FINAL PT (500.1.H)","OK")))))))</f>
        <v/>
      </c>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IF($C96="","",IF($K96="","",IF(COUNTIFS(nrES_PID,$D96,nrES_Code,$F96,nrES_Att,"&gt;"&amp;$K96,nrES_Raw,"&gt;=0")=0,"Yes","No")))</f>
        <v/>
      </c>
      <c r="Q96" s="17">
        <f>IF($C96="","",IF($L96="","",IF(AND($K96=1,ISNUMBER($L96),$L96&lt;$J96,COUNTIFS(nrES_PID,$D96,nrES_Code,$F96,nrES_Att,2,nrES_Raw,"&gt;=0")=0),"Yes","No")))</f>
        <v/>
      </c>
      <c r="R96" s="17">
        <f>IF($C96="","",IF($L96="","",IF(AND($K96=2,ISNUMBER($L96),$L96&lt;$J96),"Yes","No")))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IF(OR($C96="",$L96="",$K96&lt;&gt;1,NOT(ISNUMBER($L96)),$L96&gt;=$J96),"",IF(COUNTIFS(nrES_PID,$D96,nrES_Code,$F96,nrES_Att,2,nrES_Raw,"&gt;=0")&gt;0,IF(IFERROR(_xlfn.MINIFS(nrES_Date,nrES_PID,$D96,nrES_Code,$F96,nrES_Att,2,nrES_Raw,"&gt;=0",nrES_Date,"&gt;0"),0)=0,"RETEST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RANGE",IF(COUNTIF(nrES_RecID,$B96)&gt;1,"DUPLICATE RECORD",IF(AND($K96=2,COUNTIFS(nrES_PID,$D96,nrES_Code,$F96,nrES_Att,1)=0),"ATTEMPT 2 WITHOUT ATTEMPT 1",IF(AND($K96=2,$L96=""),"RETEST ROW HAS NO SCORE",IF(AND($H96="Final",$L96&lt;&gt;"",IFERROR(INDEX(nrCKfinalExamElig,MATCH($D96,rngCadetPIDs,0)),"")="No"),"FINAL EXAM AFTER FAILED FINAL PT (500.1.H)","OK")))))))</f>
        <v/>
      </c>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IF($C97="","",IF($K97="","",IF(COUNTIFS(nrES_PID,$D97,nrES_Code,$F97,nrES_Att,"&gt;"&amp;$K97,nrES_Raw,"&gt;=0")=0,"Yes","No")))</f>
        <v/>
      </c>
      <c r="Q97" s="17">
        <f>IF($C97="","",IF($L97="","",IF(AND($K97=1,ISNUMBER($L97),$L97&lt;$J97,COUNTIFS(nrES_PID,$D97,nrES_Code,$F97,nrES_Att,2,nrES_Raw,"&gt;=0")=0),"Yes","No")))</f>
        <v/>
      </c>
      <c r="R97" s="17">
        <f>IF($C97="","",IF($L97="","",IF(AND($K97=2,ISNUMBER($L97),$L97&lt;$J97),"Yes","No")))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IF(OR($C97="",$L97="",$K97&lt;&gt;1,NOT(ISNUMBER($L97)),$L97&gt;=$J97),"",IF(COUNTIFS(nrES_PID,$D97,nrES_Code,$F97,nrES_Att,2,nrES_Raw,"&gt;=0")&gt;0,IF(IFERROR(_xlfn.MINIFS(nrES_Date,nrES_PID,$D97,nrES_Code,$F97,nrES_Att,2,nrES_Raw,"&gt;=0",nrES_Date,"&gt;0"),0)=0,"RETEST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RANGE",IF(COUNTIF(nrES_RecID,$B97)&gt;1,"DUPLICATE RECORD",IF(AND($K97=2,COUNTIFS(nrES_PID,$D97,nrES_Code,$F97,nrES_Att,1)=0),"ATTEMPT 2 WITHOUT ATTEMPT 1",IF(AND($K97=2,$L97=""),"RETEST ROW HAS NO SCORE",IF(AND($H97="Final",$L97&lt;&gt;"",IFERROR(INDEX(nrCKfinalExamElig,MATCH($D97,rngCadetPIDs,0)),"")="No"),"FINAL EXAM AFTER FAILED FINAL PT (500.1.H)","OK")))))))</f>
        <v/>
      </c>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IF($C98="","",IF($K98="","",IF(COUNTIFS(nrES_PID,$D98,nrES_Code,$F98,nrES_Att,"&gt;"&amp;$K98,nrES_Raw,"&gt;=0")=0,"Yes","No")))</f>
        <v/>
      </c>
      <c r="Q98" s="17">
        <f>IF($C98="","",IF($L98="","",IF(AND($K98=1,ISNUMBER($L98),$L98&lt;$J98,COUNTIFS(nrES_PID,$D98,nrES_Code,$F98,nrES_Att,2,nrES_Raw,"&gt;=0")=0),"Yes","No")))</f>
        <v/>
      </c>
      <c r="R98" s="17">
        <f>IF($C98="","",IF($L98="","",IF(AND($K98=2,ISNUMBER($L98),$L98&lt;$J98),"Yes","No")))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IF(OR($C98="",$L98="",$K98&lt;&gt;1,NOT(ISNUMBER($L98)),$L98&gt;=$J98),"",IF(COUNTIFS(nrES_PID,$D98,nrES_Code,$F98,nrES_Att,2,nrES_Raw,"&gt;=0")&gt;0,IF(IFERROR(_xlfn.MINIFS(nrES_Date,nrES_PID,$D98,nrES_Code,$F98,nrES_Att,2,nrES_Raw,"&gt;=0",nrES_Date,"&gt;0"),0)=0,"RETEST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RANGE",IF(COUNTIF(nrES_RecID,$B98)&gt;1,"DUPLICATE RECORD",IF(AND($K98=2,COUNTIFS(nrES_PID,$D98,nrES_Code,$F98,nrES_Att,1)=0),"ATTEMPT 2 WITHOUT ATTEMPT 1",IF(AND($K98=2,$L98=""),"RETEST ROW HAS NO SCORE",IF(AND($H98="Final",$L98&lt;&gt;"",IFERROR(INDEX(nrCKfinalExamElig,MATCH($D98,rngCadetPIDs,0)),"")="No"),"FINAL EXAM AFTER FAILED FINAL PT (500.1.H)","OK")))))))</f>
        <v/>
      </c>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IF($C99="","",IF($K99="","",IF(COUNTIFS(nrES_PID,$D99,nrES_Code,$F99,nrES_Att,"&gt;"&amp;$K99,nrES_Raw,"&gt;=0")=0,"Yes","No")))</f>
        <v/>
      </c>
      <c r="Q99" s="17">
        <f>IF($C99="","",IF($L99="","",IF(AND($K99=1,ISNUMBER($L99),$L99&lt;$J99,COUNTIFS(nrES_PID,$D99,nrES_Code,$F99,nrES_Att,2,nrES_Raw,"&gt;=0")=0),"Yes","No")))</f>
        <v/>
      </c>
      <c r="R99" s="17">
        <f>IF($C99="","",IF($L99="","",IF(AND($K99=2,ISNUMBER($L99),$L99&lt;$J99),"Yes","No")))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IF(OR($C99="",$L99="",$K99&lt;&gt;1,NOT(ISNUMBER($L99)),$L99&gt;=$J99),"",IF(COUNTIFS(nrES_PID,$D99,nrES_Code,$F99,nrES_Att,2,nrES_Raw,"&gt;=0")&gt;0,IF(IFERROR(_xlfn.MINIFS(nrES_Date,nrES_PID,$D99,nrES_Code,$F99,nrES_Att,2,nrES_Raw,"&gt;=0",nrES_Date,"&gt;0"),0)=0,"RETEST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RANGE",IF(COUNTIF(nrES_RecID,$B99)&gt;1,"DUPLICATE RECORD",IF(AND($K99=2,COUNTIFS(nrES_PID,$D99,nrES_Code,$F99,nrES_Att,1)=0),"ATTEMPT 2 WITHOUT ATTEMPT 1",IF(AND($K99=2,$L99=""),"RETEST ROW HAS NO SCORE",IF(AND($H99="Final",$L99&lt;&gt;"",IFERROR(INDEX(nrCKfinalExamElig,MATCH($D99,rngCadetPIDs,0)),"")="No"),"FINAL EXAM AFTER FAILED FINAL PT (500.1.H)","OK")))))))</f>
        <v/>
      </c>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IF($C100="","",IF($K100="","",IF(COUNTIFS(nrES_PID,$D100,nrES_Code,$F100,nrES_Att,"&gt;"&amp;$K100,nrES_Raw,"&gt;=0")=0,"Yes","No")))</f>
        <v/>
      </c>
      <c r="Q100" s="17">
        <f>IF($C100="","",IF($L100="","",IF(AND($K100=1,ISNUMBER($L100),$L100&lt;$J100,COUNTIFS(nrES_PID,$D100,nrES_Code,$F100,nrES_Att,2,nrES_Raw,"&gt;=0")=0),"Yes","No")))</f>
        <v/>
      </c>
      <c r="R100" s="17">
        <f>IF($C100="","",IF($L100="","",IF(AND($K100=2,ISNUMBER($L100),$L100&lt;$J100),"Yes","No")))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OR($C100="",$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RANGE",IF(COUNTIF(nrES_RecID,$B100)&gt;1,"DUPLICATE RECORD",IF(AND($K100=2,COUNTIFS(nrES_PID,$D100,nrES_Code,$F100,nrES_Att,1)=0),"ATTEMPT 2 WITHOUT ATTEMPT 1",IF(AND($K100=2,$L100=""),"RETEST ROW HAS NO SCORE",IF(AND($H100="Final",$L100&lt;&gt;"",IFERROR(INDEX(nrCKfinalExamElig,MATCH($D100,rngCadetPIDs,0)),"")="No"),"FINAL EXAM AFTER FAILED FINAL PT (500.1.H)","OK")))))))</f>
        <v/>
      </c>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IF($C101="","",IF($K101="","",IF(COUNTIFS(nrES_PID,$D101,nrES_Code,$F101,nrES_Att,"&gt;"&amp;$K101,nrES_Raw,"&gt;=0")=0,"Yes","No")))</f>
        <v/>
      </c>
      <c r="Q101" s="17">
        <f>IF($C101="","",IF($L101="","",IF(AND($K101=1,ISNUMBER($L101),$L101&lt;$J101,COUNTIFS(nrES_PID,$D101,nrES_Code,$F101,nrES_Att,2,nrES_Raw,"&gt;=0")=0),"Yes","No")))</f>
        <v/>
      </c>
      <c r="R101" s="17">
        <f>IF($C101="","",IF($L101="","",IF(AND($K101=2,ISNUMBER($L101),$L101&lt;$J101),"Yes","No")))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OR($C101="",$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RANGE",IF(COUNTIF(nrES_RecID,$B101)&gt;1,"DUPLICATE RECORD",IF(AND($K101=2,COUNTIFS(nrES_PID,$D101,nrES_Code,$F101,nrES_Att,1)=0),"ATTEMPT 2 WITHOUT ATTEMPT 1",IF(AND($K101=2,$L101=""),"RETEST ROW HAS NO SCORE",IF(AND($H101="Final",$L101&lt;&gt;"",IFERROR(INDEX(nrCKfinalExamElig,MATCH($D101,rngCadetPIDs,0)),"")="No"),"FINAL EXAM AFTER FAILED FINAL PT (500.1.H)","OK")))))))</f>
        <v/>
      </c>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IF($C102="","",IF($K102="","",IF(COUNTIFS(nrES_PID,$D102,nrES_Code,$F102,nrES_Att,"&gt;"&amp;$K102,nrES_Raw,"&gt;=0")=0,"Yes","No")))</f>
        <v/>
      </c>
      <c r="Q102" s="17">
        <f>IF($C102="","",IF($L102="","",IF(AND($K102=1,ISNUMBER($L102),$L102&lt;$J102,COUNTIFS(nrES_PID,$D102,nrES_Code,$F102,nrES_Att,2,nrES_Raw,"&gt;=0")=0),"Yes","No")))</f>
        <v/>
      </c>
      <c r="R102" s="17">
        <f>IF($C102="","",IF($L102="","",IF(AND($K102=2,ISNUMBER($L102),$L102&lt;$J102),"Yes","No")))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OR($C102="",$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RANGE",IF(COUNTIF(nrES_RecID,$B102)&gt;1,"DUPLICATE RECORD",IF(AND($K102=2,COUNTIFS(nrES_PID,$D102,nrES_Code,$F102,nrES_Att,1)=0),"ATTEMPT 2 WITHOUT ATTEMPT 1",IF(AND($K102=2,$L102=""),"RETEST ROW HAS NO SCORE",IF(AND($H102="Final",$L102&lt;&gt;"",IFERROR(INDEX(nrCKfinalExamElig,MATCH($D102,rngCadetPIDs,0)),"")="No"),"FINAL EXAM AFTER FAILED FINAL PT (500.1.H)","OK")))))))</f>
        <v/>
      </c>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IF($C103="","",IF($K103="","",IF(COUNTIFS(nrES_PID,$D103,nrES_Code,$F103,nrES_Att,"&gt;"&amp;$K103,nrES_Raw,"&gt;=0")=0,"Yes","No")))</f>
        <v/>
      </c>
      <c r="Q103" s="17">
        <f>IF($C103="","",IF($L103="","",IF(AND($K103=1,ISNUMBER($L103),$L103&lt;$J103,COUNTIFS(nrES_PID,$D103,nrES_Code,$F103,nrES_Att,2,nrES_Raw,"&gt;=0")=0),"Yes","No")))</f>
        <v/>
      </c>
      <c r="R103" s="17">
        <f>IF($C103="","",IF($L103="","",IF(AND($K103=2,ISNUMBER($L103),$L103&lt;$J103),"Yes","No")))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OR($C103="",$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RANGE",IF(COUNTIF(nrES_RecID,$B103)&gt;1,"DUPLICATE RECORD",IF(AND($K103=2,COUNTIFS(nrES_PID,$D103,nrES_Code,$F103,nrES_Att,1)=0),"ATTEMPT 2 WITHOUT ATTEMPT 1",IF(AND($K103=2,$L103=""),"RETEST ROW HAS NO SCORE",IF(AND($H103="Final",$L103&lt;&gt;"",IFERROR(INDEX(nrCKfinalExamElig,MATCH($D103,rngCadetPIDs,0)),"")="No"),"FINAL EXAM AFTER FAILED FINAL PT (500.1.H)","OK")))))))</f>
        <v/>
      </c>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IF($C104="","",IF($K104="","",IF(COUNTIFS(nrES_PID,$D104,nrES_Code,$F104,nrES_Att,"&gt;"&amp;$K104,nrES_Raw,"&gt;=0")=0,"Yes","No")))</f>
        <v/>
      </c>
      <c r="Q104" s="17">
        <f>IF($C104="","",IF($L104="","",IF(AND($K104=1,ISNUMBER($L104),$L104&lt;$J104,COUNTIFS(nrES_PID,$D104,nrES_Code,$F104,nrES_Att,2,nrES_Raw,"&gt;=0")=0),"Yes","No")))</f>
        <v/>
      </c>
      <c r="R104" s="17">
        <f>IF($C104="","",IF($L104="","",IF(AND($K104=2,ISNUMBER($L104),$L104&lt;$J104),"Yes","No")))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OR($C104="",$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RANGE",IF(COUNTIF(nrES_RecID,$B104)&gt;1,"DUPLICATE RECORD",IF(AND($K104=2,COUNTIFS(nrES_PID,$D104,nrES_Code,$F104,nrES_Att,1)=0),"ATTEMPT 2 WITHOUT ATTEMPT 1",IF(AND($K104=2,$L104=""),"RETEST ROW HAS NO SCORE",IF(AND($H104="Final",$L104&lt;&gt;"",IFERROR(INDEX(nrCKfinalExamElig,MATCH($D104,rngCadetPIDs,0)),"")="No"),"FINAL EXAM AFTER FAILED FINAL PT (500.1.H)","OK")))))))</f>
        <v/>
      </c>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IF($C105="","",IF($K105="","",IF(COUNTIFS(nrES_PID,$D105,nrES_Code,$F105,nrES_Att,"&gt;"&amp;$K105,nrES_Raw,"&gt;=0")=0,"Yes","No")))</f>
        <v/>
      </c>
      <c r="Q105" s="17">
        <f>IF($C105="","",IF($L105="","",IF(AND($K105=1,ISNUMBER($L105),$L105&lt;$J105,COUNTIFS(nrES_PID,$D105,nrES_Code,$F105,nrES_Att,2,nrES_Raw,"&gt;=0")=0),"Yes","No")))</f>
        <v/>
      </c>
      <c r="R105" s="17">
        <f>IF($C105="","",IF($L105="","",IF(AND($K105=2,ISNUMBER($L105),$L105&lt;$J105),"Yes","No")))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OR($C105="",$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RANGE",IF(COUNTIF(nrES_RecID,$B105)&gt;1,"DUPLICATE RECORD",IF(AND($K105=2,COUNTIFS(nrES_PID,$D105,nrES_Code,$F105,nrES_Att,1)=0),"ATTEMPT 2 WITHOUT ATTEMPT 1",IF(AND($K105=2,$L105=""),"RETEST ROW HAS NO SCORE",IF(AND($H105="Final",$L105&lt;&gt;"",IFERROR(INDEX(nrCKfinalExamElig,MATCH($D105,rngCadetPIDs,0)),"")="No"),"FINAL EXAM AFTER FAILED FINAL PT (500.1.H)","OK")))))))</f>
        <v/>
      </c>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IF($C106="","",IF($K106="","",IF(COUNTIFS(nrES_PID,$D106,nrES_Code,$F106,nrES_Att,"&gt;"&amp;$K106,nrES_Raw,"&gt;=0")=0,"Yes","No")))</f>
        <v/>
      </c>
      <c r="Q106" s="17">
        <f>IF($C106="","",IF($L106="","",IF(AND($K106=1,ISNUMBER($L106),$L106&lt;$J106,COUNTIFS(nrES_PID,$D106,nrES_Code,$F106,nrES_Att,2,nrES_Raw,"&gt;=0")=0),"Yes","No")))</f>
        <v/>
      </c>
      <c r="R106" s="17">
        <f>IF($C106="","",IF($L106="","",IF(AND($K106=2,ISNUMBER($L106),$L106&lt;$J106),"Yes","No")))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OR($C106="",$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RANGE",IF(COUNTIF(nrES_RecID,$B106)&gt;1,"DUPLICATE RECORD",IF(AND($K106=2,COUNTIFS(nrES_PID,$D106,nrES_Code,$F106,nrES_Att,1)=0),"ATTEMPT 2 WITHOUT ATTEMPT 1",IF(AND($K106=2,$L106=""),"RETEST ROW HAS NO SCORE",IF(AND($H106="Final",$L106&lt;&gt;"",IFERROR(INDEX(nrCKfinalExamElig,MATCH($D106,rngCadetPIDs,0)),"")="No"),"FINAL EXAM AFTER FAILED FINAL PT (500.1.H)","OK")))))))</f>
        <v/>
      </c>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IF($C107="","",IF($K107="","",IF(COUNTIFS(nrES_PID,$D107,nrES_Code,$F107,nrES_Att,"&gt;"&amp;$K107,nrES_Raw,"&gt;=0")=0,"Yes","No")))</f>
        <v/>
      </c>
      <c r="Q107" s="17">
        <f>IF($C107="","",IF($L107="","",IF(AND($K107=1,ISNUMBER($L107),$L107&lt;$J107,COUNTIFS(nrES_PID,$D107,nrES_Code,$F107,nrES_Att,2,nrES_Raw,"&gt;=0")=0),"Yes","No")))</f>
        <v/>
      </c>
      <c r="R107" s="17">
        <f>IF($C107="","",IF($L107="","",IF(AND($K107=2,ISNUMBER($L107),$L107&lt;$J107),"Yes","No")))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OR($C107="",$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RANGE",IF(COUNTIF(nrES_RecID,$B107)&gt;1,"DUPLICATE RECORD",IF(AND($K107=2,COUNTIFS(nrES_PID,$D107,nrES_Code,$F107,nrES_Att,1)=0),"ATTEMPT 2 WITHOUT ATTEMPT 1",IF(AND($K107=2,$L107=""),"RETEST ROW HAS NO SCORE",IF(AND($H107="Final",$L107&lt;&gt;"",IFERROR(INDEX(nrCKfinalExamElig,MATCH($D107,rngCadetPIDs,0)),"")="No"),"FINAL EXAM AFTER FAILED FINAL PT (500.1.H)","OK")))))))</f>
        <v/>
      </c>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IF($C108="","",IF($K108="","",IF(COUNTIFS(nrES_PID,$D108,nrES_Code,$F108,nrES_Att,"&gt;"&amp;$K108,nrES_Raw,"&gt;=0")=0,"Yes","No")))</f>
        <v/>
      </c>
      <c r="Q108" s="17">
        <f>IF($C108="","",IF($L108="","",IF(AND($K108=1,ISNUMBER($L108),$L108&lt;$J108,COUNTIFS(nrES_PID,$D108,nrES_Code,$F108,nrES_Att,2,nrES_Raw,"&gt;=0")=0),"Yes","No")))</f>
        <v/>
      </c>
      <c r="R108" s="17">
        <f>IF($C108="","",IF($L108="","",IF(AND($K108=2,ISNUMBER($L108),$L108&lt;$J108),"Yes","No")))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OR($C108="",$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RANGE",IF(COUNTIF(nrES_RecID,$B108)&gt;1,"DUPLICATE RECORD",IF(AND($K108=2,COUNTIFS(nrES_PID,$D108,nrES_Code,$F108,nrES_Att,1)=0),"ATTEMPT 2 WITHOUT ATTEMPT 1",IF(AND($K108=2,$L108=""),"RETEST ROW HAS NO SCORE",IF(AND($H108="Final",$L108&lt;&gt;"",IFERROR(INDEX(nrCKfinalExamElig,MATCH($D108,rngCadetPIDs,0)),"")="No"),"FINAL EXAM AFTER FAILED FINAL PT (500.1.H)","OK")))))))</f>
        <v/>
      </c>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IF($C109="","",IF($K109="","",IF(COUNTIFS(nrES_PID,$D109,nrES_Code,$F109,nrES_Att,"&gt;"&amp;$K109,nrES_Raw,"&gt;=0")=0,"Yes","No")))</f>
        <v/>
      </c>
      <c r="Q109" s="17">
        <f>IF($C109="","",IF($L109="","",IF(AND($K109=1,ISNUMBER($L109),$L109&lt;$J109,COUNTIFS(nrES_PID,$D109,nrES_Code,$F109,nrES_Att,2,nrES_Raw,"&gt;=0")=0),"Yes","No")))</f>
        <v/>
      </c>
      <c r="R109" s="17">
        <f>IF($C109="","",IF($L109="","",IF(AND($K109=2,ISNUMBER($L109),$L109&lt;$J109),"Yes","No")))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OR($C109="",$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RANGE",IF(COUNTIF(nrES_RecID,$B109)&gt;1,"DUPLICATE RECORD",IF(AND($K109=2,COUNTIFS(nrES_PID,$D109,nrES_Code,$F109,nrES_Att,1)=0),"ATTEMPT 2 WITHOUT ATTEMPT 1",IF(AND($K109=2,$L109=""),"RETEST ROW HAS NO SCORE",IF(AND($H109="Final",$L109&lt;&gt;"",IFERROR(INDEX(nrCKfinalExamElig,MATCH($D109,rngCadetPIDs,0)),"")="No"),"FINAL EXAM AFTER FAILED FINAL PT (500.1.H)","OK")))))))</f>
        <v/>
      </c>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IF($C110="","",IF($K110="","",IF(COUNTIFS(nrES_PID,$D110,nrES_Code,$F110,nrES_Att,"&gt;"&amp;$K110,nrES_Raw,"&gt;=0")=0,"Yes","No")))</f>
        <v/>
      </c>
      <c r="Q110" s="17">
        <f>IF($C110="","",IF($L110="","",IF(AND($K110=1,ISNUMBER($L110),$L110&lt;$J110,COUNTIFS(nrES_PID,$D110,nrES_Code,$F110,nrES_Att,2,nrES_Raw,"&gt;=0")=0),"Yes","No")))</f>
        <v/>
      </c>
      <c r="R110" s="17">
        <f>IF($C110="","",IF($L110="","",IF(AND($K110=2,ISNUMBER($L110),$L110&lt;$J110),"Yes","No")))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OR($C110="",$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RANGE",IF(COUNTIF(nrES_RecID,$B110)&gt;1,"DUPLICATE RECORD",IF(AND($K110=2,COUNTIFS(nrES_PID,$D110,nrES_Code,$F110,nrES_Att,1)=0),"ATTEMPT 2 WITHOUT ATTEMPT 1",IF(AND($K110=2,$L110=""),"RETEST ROW HAS NO SCORE",IF(AND($H110="Final",$L110&lt;&gt;"",IFERROR(INDEX(nrCKfinalExamElig,MATCH($D110,rngCadetPIDs,0)),"")="No"),"FINAL EXAM AFTER FAILED FINAL PT (500.1.H)","OK")))))))</f>
        <v/>
      </c>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IF($C111="","",IF($K111="","",IF(COUNTIFS(nrES_PID,$D111,nrES_Code,$F111,nrES_Att,"&gt;"&amp;$K111,nrES_Raw,"&gt;=0")=0,"Yes","No")))</f>
        <v/>
      </c>
      <c r="Q111" s="17">
        <f>IF($C111="","",IF($L111="","",IF(AND($K111=1,ISNUMBER($L111),$L111&lt;$J111,COUNTIFS(nrES_PID,$D111,nrES_Code,$F111,nrES_Att,2,nrES_Raw,"&gt;=0")=0),"Yes","No")))</f>
        <v/>
      </c>
      <c r="R111" s="17">
        <f>IF($C111="","",IF($L111="","",IF(AND($K111=2,ISNUMBER($L111),$L111&lt;$J111),"Yes","No")))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OR($C111="",$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RANGE",IF(COUNTIF(nrES_RecID,$B111)&gt;1,"DUPLICATE RECORD",IF(AND($K111=2,COUNTIFS(nrES_PID,$D111,nrES_Code,$F111,nrES_Att,1)=0),"ATTEMPT 2 WITHOUT ATTEMPT 1",IF(AND($K111=2,$L111=""),"RETEST ROW HAS NO SCORE",IF(AND($H111="Final",$L111&lt;&gt;"",IFERROR(INDEX(nrCKfinalExamElig,MATCH($D111,rngCadetPIDs,0)),"")="No"),"FINAL EXAM AFTER FAILED FINAL PT (500.1.H)","OK")))))))</f>
        <v/>
      </c>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IF($C112="","",IF($K112="","",IF(COUNTIFS(nrES_PID,$D112,nrES_Code,$F112,nrES_Att,"&gt;"&amp;$K112,nrES_Raw,"&gt;=0")=0,"Yes","No")))</f>
        <v/>
      </c>
      <c r="Q112" s="17">
        <f>IF($C112="","",IF($L112="","",IF(AND($K112=1,ISNUMBER($L112),$L112&lt;$J112,COUNTIFS(nrES_PID,$D112,nrES_Code,$F112,nrES_Att,2,nrES_Raw,"&gt;=0")=0),"Yes","No")))</f>
        <v/>
      </c>
      <c r="R112" s="17">
        <f>IF($C112="","",IF($L112="","",IF(AND($K112=2,ISNUMBER($L112),$L112&lt;$J112),"Yes","No")))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OR($C112="",$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RANGE",IF(COUNTIF(nrES_RecID,$B112)&gt;1,"DUPLICATE RECORD",IF(AND($K112=2,COUNTIFS(nrES_PID,$D112,nrES_Code,$F112,nrES_Att,1)=0),"ATTEMPT 2 WITHOUT ATTEMPT 1",IF(AND($K112=2,$L112=""),"RETEST ROW HAS NO SCORE",IF(AND($H112="Final",$L112&lt;&gt;"",IFERROR(INDEX(nrCKfinalExamElig,MATCH($D112,rngCadetPIDs,0)),"")="No"),"FINAL EXAM AFTER FAILED FINAL PT (500.1.H)","OK")))))))</f>
        <v/>
      </c>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IF($C113="","",IF($K113="","",IF(COUNTIFS(nrES_PID,$D113,nrES_Code,$F113,nrES_Att,"&gt;"&amp;$K113,nrES_Raw,"&gt;=0")=0,"Yes","No")))</f>
        <v/>
      </c>
      <c r="Q113" s="17">
        <f>IF($C113="","",IF($L113="","",IF(AND($K113=1,ISNUMBER($L113),$L113&lt;$J113,COUNTIFS(nrES_PID,$D113,nrES_Code,$F113,nrES_Att,2,nrES_Raw,"&gt;=0")=0),"Yes","No")))</f>
        <v/>
      </c>
      <c r="R113" s="17">
        <f>IF($C113="","",IF($L113="","",IF(AND($K113=2,ISNUMBER($L113),$L113&lt;$J113),"Yes","No")))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OR($C113="",$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RANGE",IF(COUNTIF(nrES_RecID,$B113)&gt;1,"DUPLICATE RECORD",IF(AND($K113=2,COUNTIFS(nrES_PID,$D113,nrES_Code,$F113,nrES_Att,1)=0),"ATTEMPT 2 WITHOUT ATTEMPT 1",IF(AND($K113=2,$L113=""),"RETEST ROW HAS NO SCORE",IF(AND($H113="Final",$L113&lt;&gt;"",IFERROR(INDEX(nrCKfinalExamElig,MATCH($D113,rngCadetPIDs,0)),"")="No"),"FINAL EXAM AFTER FAILED FINAL PT (500.1.H)","OK")))))))</f>
        <v/>
      </c>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IF($C114="","",IF($K114="","",IF(COUNTIFS(nrES_PID,$D114,nrES_Code,$F114,nrES_Att,"&gt;"&amp;$K114,nrES_Raw,"&gt;=0")=0,"Yes","No")))</f>
        <v/>
      </c>
      <c r="Q114" s="17">
        <f>IF($C114="","",IF($L114="","",IF(AND($K114=1,ISNUMBER($L114),$L114&lt;$J114,COUNTIFS(nrES_PID,$D114,nrES_Code,$F114,nrES_Att,2,nrES_Raw,"&gt;=0")=0),"Yes","No")))</f>
        <v/>
      </c>
      <c r="R114" s="17">
        <f>IF($C114="","",IF($L114="","",IF(AND($K114=2,ISNUMBER($L114),$L114&lt;$J114),"Yes","No")))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OR($C114="",$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RANGE",IF(COUNTIF(nrES_RecID,$B114)&gt;1,"DUPLICATE RECORD",IF(AND($K114=2,COUNTIFS(nrES_PID,$D114,nrES_Code,$F114,nrES_Att,1)=0),"ATTEMPT 2 WITHOUT ATTEMPT 1",IF(AND($K114=2,$L114=""),"RETEST ROW HAS NO SCORE",IF(AND($H114="Final",$L114&lt;&gt;"",IFERROR(INDEX(nrCKfinalExamElig,MATCH($D114,rngCadetPIDs,0)),"")="No"),"FINAL EXAM AFTER FAILED FINAL PT (500.1.H)","OK")))))))</f>
        <v/>
      </c>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IF($C115="","",IF($K115="","",IF(COUNTIFS(nrES_PID,$D115,nrES_Code,$F115,nrES_Att,"&gt;"&amp;$K115,nrES_Raw,"&gt;=0")=0,"Yes","No")))</f>
        <v/>
      </c>
      <c r="Q115" s="17">
        <f>IF($C115="","",IF($L115="","",IF(AND($K115=1,ISNUMBER($L115),$L115&lt;$J115,COUNTIFS(nrES_PID,$D115,nrES_Code,$F115,nrES_Att,2,nrES_Raw,"&gt;=0")=0),"Yes","No")))</f>
        <v/>
      </c>
      <c r="R115" s="17">
        <f>IF($C115="","",IF($L115="","",IF(AND($K115=2,ISNUMBER($L115),$L115&lt;$J115),"Yes","No")))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OR($C115="",$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RANGE",IF(COUNTIF(nrES_RecID,$B115)&gt;1,"DUPLICATE RECORD",IF(AND($K115=2,COUNTIFS(nrES_PID,$D115,nrES_Code,$F115,nrES_Att,1)=0),"ATTEMPT 2 WITHOUT ATTEMPT 1",IF(AND($K115=2,$L115=""),"RETEST ROW HAS NO SCORE",IF(AND($H115="Final",$L115&lt;&gt;"",IFERROR(INDEX(nrCKfinalExamElig,MATCH($D115,rngCadetPIDs,0)),"")="No"),"FINAL EXAM AFTER FAILED FINAL PT (500.1.H)","OK")))))))</f>
        <v/>
      </c>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IF($C116="","",IF($K116="","",IF(COUNTIFS(nrES_PID,$D116,nrES_Code,$F116,nrES_Att,"&gt;"&amp;$K116,nrES_Raw,"&gt;=0")=0,"Yes","No")))</f>
        <v/>
      </c>
      <c r="Q116" s="17">
        <f>IF($C116="","",IF($L116="","",IF(AND($K116=1,ISNUMBER($L116),$L116&lt;$J116,COUNTIFS(nrES_PID,$D116,nrES_Code,$F116,nrES_Att,2,nrES_Raw,"&gt;=0")=0),"Yes","No")))</f>
        <v/>
      </c>
      <c r="R116" s="17">
        <f>IF($C116="","",IF($L116="","",IF(AND($K116=2,ISNUMBER($L116),$L116&lt;$J116),"Yes","No")))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OR($C116="",$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RANGE",IF(COUNTIF(nrES_RecID,$B116)&gt;1,"DUPLICATE RECORD",IF(AND($K116=2,COUNTIFS(nrES_PID,$D116,nrES_Code,$F116,nrES_Att,1)=0),"ATTEMPT 2 WITHOUT ATTEMPT 1",IF(AND($K116=2,$L116=""),"RETEST ROW HAS NO SCORE",IF(AND($H116="Final",$L116&lt;&gt;"",IFERROR(INDEX(nrCKfinalExamElig,MATCH($D116,rngCadetPIDs,0)),"")="No"),"FINAL EXAM AFTER FAILED FINAL PT (500.1.H)","OK")))))))</f>
        <v/>
      </c>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IF($C117="","",IF($K117="","",IF(COUNTIFS(nrES_PID,$D117,nrES_Code,$F117,nrES_Att,"&gt;"&amp;$K117,nrES_Raw,"&gt;=0")=0,"Yes","No")))</f>
        <v/>
      </c>
      <c r="Q117" s="17">
        <f>IF($C117="","",IF($L117="","",IF(AND($K117=1,ISNUMBER($L117),$L117&lt;$J117,COUNTIFS(nrES_PID,$D117,nrES_Code,$F117,nrES_Att,2,nrES_Raw,"&gt;=0")=0),"Yes","No")))</f>
        <v/>
      </c>
      <c r="R117" s="17">
        <f>IF($C117="","",IF($L117="","",IF(AND($K117=2,ISNUMBER($L117),$L117&lt;$J117),"Yes","No")))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OR($C117="",$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RANGE",IF(COUNTIF(nrES_RecID,$B117)&gt;1,"DUPLICATE RECORD",IF(AND($K117=2,COUNTIFS(nrES_PID,$D117,nrES_Code,$F117,nrES_Att,1)=0),"ATTEMPT 2 WITHOUT ATTEMPT 1",IF(AND($K117=2,$L117=""),"RETEST ROW HAS NO SCORE",IF(AND($H117="Final",$L117&lt;&gt;"",IFERROR(INDEX(nrCKfinalExamElig,MATCH($D117,rngCadetPIDs,0)),"")="No"),"FINAL EXAM AFTER FAILED FINAL PT (500.1.H)","OK")))))))</f>
        <v/>
      </c>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IF($C118="","",IF($K118="","",IF(COUNTIFS(nrES_PID,$D118,nrES_Code,$F118,nrES_Att,"&gt;"&amp;$K118,nrES_Raw,"&gt;=0")=0,"Yes","No")))</f>
        <v/>
      </c>
      <c r="Q118" s="17">
        <f>IF($C118="","",IF($L118="","",IF(AND($K118=1,ISNUMBER($L118),$L118&lt;$J118,COUNTIFS(nrES_PID,$D118,nrES_Code,$F118,nrES_Att,2,nrES_Raw,"&gt;=0")=0),"Yes","No")))</f>
        <v/>
      </c>
      <c r="R118" s="17">
        <f>IF($C118="","",IF($L118="","",IF(AND($K118=2,ISNUMBER($L118),$L118&lt;$J118),"Yes","No")))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OR($C118="",$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RANGE",IF(COUNTIF(nrES_RecID,$B118)&gt;1,"DUPLICATE RECORD",IF(AND($K118=2,COUNTIFS(nrES_PID,$D118,nrES_Code,$F118,nrES_Att,1)=0),"ATTEMPT 2 WITHOUT ATTEMPT 1",IF(AND($K118=2,$L118=""),"RETEST ROW HAS NO SCORE",IF(AND($H118="Final",$L118&lt;&gt;"",IFERROR(INDEX(nrCKfinalExamElig,MATCH($D118,rngCadetPIDs,0)),"")="No"),"FINAL EXAM AFTER FAILED FINAL PT (500.1.H)","OK")))))))</f>
        <v/>
      </c>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IF($C119="","",IF($K119="","",IF(COUNTIFS(nrES_PID,$D119,nrES_Code,$F119,nrES_Att,"&gt;"&amp;$K119,nrES_Raw,"&gt;=0")=0,"Yes","No")))</f>
        <v/>
      </c>
      <c r="Q119" s="17">
        <f>IF($C119="","",IF($L119="","",IF(AND($K119=1,ISNUMBER($L119),$L119&lt;$J119,COUNTIFS(nrES_PID,$D119,nrES_Code,$F119,nrES_Att,2,nrES_Raw,"&gt;=0")=0),"Yes","No")))</f>
        <v/>
      </c>
      <c r="R119" s="17">
        <f>IF($C119="","",IF($L119="","",IF(AND($K119=2,ISNUMBER($L119),$L119&lt;$J119),"Yes","No")))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OR($C119="",$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RANGE",IF(COUNTIF(nrES_RecID,$B119)&gt;1,"DUPLICATE RECORD",IF(AND($K119=2,COUNTIFS(nrES_PID,$D119,nrES_Code,$F119,nrES_Att,1)=0),"ATTEMPT 2 WITHOUT ATTEMPT 1",IF(AND($K119=2,$L119=""),"RETEST ROW HAS NO SCORE",IF(AND($H119="Final",$L119&lt;&gt;"",IFERROR(INDEX(nrCKfinalExamElig,MATCH($D119,rngCadetPIDs,0)),"")="No"),"FINAL EXAM AFTER FAILED FINAL PT (500.1.H)","OK")))))))</f>
        <v/>
      </c>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IF($C120="","",IF($K120="","",IF(COUNTIFS(nrES_PID,$D120,nrES_Code,$F120,nrES_Att,"&gt;"&amp;$K120,nrES_Raw,"&gt;=0")=0,"Yes","No")))</f>
        <v/>
      </c>
      <c r="Q120" s="17">
        <f>IF($C120="","",IF($L120="","",IF(AND($K120=1,ISNUMBER($L120),$L120&lt;$J120,COUNTIFS(nrES_PID,$D120,nrES_Code,$F120,nrES_Att,2,nrES_Raw,"&gt;=0")=0),"Yes","No")))</f>
        <v/>
      </c>
      <c r="R120" s="17">
        <f>IF($C120="","",IF($L120="","",IF(AND($K120=2,ISNUMBER($L120),$L120&lt;$J120),"Yes","No")))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OR($C120="",$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RANGE",IF(COUNTIF(nrES_RecID,$B120)&gt;1,"DUPLICATE RECORD",IF(AND($K120=2,COUNTIFS(nrES_PID,$D120,nrES_Code,$F120,nrES_Att,1)=0),"ATTEMPT 2 WITHOUT ATTEMPT 1",IF(AND($K120=2,$L120=""),"RETEST ROW HAS NO SCORE",IF(AND($H120="Final",$L120&lt;&gt;"",IFERROR(INDEX(nrCKfinalExamElig,MATCH($D120,rngCadetPIDs,0)),"")="No"),"FINAL EXAM AFTER FAILED FINAL PT (500.1.H)","OK")))))))</f>
        <v/>
      </c>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IF($C121="","",IF($K121="","",IF(COUNTIFS(nrES_PID,$D121,nrES_Code,$F121,nrES_Att,"&gt;"&amp;$K121,nrES_Raw,"&gt;=0")=0,"Yes","No")))</f>
        <v/>
      </c>
      <c r="Q121" s="17">
        <f>IF($C121="","",IF($L121="","",IF(AND($K121=1,ISNUMBER($L121),$L121&lt;$J121,COUNTIFS(nrES_PID,$D121,nrES_Code,$F121,nrES_Att,2,nrES_Raw,"&gt;=0")=0),"Yes","No")))</f>
        <v/>
      </c>
      <c r="R121" s="17">
        <f>IF($C121="","",IF($L121="","",IF(AND($K121=2,ISNUMBER($L121),$L121&lt;$J121),"Yes","No")))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OR($C121="",$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RANGE",IF(COUNTIF(nrES_RecID,$B121)&gt;1,"DUPLICATE RECORD",IF(AND($K121=2,COUNTIFS(nrES_PID,$D121,nrES_Code,$F121,nrES_Att,1)=0),"ATTEMPT 2 WITHOUT ATTEMPT 1",IF(AND($K121=2,$L121=""),"RETEST ROW HAS NO SCORE",IF(AND($H121="Final",$L121&lt;&gt;"",IFERROR(INDEX(nrCKfinalExamElig,MATCH($D121,rngCadetPIDs,0)),"")="No"),"FINAL EXAM AFTER FAILED FINAL PT (500.1.H)","OK")))))))</f>
        <v/>
      </c>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IF($C122="","",IF($K122="","",IF(COUNTIFS(nrES_PID,$D122,nrES_Code,$F122,nrES_Att,"&gt;"&amp;$K122,nrES_Raw,"&gt;=0")=0,"Yes","No")))</f>
        <v/>
      </c>
      <c r="Q122" s="17">
        <f>IF($C122="","",IF($L122="","",IF(AND($K122=1,ISNUMBER($L122),$L122&lt;$J122,COUNTIFS(nrES_PID,$D122,nrES_Code,$F122,nrES_Att,2,nrES_Raw,"&gt;=0")=0),"Yes","No")))</f>
        <v/>
      </c>
      <c r="R122" s="17">
        <f>IF($C122="","",IF($L122="","",IF(AND($K122=2,ISNUMBER($L122),$L122&lt;$J122),"Yes","No")))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OR($C122="",$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RANGE",IF(COUNTIF(nrES_RecID,$B122)&gt;1,"DUPLICATE RECORD",IF(AND($K122=2,COUNTIFS(nrES_PID,$D122,nrES_Code,$F122,nrES_Att,1)=0),"ATTEMPT 2 WITHOUT ATTEMPT 1",IF(AND($K122=2,$L122=""),"RETEST ROW HAS NO SCORE",IF(AND($H122="Final",$L122&lt;&gt;"",IFERROR(INDEX(nrCKfinalExamElig,MATCH($D122,rngCadetPIDs,0)),"")="No"),"FINAL EXAM AFTER FAILED FINAL PT (500.1.H)","OK")))))))</f>
        <v/>
      </c>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IF($C123="","",IF($K123="","",IF(COUNTIFS(nrES_PID,$D123,nrES_Code,$F123,nrES_Att,"&gt;"&amp;$K123,nrES_Raw,"&gt;=0")=0,"Yes","No")))</f>
        <v/>
      </c>
      <c r="Q123" s="17">
        <f>IF($C123="","",IF($L123="","",IF(AND($K123=1,ISNUMBER($L123),$L123&lt;$J123,COUNTIFS(nrES_PID,$D123,nrES_Code,$F123,nrES_Att,2,nrES_Raw,"&gt;=0")=0),"Yes","No")))</f>
        <v/>
      </c>
      <c r="R123" s="17">
        <f>IF($C123="","",IF($L123="","",IF(AND($K123=2,ISNUMBER($L123),$L123&lt;$J123),"Yes","No")))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OR($C123="",$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RANGE",IF(COUNTIF(nrES_RecID,$B123)&gt;1,"DUPLICATE RECORD",IF(AND($K123=2,COUNTIFS(nrES_PID,$D123,nrES_Code,$F123,nrES_Att,1)=0),"ATTEMPT 2 WITHOUT ATTEMPT 1",IF(AND($K123=2,$L123=""),"RETEST ROW HAS NO SCORE",IF(AND($H123="Final",$L123&lt;&gt;"",IFERROR(INDEX(nrCKfinalExamElig,MATCH($D123,rngCadetPIDs,0)),"")="No"),"FINAL EXAM AFTER FAILED FINAL PT (500.1.H)","OK")))))))</f>
        <v/>
      </c>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IF($C124="","",IF($K124="","",IF(COUNTIFS(nrES_PID,$D124,nrES_Code,$F124,nrES_Att,"&gt;"&amp;$K124,nrES_Raw,"&gt;=0")=0,"Yes","No")))</f>
        <v/>
      </c>
      <c r="Q124" s="17">
        <f>IF($C124="","",IF($L124="","",IF(AND($K124=1,ISNUMBER($L124),$L124&lt;$J124,COUNTIFS(nrES_PID,$D124,nrES_Code,$F124,nrES_Att,2,nrES_Raw,"&gt;=0")=0),"Yes","No")))</f>
        <v/>
      </c>
      <c r="R124" s="17">
        <f>IF($C124="","",IF($L124="","",IF(AND($K124=2,ISNUMBER($L124),$L124&lt;$J124),"Yes","No")))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OR($C124="",$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RANGE",IF(COUNTIF(nrES_RecID,$B124)&gt;1,"DUPLICATE RECORD",IF(AND($K124=2,COUNTIFS(nrES_PID,$D124,nrES_Code,$F124,nrES_Att,1)=0),"ATTEMPT 2 WITHOUT ATTEMPT 1",IF(AND($K124=2,$L124=""),"RETEST ROW HAS NO SCORE",IF(AND($H124="Final",$L124&lt;&gt;"",IFERROR(INDEX(nrCKfinalExamElig,MATCH($D124,rngCadetPIDs,0)),"")="No"),"FINAL EXAM AFTER FAILED FINAL PT (500.1.H)","OK")))))))</f>
        <v/>
      </c>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IF($C125="","",IF($K125="","",IF(COUNTIFS(nrES_PID,$D125,nrES_Code,$F125,nrES_Att,"&gt;"&amp;$K125,nrES_Raw,"&gt;=0")=0,"Yes","No")))</f>
        <v/>
      </c>
      <c r="Q125" s="17">
        <f>IF($C125="","",IF($L125="","",IF(AND($K125=1,ISNUMBER($L125),$L125&lt;$J125,COUNTIFS(nrES_PID,$D125,nrES_Code,$F125,nrES_Att,2,nrES_Raw,"&gt;=0")=0),"Yes","No")))</f>
        <v/>
      </c>
      <c r="R125" s="17">
        <f>IF($C125="","",IF($L125="","",IF(AND($K125=2,ISNUMBER($L125),$L125&lt;$J125),"Yes","No")))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OR($C125="",$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RANGE",IF(COUNTIF(nrES_RecID,$B125)&gt;1,"DUPLICATE RECORD",IF(AND($K125=2,COUNTIFS(nrES_PID,$D125,nrES_Code,$F125,nrES_Att,1)=0),"ATTEMPT 2 WITHOUT ATTEMPT 1",IF(AND($K125=2,$L125=""),"RETEST ROW HAS NO SCORE",IF(AND($H125="Final",$L125&lt;&gt;"",IFERROR(INDEX(nrCKfinalExamElig,MATCH($D125,rngCadetPIDs,0)),"")="No"),"FINAL EXAM AFTER FAILED FINAL PT (500.1.H)","OK")))))))</f>
        <v/>
      </c>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IF($C126="","",IF($K126="","",IF(COUNTIFS(nrES_PID,$D126,nrES_Code,$F126,nrES_Att,"&gt;"&amp;$K126,nrES_Raw,"&gt;=0")=0,"Yes","No")))</f>
        <v/>
      </c>
      <c r="Q126" s="17">
        <f>IF($C126="","",IF($L126="","",IF(AND($K126=1,ISNUMBER($L126),$L126&lt;$J126,COUNTIFS(nrES_PID,$D126,nrES_Code,$F126,nrES_Att,2,nrES_Raw,"&gt;=0")=0),"Yes","No")))</f>
        <v/>
      </c>
      <c r="R126" s="17">
        <f>IF($C126="","",IF($L126="","",IF(AND($K126=2,ISNUMBER($L126),$L126&lt;$J126),"Yes","No")))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OR($C126="",$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RANGE",IF(COUNTIF(nrES_RecID,$B126)&gt;1,"DUPLICATE RECORD",IF(AND($K126=2,COUNTIFS(nrES_PID,$D126,nrES_Code,$F126,nrES_Att,1)=0),"ATTEMPT 2 WITHOUT ATTEMPT 1",IF(AND($K126=2,$L126=""),"RETEST ROW HAS NO SCORE",IF(AND($H126="Final",$L126&lt;&gt;"",IFERROR(INDEX(nrCKfinalExamElig,MATCH($D126,rngCadetPIDs,0)),"")="No"),"FINAL EXAM AFTER FAILED FINAL PT (500.1.H)","OK")))))))</f>
        <v/>
      </c>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IF($C127="","",IF($K127="","",IF(COUNTIFS(nrES_PID,$D127,nrES_Code,$F127,nrES_Att,"&gt;"&amp;$K127,nrES_Raw,"&gt;=0")=0,"Yes","No")))</f>
        <v/>
      </c>
      <c r="Q127" s="17">
        <f>IF($C127="","",IF($L127="","",IF(AND($K127=1,ISNUMBER($L127),$L127&lt;$J127,COUNTIFS(nrES_PID,$D127,nrES_Code,$F127,nrES_Att,2,nrES_Raw,"&gt;=0")=0),"Yes","No")))</f>
        <v/>
      </c>
      <c r="R127" s="17">
        <f>IF($C127="","",IF($L127="","",IF(AND($K127=2,ISNUMBER($L127),$L127&lt;$J127),"Yes","No")))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OR($C127="",$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RANGE",IF(COUNTIF(nrES_RecID,$B127)&gt;1,"DUPLICATE RECORD",IF(AND($K127=2,COUNTIFS(nrES_PID,$D127,nrES_Code,$F127,nrES_Att,1)=0),"ATTEMPT 2 WITHOUT ATTEMPT 1",IF(AND($K127=2,$L127=""),"RETEST ROW HAS NO SCORE",IF(AND($H127="Final",$L127&lt;&gt;"",IFERROR(INDEX(nrCKfinalExamElig,MATCH($D127,rngCadetPIDs,0)),"")="No"),"FINAL EXAM AFTER FAILED FINAL PT (500.1.H)","OK")))))))</f>
        <v/>
      </c>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IF($C128="","",IF($K128="","",IF(COUNTIFS(nrES_PID,$D128,nrES_Code,$F128,nrES_Att,"&gt;"&amp;$K128,nrES_Raw,"&gt;=0")=0,"Yes","No")))</f>
        <v/>
      </c>
      <c r="Q128" s="17">
        <f>IF($C128="","",IF($L128="","",IF(AND($K128=1,ISNUMBER($L128),$L128&lt;$J128,COUNTIFS(nrES_PID,$D128,nrES_Code,$F128,nrES_Att,2,nrES_Raw,"&gt;=0")=0),"Yes","No")))</f>
        <v/>
      </c>
      <c r="R128" s="17">
        <f>IF($C128="","",IF($L128="","",IF(AND($K128=2,ISNUMBER($L128),$L128&lt;$J128),"Yes","No")))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OR($C128="",$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RANGE",IF(COUNTIF(nrES_RecID,$B128)&gt;1,"DUPLICATE RECORD",IF(AND($K128=2,COUNTIFS(nrES_PID,$D128,nrES_Code,$F128,nrES_Att,1)=0),"ATTEMPT 2 WITHOUT ATTEMPT 1",IF(AND($K128=2,$L128=""),"RETEST ROW HAS NO SCORE",IF(AND($H128="Final",$L128&lt;&gt;"",IFERROR(INDEX(nrCKfinalExamElig,MATCH($D128,rngCadetPIDs,0)),"")="No"),"FINAL EXAM AFTER FAILED FINAL PT (500.1.H)","OK")))))))</f>
        <v/>
      </c>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IF($C129="","",IF($K129="","",IF(COUNTIFS(nrES_PID,$D129,nrES_Code,$F129,nrES_Att,"&gt;"&amp;$K129,nrES_Raw,"&gt;=0")=0,"Yes","No")))</f>
        <v/>
      </c>
      <c r="Q129" s="17">
        <f>IF($C129="","",IF($L129="","",IF(AND($K129=1,ISNUMBER($L129),$L129&lt;$J129,COUNTIFS(nrES_PID,$D129,nrES_Code,$F129,nrES_Att,2,nrES_Raw,"&gt;=0")=0),"Yes","No")))</f>
        <v/>
      </c>
      <c r="R129" s="17">
        <f>IF($C129="","",IF($L129="","",IF(AND($K129=2,ISNUMBER($L129),$L129&lt;$J129),"Yes","No")))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OR($C129="",$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RANGE",IF(COUNTIF(nrES_RecID,$B129)&gt;1,"DUPLICATE RECORD",IF(AND($K129=2,COUNTIFS(nrES_PID,$D129,nrES_Code,$F129,nrES_Att,1)=0),"ATTEMPT 2 WITHOUT ATTEMPT 1",IF(AND($K129=2,$L129=""),"RETEST ROW HAS NO SCORE",IF(AND($H129="Final",$L129&lt;&gt;"",IFERROR(INDEX(nrCKfinalExamElig,MATCH($D129,rngCadetPIDs,0)),"")="No"),"FINAL EXAM AFTER FAILED FINAL PT (500.1.H)","OK")))))))</f>
        <v/>
      </c>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IF($C130="","",IF($K130="","",IF(COUNTIFS(nrES_PID,$D130,nrES_Code,$F130,nrES_Att,"&gt;"&amp;$K130,nrES_Raw,"&gt;=0")=0,"Yes","No")))</f>
        <v/>
      </c>
      <c r="Q130" s="17">
        <f>IF($C130="","",IF($L130="","",IF(AND($K130=1,ISNUMBER($L130),$L130&lt;$J130,COUNTIFS(nrES_PID,$D130,nrES_Code,$F130,nrES_Att,2,nrES_Raw,"&gt;=0")=0),"Yes","No")))</f>
        <v/>
      </c>
      <c r="R130" s="17">
        <f>IF($C130="","",IF($L130="","",IF(AND($K130=2,ISNUMBER($L130),$L130&lt;$J130),"Yes","No")))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OR($C130="",$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RANGE",IF(COUNTIF(nrES_RecID,$B130)&gt;1,"DUPLICATE RECORD",IF(AND($K130=2,COUNTIFS(nrES_PID,$D130,nrES_Code,$F130,nrES_Att,1)=0),"ATTEMPT 2 WITHOUT ATTEMPT 1",IF(AND($K130=2,$L130=""),"RETEST ROW HAS NO SCORE",IF(AND($H130="Final",$L130&lt;&gt;"",IFERROR(INDEX(nrCKfinalExamElig,MATCH($D130,rngCadetPIDs,0)),"")="No"),"FINAL EXAM AFTER FAILED FINAL PT (500.1.H)","OK")))))))</f>
        <v/>
      </c>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IF($C131="","",IF($K131="","",IF(COUNTIFS(nrES_PID,$D131,nrES_Code,$F131,nrES_Att,"&gt;"&amp;$K131,nrES_Raw,"&gt;=0")=0,"Yes","No")))</f>
        <v/>
      </c>
      <c r="Q131" s="17">
        <f>IF($C131="","",IF($L131="","",IF(AND($K131=1,ISNUMBER($L131),$L131&lt;$J131,COUNTIFS(nrES_PID,$D131,nrES_Code,$F131,nrES_Att,2,nrES_Raw,"&gt;=0")=0),"Yes","No")))</f>
        <v/>
      </c>
      <c r="R131" s="17">
        <f>IF($C131="","",IF($L131="","",IF(AND($K131=2,ISNUMBER($L131),$L131&lt;$J131),"Yes","No")))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OR($C131="",$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RANGE",IF(COUNTIF(nrES_RecID,$B131)&gt;1,"DUPLICATE RECORD",IF(AND($K131=2,COUNTIFS(nrES_PID,$D131,nrES_Code,$F131,nrES_Att,1)=0),"ATTEMPT 2 WITHOUT ATTEMPT 1",IF(AND($K131=2,$L131=""),"RETEST ROW HAS NO SCORE",IF(AND($H131="Final",$L131&lt;&gt;"",IFERROR(INDEX(nrCKfinalExamElig,MATCH($D131,rngCadetPIDs,0)),"")="No"),"FINAL EXAM AFTER FAILED FINAL PT (500.1.H)","OK")))))))</f>
        <v/>
      </c>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IF($C132="","",IF($K132="","",IF(COUNTIFS(nrES_PID,$D132,nrES_Code,$F132,nrES_Att,"&gt;"&amp;$K132,nrES_Raw,"&gt;=0")=0,"Yes","No")))</f>
        <v/>
      </c>
      <c r="Q132" s="17">
        <f>IF($C132="","",IF($L132="","",IF(AND($K132=1,ISNUMBER($L132),$L132&lt;$J132,COUNTIFS(nrES_PID,$D132,nrES_Code,$F132,nrES_Att,2,nrES_Raw,"&gt;=0")=0),"Yes","No")))</f>
        <v/>
      </c>
      <c r="R132" s="17">
        <f>IF($C132="","",IF($L132="","",IF(AND($K132=2,ISNUMBER($L132),$L132&lt;$J132),"Yes","No")))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OR($C132="",$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RANGE",IF(COUNTIF(nrES_RecID,$B132)&gt;1,"DUPLICATE RECORD",IF(AND($K132=2,COUNTIFS(nrES_PID,$D132,nrES_Code,$F132,nrES_Att,1)=0),"ATTEMPT 2 WITHOUT ATTEMPT 1",IF(AND($K132=2,$L132=""),"RETEST ROW HAS NO SCORE",IF(AND($H132="Final",$L132&lt;&gt;"",IFERROR(INDEX(nrCKfinalExamElig,MATCH($D132,rngCadetPIDs,0)),"")="No"),"FINAL EXAM AFTER FAILED FINAL PT (500.1.H)","OK")))))))</f>
        <v/>
      </c>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IF($C133="","",IF($K133="","",IF(COUNTIFS(nrES_PID,$D133,nrES_Code,$F133,nrES_Att,"&gt;"&amp;$K133,nrES_Raw,"&gt;=0")=0,"Yes","No")))</f>
        <v/>
      </c>
      <c r="Q133" s="17">
        <f>IF($C133="","",IF($L133="","",IF(AND($K133=1,ISNUMBER($L133),$L133&lt;$J133,COUNTIFS(nrES_PID,$D133,nrES_Code,$F133,nrES_Att,2,nrES_Raw,"&gt;=0")=0),"Yes","No")))</f>
        <v/>
      </c>
      <c r="R133" s="17">
        <f>IF($C133="","",IF($L133="","",IF(AND($K133=2,ISNUMBER($L133),$L133&lt;$J133),"Yes","No")))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OR($C133="",$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RANGE",IF(COUNTIF(nrES_RecID,$B133)&gt;1,"DUPLICATE RECORD",IF(AND($K133=2,COUNTIFS(nrES_PID,$D133,nrES_Code,$F133,nrES_Att,1)=0),"ATTEMPT 2 WITHOUT ATTEMPT 1",IF(AND($K133=2,$L133=""),"RETEST ROW HAS NO SCORE",IF(AND($H133="Final",$L133&lt;&gt;"",IFERROR(INDEX(nrCKfinalExamElig,MATCH($D133,rngCadetPIDs,0)),"")="No"),"FINAL EXAM AFTER FAILED FINAL PT (500.1.H)","OK")))))))</f>
        <v/>
      </c>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IF($C134="","",IF($K134="","",IF(COUNTIFS(nrES_PID,$D134,nrES_Code,$F134,nrES_Att,"&gt;"&amp;$K134,nrES_Raw,"&gt;=0")=0,"Yes","No")))</f>
        <v/>
      </c>
      <c r="Q134" s="17">
        <f>IF($C134="","",IF($L134="","",IF(AND($K134=1,ISNUMBER($L134),$L134&lt;$J134,COUNTIFS(nrES_PID,$D134,nrES_Code,$F134,nrES_Att,2,nrES_Raw,"&gt;=0")=0),"Yes","No")))</f>
        <v/>
      </c>
      <c r="R134" s="17">
        <f>IF($C134="","",IF($L134="","",IF(AND($K134=2,ISNUMBER($L134),$L134&lt;$J134),"Yes","No")))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OR($C134="",$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RANGE",IF(COUNTIF(nrES_RecID,$B134)&gt;1,"DUPLICATE RECORD",IF(AND($K134=2,COUNTIFS(nrES_PID,$D134,nrES_Code,$F134,nrES_Att,1)=0),"ATTEMPT 2 WITHOUT ATTEMPT 1",IF(AND($K134=2,$L134=""),"RETEST ROW HAS NO SCORE",IF(AND($H134="Final",$L134&lt;&gt;"",IFERROR(INDEX(nrCKfinalExamElig,MATCH($D134,rngCadetPIDs,0)),"")="No"),"FINAL EXAM AFTER FAILED FINAL PT (500.1.H)","OK")))))))</f>
        <v/>
      </c>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IF($C135="","",IF($K135="","",IF(COUNTIFS(nrES_PID,$D135,nrES_Code,$F135,nrES_Att,"&gt;"&amp;$K135,nrES_Raw,"&gt;=0")=0,"Yes","No")))</f>
        <v/>
      </c>
      <c r="Q135" s="17">
        <f>IF($C135="","",IF($L135="","",IF(AND($K135=1,ISNUMBER($L135),$L135&lt;$J135,COUNTIFS(nrES_PID,$D135,nrES_Code,$F135,nrES_Att,2,nrES_Raw,"&gt;=0")=0),"Yes","No")))</f>
        <v/>
      </c>
      <c r="R135" s="17">
        <f>IF($C135="","",IF($L135="","",IF(AND($K135=2,ISNUMBER($L135),$L135&lt;$J135),"Yes","No")))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OR($C135="",$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RANGE",IF(COUNTIF(nrES_RecID,$B135)&gt;1,"DUPLICATE RECORD",IF(AND($K135=2,COUNTIFS(nrES_PID,$D135,nrES_Code,$F135,nrES_Att,1)=0),"ATTEMPT 2 WITHOUT ATTEMPT 1",IF(AND($K135=2,$L135=""),"RETEST ROW HAS NO SCORE",IF(AND($H135="Final",$L135&lt;&gt;"",IFERROR(INDEX(nrCKfinalExamElig,MATCH($D135,rngCadetPIDs,0)),"")="No"),"FINAL EXAM AFTER FAILED FINAL PT (500.1.H)","OK")))))))</f>
        <v/>
      </c>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IF($C136="","",IF($K136="","",IF(COUNTIFS(nrES_PID,$D136,nrES_Code,$F136,nrES_Att,"&gt;"&amp;$K136,nrES_Raw,"&gt;=0")=0,"Yes","No")))</f>
        <v/>
      </c>
      <c r="Q136" s="17">
        <f>IF($C136="","",IF($L136="","",IF(AND($K136=1,ISNUMBER($L136),$L136&lt;$J136,COUNTIFS(nrES_PID,$D136,nrES_Code,$F136,nrES_Att,2,nrES_Raw,"&gt;=0")=0),"Yes","No")))</f>
        <v/>
      </c>
      <c r="R136" s="17">
        <f>IF($C136="","",IF($L136="","",IF(AND($K136=2,ISNUMBER($L136),$L136&lt;$J136),"Yes","No")))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OR($C136="",$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RANGE",IF(COUNTIF(nrES_RecID,$B136)&gt;1,"DUPLICATE RECORD",IF(AND($K136=2,COUNTIFS(nrES_PID,$D136,nrES_Code,$F136,nrES_Att,1)=0),"ATTEMPT 2 WITHOUT ATTEMPT 1",IF(AND($K136=2,$L136=""),"RETEST ROW HAS NO SCORE",IF(AND($H136="Final",$L136&lt;&gt;"",IFERROR(INDEX(nrCKfinalExamElig,MATCH($D136,rngCadetPIDs,0)),"")="No"),"FINAL EXAM AFTER FAILED FINAL PT (500.1.H)","OK")))))))</f>
        <v/>
      </c>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IF($C137="","",IF($K137="","",IF(COUNTIFS(nrES_PID,$D137,nrES_Code,$F137,nrES_Att,"&gt;"&amp;$K137,nrES_Raw,"&gt;=0")=0,"Yes","No")))</f>
        <v/>
      </c>
      <c r="Q137" s="17">
        <f>IF($C137="","",IF($L137="","",IF(AND($K137=1,ISNUMBER($L137),$L137&lt;$J137,COUNTIFS(nrES_PID,$D137,nrES_Code,$F137,nrES_Att,2,nrES_Raw,"&gt;=0")=0),"Yes","No")))</f>
        <v/>
      </c>
      <c r="R137" s="17">
        <f>IF($C137="","",IF($L137="","",IF(AND($K137=2,ISNUMBER($L137),$L137&lt;$J137),"Yes","No")))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OR($C137="",$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RANGE",IF(COUNTIF(nrES_RecID,$B137)&gt;1,"DUPLICATE RECORD",IF(AND($K137=2,COUNTIFS(nrES_PID,$D137,nrES_Code,$F137,nrES_Att,1)=0),"ATTEMPT 2 WITHOUT ATTEMPT 1",IF(AND($K137=2,$L137=""),"RETEST ROW HAS NO SCORE",IF(AND($H137="Final",$L137&lt;&gt;"",IFERROR(INDEX(nrCKfinalExamElig,MATCH($D137,rngCadetPIDs,0)),"")="No"),"FINAL EXAM AFTER FAILED FINAL PT (500.1.H)","OK")))))))</f>
        <v/>
      </c>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IF($C138="","",IF($K138="","",IF(COUNTIFS(nrES_PID,$D138,nrES_Code,$F138,nrES_Att,"&gt;"&amp;$K138,nrES_Raw,"&gt;=0")=0,"Yes","No")))</f>
        <v/>
      </c>
      <c r="Q138" s="17">
        <f>IF($C138="","",IF($L138="","",IF(AND($K138=1,ISNUMBER($L138),$L138&lt;$J138,COUNTIFS(nrES_PID,$D138,nrES_Code,$F138,nrES_Att,2,nrES_Raw,"&gt;=0")=0),"Yes","No")))</f>
        <v/>
      </c>
      <c r="R138" s="17">
        <f>IF($C138="","",IF($L138="","",IF(AND($K138=2,ISNUMBER($L138),$L138&lt;$J138),"Yes","No")))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OR($C138="",$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RANGE",IF(COUNTIF(nrES_RecID,$B138)&gt;1,"DUPLICATE RECORD",IF(AND($K138=2,COUNTIFS(nrES_PID,$D138,nrES_Code,$F138,nrES_Att,1)=0),"ATTEMPT 2 WITHOUT ATTEMPT 1",IF(AND($K138=2,$L138=""),"RETEST ROW HAS NO SCORE",IF(AND($H138="Final",$L138&lt;&gt;"",IFERROR(INDEX(nrCKfinalExamElig,MATCH($D138,rngCadetPIDs,0)),"")="No"),"FINAL EXAM AFTER FAILED FINAL PT (500.1.H)","OK")))))))</f>
        <v/>
      </c>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IF($C139="","",IF($K139="","",IF(COUNTIFS(nrES_PID,$D139,nrES_Code,$F139,nrES_Att,"&gt;"&amp;$K139,nrES_Raw,"&gt;=0")=0,"Yes","No")))</f>
        <v/>
      </c>
      <c r="Q139" s="17">
        <f>IF($C139="","",IF($L139="","",IF(AND($K139=1,ISNUMBER($L139),$L139&lt;$J139,COUNTIFS(nrES_PID,$D139,nrES_Code,$F139,nrES_Att,2,nrES_Raw,"&gt;=0")=0),"Yes","No")))</f>
        <v/>
      </c>
      <c r="R139" s="17">
        <f>IF($C139="","",IF($L139="","",IF(AND($K139=2,ISNUMBER($L139),$L139&lt;$J139),"Yes","No")))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OR($C139="",$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RANGE",IF(COUNTIF(nrES_RecID,$B139)&gt;1,"DUPLICATE RECORD",IF(AND($K139=2,COUNTIFS(nrES_PID,$D139,nrES_Code,$F139,nrES_Att,1)=0),"ATTEMPT 2 WITHOUT ATTEMPT 1",IF(AND($K139=2,$L139=""),"RETEST ROW HAS NO SCORE",IF(AND($H139="Final",$L139&lt;&gt;"",IFERROR(INDEX(nrCKfinalExamElig,MATCH($D139,rngCadetPIDs,0)),"")="No"),"FINAL EXAM AFTER FAILED FINAL PT (500.1.H)","OK")))))))</f>
        <v/>
      </c>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IF($C140="","",IF($K140="","",IF(COUNTIFS(nrES_PID,$D140,nrES_Code,$F140,nrES_Att,"&gt;"&amp;$K140,nrES_Raw,"&gt;=0")=0,"Yes","No")))</f>
        <v/>
      </c>
      <c r="Q140" s="17">
        <f>IF($C140="","",IF($L140="","",IF(AND($K140=1,ISNUMBER($L140),$L140&lt;$J140,COUNTIFS(nrES_PID,$D140,nrES_Code,$F140,nrES_Att,2,nrES_Raw,"&gt;=0")=0),"Yes","No")))</f>
        <v/>
      </c>
      <c r="R140" s="17">
        <f>IF($C140="","",IF($L140="","",IF(AND($K140=2,ISNUMBER($L140),$L140&lt;$J140),"Yes","No")))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OR($C140="",$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RANGE",IF(COUNTIF(nrES_RecID,$B140)&gt;1,"DUPLICATE RECORD",IF(AND($K140=2,COUNTIFS(nrES_PID,$D140,nrES_Code,$F140,nrES_Att,1)=0),"ATTEMPT 2 WITHOUT ATTEMPT 1",IF(AND($K140=2,$L140=""),"RETEST ROW HAS NO SCORE",IF(AND($H140="Final",$L140&lt;&gt;"",IFERROR(INDEX(nrCKfinalExamElig,MATCH($D140,rngCadetPIDs,0)),"")="No"),"FINAL EXAM AFTER FAILED FINAL PT (500.1.H)","OK")))))))</f>
        <v/>
      </c>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IF($C141="","",IF($K141="","",IF(COUNTIFS(nrES_PID,$D141,nrES_Code,$F141,nrES_Att,"&gt;"&amp;$K141,nrES_Raw,"&gt;=0")=0,"Yes","No")))</f>
        <v/>
      </c>
      <c r="Q141" s="17">
        <f>IF($C141="","",IF($L141="","",IF(AND($K141=1,ISNUMBER($L141),$L141&lt;$J141,COUNTIFS(nrES_PID,$D141,nrES_Code,$F141,nrES_Att,2,nrES_Raw,"&gt;=0")=0),"Yes","No")))</f>
        <v/>
      </c>
      <c r="R141" s="17">
        <f>IF($C141="","",IF($L141="","",IF(AND($K141=2,ISNUMBER($L141),$L141&lt;$J141),"Yes","No")))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OR($C141="",$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RANGE",IF(COUNTIF(nrES_RecID,$B141)&gt;1,"DUPLICATE RECORD",IF(AND($K141=2,COUNTIFS(nrES_PID,$D141,nrES_Code,$F141,nrES_Att,1)=0),"ATTEMPT 2 WITHOUT ATTEMPT 1",IF(AND($K141=2,$L141=""),"RETEST ROW HAS NO SCORE",IF(AND($H141="Final",$L141&lt;&gt;"",IFERROR(INDEX(nrCKfinalExamElig,MATCH($D141,rngCadetPIDs,0)),"")="No"),"FINAL EXAM AFTER FAILED FINAL PT (500.1.H)","OK")))))))</f>
        <v/>
      </c>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IF($C142="","",IF($K142="","",IF(COUNTIFS(nrES_PID,$D142,nrES_Code,$F142,nrES_Att,"&gt;"&amp;$K142,nrES_Raw,"&gt;=0")=0,"Yes","No")))</f>
        <v/>
      </c>
      <c r="Q142" s="17">
        <f>IF($C142="","",IF($L142="","",IF(AND($K142=1,ISNUMBER($L142),$L142&lt;$J142,COUNTIFS(nrES_PID,$D142,nrES_Code,$F142,nrES_Att,2,nrES_Raw,"&gt;=0")=0),"Yes","No")))</f>
        <v/>
      </c>
      <c r="R142" s="17">
        <f>IF($C142="","",IF($L142="","",IF(AND($K142=2,ISNUMBER($L142),$L142&lt;$J142),"Yes","No")))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OR($C142="",$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RANGE",IF(COUNTIF(nrES_RecID,$B142)&gt;1,"DUPLICATE RECORD",IF(AND($K142=2,COUNTIFS(nrES_PID,$D142,nrES_Code,$F142,nrES_Att,1)=0),"ATTEMPT 2 WITHOUT ATTEMPT 1",IF(AND($K142=2,$L142=""),"RETEST ROW HAS NO SCORE",IF(AND($H142="Final",$L142&lt;&gt;"",IFERROR(INDEX(nrCKfinalExamElig,MATCH($D142,rngCadetPIDs,0)),"")="No"),"FINAL EXAM AFTER FAILED FINAL PT (500.1.H)","OK")))))))</f>
        <v/>
      </c>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IF($C143="","",IF($K143="","",IF(COUNTIFS(nrES_PID,$D143,nrES_Code,$F143,nrES_Att,"&gt;"&amp;$K143,nrES_Raw,"&gt;=0")=0,"Yes","No")))</f>
        <v/>
      </c>
      <c r="Q143" s="17">
        <f>IF($C143="","",IF($L143="","",IF(AND($K143=1,ISNUMBER($L143),$L143&lt;$J143,COUNTIFS(nrES_PID,$D143,nrES_Code,$F143,nrES_Att,2,nrES_Raw,"&gt;=0")=0),"Yes","No")))</f>
        <v/>
      </c>
      <c r="R143" s="17">
        <f>IF($C143="","",IF($L143="","",IF(AND($K143=2,ISNUMBER($L143),$L143&lt;$J143),"Yes","No")))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OR($C143="",$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RANGE",IF(COUNTIF(nrES_RecID,$B143)&gt;1,"DUPLICATE RECORD",IF(AND($K143=2,COUNTIFS(nrES_PID,$D143,nrES_Code,$F143,nrES_Att,1)=0),"ATTEMPT 2 WITHOUT ATTEMPT 1",IF(AND($K143=2,$L143=""),"RETEST ROW HAS NO SCORE",IF(AND($H143="Final",$L143&lt;&gt;"",IFERROR(INDEX(nrCKfinalExamElig,MATCH($D143,rngCadetPIDs,0)),"")="No"),"FINAL EXAM AFTER FAILED FINAL PT (500.1.H)","OK")))))))</f>
        <v/>
      </c>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IF($C144="","",IF($K144="","",IF(COUNTIFS(nrES_PID,$D144,nrES_Code,$F144,nrES_Att,"&gt;"&amp;$K144,nrES_Raw,"&gt;=0")=0,"Yes","No")))</f>
        <v/>
      </c>
      <c r="Q144" s="17">
        <f>IF($C144="","",IF($L144="","",IF(AND($K144=1,ISNUMBER($L144),$L144&lt;$J144,COUNTIFS(nrES_PID,$D144,nrES_Code,$F144,nrES_Att,2,nrES_Raw,"&gt;=0")=0),"Yes","No")))</f>
        <v/>
      </c>
      <c r="R144" s="17">
        <f>IF($C144="","",IF($L144="","",IF(AND($K144=2,ISNUMBER($L144),$L144&lt;$J144),"Yes","No")))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OR($C144="",$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RANGE",IF(COUNTIF(nrES_RecID,$B144)&gt;1,"DUPLICATE RECORD",IF(AND($K144=2,COUNTIFS(nrES_PID,$D144,nrES_Code,$F144,nrES_Att,1)=0),"ATTEMPT 2 WITHOUT ATTEMPT 1",IF(AND($K144=2,$L144=""),"RETEST ROW HAS NO SCORE",IF(AND($H144="Final",$L144&lt;&gt;"",IFERROR(INDEX(nrCKfinalExamElig,MATCH($D144,rngCadetPIDs,0)),"")="No"),"FINAL EXAM AFTER FAILED FINAL PT (500.1.H)","OK")))))))</f>
        <v/>
      </c>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IF($C145="","",IF($K145="","",IF(COUNTIFS(nrES_PID,$D145,nrES_Code,$F145,nrES_Att,"&gt;"&amp;$K145,nrES_Raw,"&gt;=0")=0,"Yes","No")))</f>
        <v/>
      </c>
      <c r="Q145" s="17">
        <f>IF($C145="","",IF($L145="","",IF(AND($K145=1,ISNUMBER($L145),$L145&lt;$J145,COUNTIFS(nrES_PID,$D145,nrES_Code,$F145,nrES_Att,2,nrES_Raw,"&gt;=0")=0),"Yes","No")))</f>
        <v/>
      </c>
      <c r="R145" s="17">
        <f>IF($C145="","",IF($L145="","",IF(AND($K145=2,ISNUMBER($L145),$L145&lt;$J145),"Yes","No")))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OR($C145="",$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RANGE",IF(COUNTIF(nrES_RecID,$B145)&gt;1,"DUPLICATE RECORD",IF(AND($K145=2,COUNTIFS(nrES_PID,$D145,nrES_Code,$F145,nrES_Att,1)=0),"ATTEMPT 2 WITHOUT ATTEMPT 1",IF(AND($K145=2,$L145=""),"RETEST ROW HAS NO SCORE",IF(AND($H145="Final",$L145&lt;&gt;"",IFERROR(INDEX(nrCKfinalExamElig,MATCH($D145,rngCadetPIDs,0)),"")="No"),"FINAL EXAM AFTER FAILED FINAL PT (500.1.H)","OK")))))))</f>
        <v/>
      </c>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IF($C146="","",IF($K146="","",IF(COUNTIFS(nrES_PID,$D146,nrES_Code,$F146,nrES_Att,"&gt;"&amp;$K146,nrES_Raw,"&gt;=0")=0,"Yes","No")))</f>
        <v/>
      </c>
      <c r="Q146" s="17">
        <f>IF($C146="","",IF($L146="","",IF(AND($K146=1,ISNUMBER($L146),$L146&lt;$J146,COUNTIFS(nrES_PID,$D146,nrES_Code,$F146,nrES_Att,2,nrES_Raw,"&gt;=0")=0),"Yes","No")))</f>
        <v/>
      </c>
      <c r="R146" s="17">
        <f>IF($C146="","",IF($L146="","",IF(AND($K146=2,ISNUMBER($L146),$L146&lt;$J146),"Yes","No")))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OR($C146="",$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RANGE",IF(COUNTIF(nrES_RecID,$B146)&gt;1,"DUPLICATE RECORD",IF(AND($K146=2,COUNTIFS(nrES_PID,$D146,nrES_Code,$F146,nrES_Att,1)=0),"ATTEMPT 2 WITHOUT ATTEMPT 1",IF(AND($K146=2,$L146=""),"RETEST ROW HAS NO SCORE",IF(AND($H146="Final",$L146&lt;&gt;"",IFERROR(INDEX(nrCKfinalExamElig,MATCH($D146,rngCadetPIDs,0)),"")="No"),"FINAL EXAM AFTER FAILED FINAL PT (500.1.H)","OK")))))))</f>
        <v/>
      </c>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IF($C147="","",IF($K147="","",IF(COUNTIFS(nrES_PID,$D147,nrES_Code,$F147,nrES_Att,"&gt;"&amp;$K147,nrES_Raw,"&gt;=0")=0,"Yes","No")))</f>
        <v/>
      </c>
      <c r="Q147" s="17">
        <f>IF($C147="","",IF($L147="","",IF(AND($K147=1,ISNUMBER($L147),$L147&lt;$J147,COUNTIFS(nrES_PID,$D147,nrES_Code,$F147,nrES_Att,2,nrES_Raw,"&gt;=0")=0),"Yes","No")))</f>
        <v/>
      </c>
      <c r="R147" s="17">
        <f>IF($C147="","",IF($L147="","",IF(AND($K147=2,ISNUMBER($L147),$L147&lt;$J147),"Yes","No")))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OR($C147="",$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RANGE",IF(COUNTIF(nrES_RecID,$B147)&gt;1,"DUPLICATE RECORD",IF(AND($K147=2,COUNTIFS(nrES_PID,$D147,nrES_Code,$F147,nrES_Att,1)=0),"ATTEMPT 2 WITHOUT ATTEMPT 1",IF(AND($K147=2,$L147=""),"RETEST ROW HAS NO SCORE",IF(AND($H147="Final",$L147&lt;&gt;"",IFERROR(INDEX(nrCKfinalExamElig,MATCH($D147,rngCadetPIDs,0)),"")="No"),"FINAL EXAM AFTER FAILED FINAL PT (500.1.H)","OK")))))))</f>
        <v/>
      </c>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IF($C148="","",IF($K148="","",IF(COUNTIFS(nrES_PID,$D148,nrES_Code,$F148,nrES_Att,"&gt;"&amp;$K148,nrES_Raw,"&gt;=0")=0,"Yes","No")))</f>
        <v/>
      </c>
      <c r="Q148" s="17">
        <f>IF($C148="","",IF($L148="","",IF(AND($K148=1,ISNUMBER($L148),$L148&lt;$J148,COUNTIFS(nrES_PID,$D148,nrES_Code,$F148,nrES_Att,2,nrES_Raw,"&gt;=0")=0),"Yes","No")))</f>
        <v/>
      </c>
      <c r="R148" s="17">
        <f>IF($C148="","",IF($L148="","",IF(AND($K148=2,ISNUMBER($L148),$L148&lt;$J148),"Yes","No")))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OR($C148="",$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RANGE",IF(COUNTIF(nrES_RecID,$B148)&gt;1,"DUPLICATE RECORD",IF(AND($K148=2,COUNTIFS(nrES_PID,$D148,nrES_Code,$F148,nrES_Att,1)=0),"ATTEMPT 2 WITHOUT ATTEMPT 1",IF(AND($K148=2,$L148=""),"RETEST ROW HAS NO SCORE",IF(AND($H148="Final",$L148&lt;&gt;"",IFERROR(INDEX(nrCKfinalExamElig,MATCH($D148,rngCadetPIDs,0)),"")="No"),"FINAL EXAM AFTER FAILED FINAL PT (500.1.H)","OK")))))))</f>
        <v/>
      </c>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IF($C149="","",IF($K149="","",IF(COUNTIFS(nrES_PID,$D149,nrES_Code,$F149,nrES_Att,"&gt;"&amp;$K149,nrES_Raw,"&gt;=0")=0,"Yes","No")))</f>
        <v/>
      </c>
      <c r="Q149" s="17">
        <f>IF($C149="","",IF($L149="","",IF(AND($K149=1,ISNUMBER($L149),$L149&lt;$J149,COUNTIFS(nrES_PID,$D149,nrES_Code,$F149,nrES_Att,2,nrES_Raw,"&gt;=0")=0),"Yes","No")))</f>
        <v/>
      </c>
      <c r="R149" s="17">
        <f>IF($C149="","",IF($L149="","",IF(AND($K149=2,ISNUMBER($L149),$L149&lt;$J149),"Yes","No")))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OR($C149="",$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RANGE",IF(COUNTIF(nrES_RecID,$B149)&gt;1,"DUPLICATE RECORD",IF(AND($K149=2,COUNTIFS(nrES_PID,$D149,nrES_Code,$F149,nrES_Att,1)=0),"ATTEMPT 2 WITHOUT ATTEMPT 1",IF(AND($K149=2,$L149=""),"RETEST ROW HAS NO SCORE",IF(AND($H149="Final",$L149&lt;&gt;"",IFERROR(INDEX(nrCKfinalExamElig,MATCH($D149,rngCadetPIDs,0)),"")="No"),"FINAL EXAM AFTER FAILED FINAL PT (500.1.H)","OK")))))))</f>
        <v/>
      </c>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IF($C150="","",IF($K150="","",IF(COUNTIFS(nrES_PID,$D150,nrES_Code,$F150,nrES_Att,"&gt;"&amp;$K150,nrES_Raw,"&gt;=0")=0,"Yes","No")))</f>
        <v/>
      </c>
      <c r="Q150" s="17">
        <f>IF($C150="","",IF($L150="","",IF(AND($K150=1,ISNUMBER($L150),$L150&lt;$J150,COUNTIFS(nrES_PID,$D150,nrES_Code,$F150,nrES_Att,2,nrES_Raw,"&gt;=0")=0),"Yes","No")))</f>
        <v/>
      </c>
      <c r="R150" s="17">
        <f>IF($C150="","",IF($L150="","",IF(AND($K150=2,ISNUMBER($L150),$L150&lt;$J150),"Yes","No")))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OR($C150="",$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RANGE",IF(COUNTIF(nrES_RecID,$B150)&gt;1,"DUPLICATE RECORD",IF(AND($K150=2,COUNTIFS(nrES_PID,$D150,nrES_Code,$F150,nrES_Att,1)=0),"ATTEMPT 2 WITHOUT ATTEMPT 1",IF(AND($K150=2,$L150=""),"RETEST ROW HAS NO SCORE",IF(AND($H150="Final",$L150&lt;&gt;"",IFERROR(INDEX(nrCKfinalExamElig,MATCH($D150,rngCadetPIDs,0)),"")="No"),"FINAL EXAM AFTER FAILED FINAL PT (500.1.H)","OK")))))))</f>
        <v/>
      </c>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IF($C151="","",IF($K151="","",IF(COUNTIFS(nrES_PID,$D151,nrES_Code,$F151,nrES_Att,"&gt;"&amp;$K151,nrES_Raw,"&gt;=0")=0,"Yes","No")))</f>
        <v/>
      </c>
      <c r="Q151" s="17">
        <f>IF($C151="","",IF($L151="","",IF(AND($K151=1,ISNUMBER($L151),$L151&lt;$J151,COUNTIFS(nrES_PID,$D151,nrES_Code,$F151,nrES_Att,2,nrES_Raw,"&gt;=0")=0),"Yes","No")))</f>
        <v/>
      </c>
      <c r="R151" s="17">
        <f>IF($C151="","",IF($L151="","",IF(AND($K151=2,ISNUMBER($L151),$L151&lt;$J151),"Yes","No")))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OR($C151="",$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RANGE",IF(COUNTIF(nrES_RecID,$B151)&gt;1,"DUPLICATE RECORD",IF(AND($K151=2,COUNTIFS(nrES_PID,$D151,nrES_Code,$F151,nrES_Att,1)=0),"ATTEMPT 2 WITHOUT ATTEMPT 1",IF(AND($K151=2,$L151=""),"RETEST ROW HAS NO SCORE",IF(AND($H151="Final",$L151&lt;&gt;"",IFERROR(INDEX(nrCKfinalExamElig,MATCH($D151,rngCadetPIDs,0)),"")="No"),"FINAL EXAM AFTER FAILED FINAL PT (500.1.H)","OK")))))))</f>
        <v/>
      </c>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IF($C152="","",IF($K152="","",IF(COUNTIFS(nrES_PID,$D152,nrES_Code,$F152,nrES_Att,"&gt;"&amp;$K152,nrES_Raw,"&gt;=0")=0,"Yes","No")))</f>
        <v/>
      </c>
      <c r="Q152" s="17">
        <f>IF($C152="","",IF($L152="","",IF(AND($K152=1,ISNUMBER($L152),$L152&lt;$J152,COUNTIFS(nrES_PID,$D152,nrES_Code,$F152,nrES_Att,2,nrES_Raw,"&gt;=0")=0),"Yes","No")))</f>
        <v/>
      </c>
      <c r="R152" s="17">
        <f>IF($C152="","",IF($L152="","",IF(AND($K152=2,ISNUMBER($L152),$L152&lt;$J152),"Yes","No")))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OR($C152="",$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RANGE",IF(COUNTIF(nrES_RecID,$B152)&gt;1,"DUPLICATE RECORD",IF(AND($K152=2,COUNTIFS(nrES_PID,$D152,nrES_Code,$F152,nrES_Att,1)=0),"ATTEMPT 2 WITHOUT ATTEMPT 1",IF(AND($K152=2,$L152=""),"RETEST ROW HAS NO SCORE",IF(AND($H152="Final",$L152&lt;&gt;"",IFERROR(INDEX(nrCKfinalExamElig,MATCH($D152,rngCadetPIDs,0)),"")="No"),"FINAL EXAM AFTER FAILED FINAL PT (500.1.H)","OK")))))))</f>
        <v/>
      </c>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IF($C153="","",IF($K153="","",IF(COUNTIFS(nrES_PID,$D153,nrES_Code,$F153,nrES_Att,"&gt;"&amp;$K153,nrES_Raw,"&gt;=0")=0,"Yes","No")))</f>
        <v/>
      </c>
      <c r="Q153" s="17">
        <f>IF($C153="","",IF($L153="","",IF(AND($K153=1,ISNUMBER($L153),$L153&lt;$J153,COUNTIFS(nrES_PID,$D153,nrES_Code,$F153,nrES_Att,2,nrES_Raw,"&gt;=0")=0),"Yes","No")))</f>
        <v/>
      </c>
      <c r="R153" s="17">
        <f>IF($C153="","",IF($L153="","",IF(AND($K153=2,ISNUMBER($L153),$L153&lt;$J153),"Yes","No")))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OR($C153="",$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RANGE",IF(COUNTIF(nrES_RecID,$B153)&gt;1,"DUPLICATE RECORD",IF(AND($K153=2,COUNTIFS(nrES_PID,$D153,nrES_Code,$F153,nrES_Att,1)=0),"ATTEMPT 2 WITHOUT ATTEMPT 1",IF(AND($K153=2,$L153=""),"RETEST ROW HAS NO SCORE",IF(AND($H153="Final",$L153&lt;&gt;"",IFERROR(INDEX(nrCKfinalExamElig,MATCH($D153,rngCadetPIDs,0)),"")="No"),"FINAL EXAM AFTER FAILED FINAL PT (500.1.H)","OK")))))))</f>
        <v/>
      </c>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IF($C154="","",IF($K154="","",IF(COUNTIFS(nrES_PID,$D154,nrES_Code,$F154,nrES_Att,"&gt;"&amp;$K154,nrES_Raw,"&gt;=0")=0,"Yes","No")))</f>
        <v/>
      </c>
      <c r="Q154" s="17">
        <f>IF($C154="","",IF($L154="","",IF(AND($K154=1,ISNUMBER($L154),$L154&lt;$J154,COUNTIFS(nrES_PID,$D154,nrES_Code,$F154,nrES_Att,2,nrES_Raw,"&gt;=0")=0),"Yes","No")))</f>
        <v/>
      </c>
      <c r="R154" s="17">
        <f>IF($C154="","",IF($L154="","",IF(AND($K154=2,ISNUMBER($L154),$L154&lt;$J154),"Yes","No")))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OR($C154="",$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RANGE",IF(COUNTIF(nrES_RecID,$B154)&gt;1,"DUPLICATE RECORD",IF(AND($K154=2,COUNTIFS(nrES_PID,$D154,nrES_Code,$F154,nrES_Att,1)=0),"ATTEMPT 2 WITHOUT ATTEMPT 1",IF(AND($K154=2,$L154=""),"RETEST ROW HAS NO SCORE",IF(AND($H154="Final",$L154&lt;&gt;"",IFERROR(INDEX(nrCKfinalExamElig,MATCH($D154,rngCadetPIDs,0)),"")="No"),"FINAL EXAM AFTER FAILED FINAL PT (500.1.H)","OK")))))))</f>
        <v/>
      </c>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IF($C155="","",IF($K155="","",IF(COUNTIFS(nrES_PID,$D155,nrES_Code,$F155,nrES_Att,"&gt;"&amp;$K155,nrES_Raw,"&gt;=0")=0,"Yes","No")))</f>
        <v/>
      </c>
      <c r="Q155" s="17">
        <f>IF($C155="","",IF($L155="","",IF(AND($K155=1,ISNUMBER($L155),$L155&lt;$J155,COUNTIFS(nrES_PID,$D155,nrES_Code,$F155,nrES_Att,2,nrES_Raw,"&gt;=0")=0),"Yes","No")))</f>
        <v/>
      </c>
      <c r="R155" s="17">
        <f>IF($C155="","",IF($L155="","",IF(AND($K155=2,ISNUMBER($L155),$L155&lt;$J155),"Yes","No")))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OR($C155="",$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RANGE",IF(COUNTIF(nrES_RecID,$B155)&gt;1,"DUPLICATE RECORD",IF(AND($K155=2,COUNTIFS(nrES_PID,$D155,nrES_Code,$F155,nrES_Att,1)=0),"ATTEMPT 2 WITHOUT ATTEMPT 1",IF(AND($K155=2,$L155=""),"RETEST ROW HAS NO SCORE",IF(AND($H155="Final",$L155&lt;&gt;"",IFERROR(INDEX(nrCKfinalExamElig,MATCH($D155,rngCadetPIDs,0)),"")="No"),"FINAL EXAM AFTER FAILED FINAL PT (500.1.H)","OK")))))))</f>
        <v/>
      </c>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IF($C156="","",IF($K156="","",IF(COUNTIFS(nrES_PID,$D156,nrES_Code,$F156,nrES_Att,"&gt;"&amp;$K156,nrES_Raw,"&gt;=0")=0,"Yes","No")))</f>
        <v/>
      </c>
      <c r="Q156" s="17">
        <f>IF($C156="","",IF($L156="","",IF(AND($K156=1,ISNUMBER($L156),$L156&lt;$J156,COUNTIFS(nrES_PID,$D156,nrES_Code,$F156,nrES_Att,2,nrES_Raw,"&gt;=0")=0),"Yes","No")))</f>
        <v/>
      </c>
      <c r="R156" s="17">
        <f>IF($C156="","",IF($L156="","",IF(AND($K156=2,ISNUMBER($L156),$L156&lt;$J156),"Yes","No")))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OR($C156="",$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RANGE",IF(COUNTIF(nrES_RecID,$B156)&gt;1,"DUPLICATE RECORD",IF(AND($K156=2,COUNTIFS(nrES_PID,$D156,nrES_Code,$F156,nrES_Att,1)=0),"ATTEMPT 2 WITHOUT ATTEMPT 1",IF(AND($K156=2,$L156=""),"RETEST ROW HAS NO SCORE",IF(AND($H156="Final",$L156&lt;&gt;"",IFERROR(INDEX(nrCKfinalExamElig,MATCH($D156,rngCadetPIDs,0)),"")="No"),"FINAL EXAM AFTER FAILED FINAL PT (500.1.H)","OK")))))))</f>
        <v/>
      </c>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IF($C157="","",IF($K157="","",IF(COUNTIFS(nrES_PID,$D157,nrES_Code,$F157,nrES_Att,"&gt;"&amp;$K157,nrES_Raw,"&gt;=0")=0,"Yes","No")))</f>
        <v/>
      </c>
      <c r="Q157" s="17">
        <f>IF($C157="","",IF($L157="","",IF(AND($K157=1,ISNUMBER($L157),$L157&lt;$J157,COUNTIFS(nrES_PID,$D157,nrES_Code,$F157,nrES_Att,2,nrES_Raw,"&gt;=0")=0),"Yes","No")))</f>
        <v/>
      </c>
      <c r="R157" s="17">
        <f>IF($C157="","",IF($L157="","",IF(AND($K157=2,ISNUMBER($L157),$L157&lt;$J157),"Yes","No")))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OR($C157="",$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RANGE",IF(COUNTIF(nrES_RecID,$B157)&gt;1,"DUPLICATE RECORD",IF(AND($K157=2,COUNTIFS(nrES_PID,$D157,nrES_Code,$F157,nrES_Att,1)=0),"ATTEMPT 2 WITHOUT ATTEMPT 1",IF(AND($K157=2,$L157=""),"RETEST ROW HAS NO SCORE",IF(AND($H157="Final",$L157&lt;&gt;"",IFERROR(INDEX(nrCKfinalExamElig,MATCH($D157,rngCadetPIDs,0)),"")="No"),"FINAL EXAM AFTER FAILED FINAL PT (500.1.H)","OK")))))))</f>
        <v/>
      </c>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IF($C158="","",IF($K158="","",IF(COUNTIFS(nrES_PID,$D158,nrES_Code,$F158,nrES_Att,"&gt;"&amp;$K158,nrES_Raw,"&gt;=0")=0,"Yes","No")))</f>
        <v/>
      </c>
      <c r="Q158" s="17">
        <f>IF($C158="","",IF($L158="","",IF(AND($K158=1,ISNUMBER($L158),$L158&lt;$J158,COUNTIFS(nrES_PID,$D158,nrES_Code,$F158,nrES_Att,2,nrES_Raw,"&gt;=0")=0),"Yes","No")))</f>
        <v/>
      </c>
      <c r="R158" s="17">
        <f>IF($C158="","",IF($L158="","",IF(AND($K158=2,ISNUMBER($L158),$L158&lt;$J158),"Yes","No")))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OR($C158="",$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RANGE",IF(COUNTIF(nrES_RecID,$B158)&gt;1,"DUPLICATE RECORD",IF(AND($K158=2,COUNTIFS(nrES_PID,$D158,nrES_Code,$F158,nrES_Att,1)=0),"ATTEMPT 2 WITHOUT ATTEMPT 1",IF(AND($K158=2,$L158=""),"RETEST ROW HAS NO SCORE",IF(AND($H158="Final",$L158&lt;&gt;"",IFERROR(INDEX(nrCKfinalExamElig,MATCH($D158,rngCadetPIDs,0)),"")="No"),"FINAL EXAM AFTER FAILED FINAL PT (500.1.H)","OK")))))))</f>
        <v/>
      </c>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IF($C159="","",IF($K159="","",IF(COUNTIFS(nrES_PID,$D159,nrES_Code,$F159,nrES_Att,"&gt;"&amp;$K159,nrES_Raw,"&gt;=0")=0,"Yes","No")))</f>
        <v/>
      </c>
      <c r="Q159" s="17">
        <f>IF($C159="","",IF($L159="","",IF(AND($K159=1,ISNUMBER($L159),$L159&lt;$J159,COUNTIFS(nrES_PID,$D159,nrES_Code,$F159,nrES_Att,2,nrES_Raw,"&gt;=0")=0),"Yes","No")))</f>
        <v/>
      </c>
      <c r="R159" s="17">
        <f>IF($C159="","",IF($L159="","",IF(AND($K159=2,ISNUMBER($L159),$L159&lt;$J159),"Yes","No")))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OR($C159="",$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RANGE",IF(COUNTIF(nrES_RecID,$B159)&gt;1,"DUPLICATE RECORD",IF(AND($K159=2,COUNTIFS(nrES_PID,$D159,nrES_Code,$F159,nrES_Att,1)=0),"ATTEMPT 2 WITHOUT ATTEMPT 1",IF(AND($K159=2,$L159=""),"RETEST ROW HAS NO SCORE",IF(AND($H159="Final",$L159&lt;&gt;"",IFERROR(INDEX(nrCKfinalExamElig,MATCH($D159,rngCadetPIDs,0)),"")="No"),"FINAL EXAM AFTER FAILED FINAL PT (500.1.H)","OK")))))))</f>
        <v/>
      </c>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IF($C160="","",IF($K160="","",IF(COUNTIFS(nrES_PID,$D160,nrES_Code,$F160,nrES_Att,"&gt;"&amp;$K160,nrES_Raw,"&gt;=0")=0,"Yes","No")))</f>
        <v/>
      </c>
      <c r="Q160" s="17">
        <f>IF($C160="","",IF($L160="","",IF(AND($K160=1,ISNUMBER($L160),$L160&lt;$J160,COUNTIFS(nrES_PID,$D160,nrES_Code,$F160,nrES_Att,2,nrES_Raw,"&gt;=0")=0),"Yes","No")))</f>
        <v/>
      </c>
      <c r="R160" s="17">
        <f>IF($C160="","",IF($L160="","",IF(AND($K160=2,ISNUMBER($L160),$L160&lt;$J160),"Yes","No")))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OR($C160="",$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RANGE",IF(COUNTIF(nrES_RecID,$B160)&gt;1,"DUPLICATE RECORD",IF(AND($K160=2,COUNTIFS(nrES_PID,$D160,nrES_Code,$F160,nrES_Att,1)=0),"ATTEMPT 2 WITHOUT ATTEMPT 1",IF(AND($K160=2,$L160=""),"RETEST ROW HAS NO SCORE",IF(AND($H160="Final",$L160&lt;&gt;"",IFERROR(INDEX(nrCKfinalExamElig,MATCH($D160,rngCadetPIDs,0)),"")="No"),"FINAL EXAM AFTER FAILED FINAL PT (500.1.H)","OK")))))))</f>
        <v/>
      </c>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IF($C161="","",IF($K161="","",IF(COUNTIFS(nrES_PID,$D161,nrES_Code,$F161,nrES_Att,"&gt;"&amp;$K161,nrES_Raw,"&gt;=0")=0,"Yes","No")))</f>
        <v/>
      </c>
      <c r="Q161" s="17">
        <f>IF($C161="","",IF($L161="","",IF(AND($K161=1,ISNUMBER($L161),$L161&lt;$J161,COUNTIFS(nrES_PID,$D161,nrES_Code,$F161,nrES_Att,2,nrES_Raw,"&gt;=0")=0),"Yes","No")))</f>
        <v/>
      </c>
      <c r="R161" s="17">
        <f>IF($C161="","",IF($L161="","",IF(AND($K161=2,ISNUMBER($L161),$L161&lt;$J161),"Yes","No")))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OR($C161="",$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RANGE",IF(COUNTIF(nrES_RecID,$B161)&gt;1,"DUPLICATE RECORD",IF(AND($K161=2,COUNTIFS(nrES_PID,$D161,nrES_Code,$F161,nrES_Att,1)=0),"ATTEMPT 2 WITHOUT ATTEMPT 1",IF(AND($K161=2,$L161=""),"RETEST ROW HAS NO SCORE",IF(AND($H161="Final",$L161&lt;&gt;"",IFERROR(INDEX(nrCKfinalExamElig,MATCH($D161,rngCadetPIDs,0)),"")="No"),"FINAL EXAM AFTER FAILED FINAL PT (500.1.H)","OK")))))))</f>
        <v/>
      </c>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IF($C162="","",IF($K162="","",IF(COUNTIFS(nrES_PID,$D162,nrES_Code,$F162,nrES_Att,"&gt;"&amp;$K162,nrES_Raw,"&gt;=0")=0,"Yes","No")))</f>
        <v/>
      </c>
      <c r="Q162" s="17">
        <f>IF($C162="","",IF($L162="","",IF(AND($K162=1,ISNUMBER($L162),$L162&lt;$J162,COUNTIFS(nrES_PID,$D162,nrES_Code,$F162,nrES_Att,2,nrES_Raw,"&gt;=0")=0),"Yes","No")))</f>
        <v/>
      </c>
      <c r="R162" s="17">
        <f>IF($C162="","",IF($L162="","",IF(AND($K162=2,ISNUMBER($L162),$L162&lt;$J162),"Yes","No")))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OR($C162="",$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RANGE",IF(COUNTIF(nrES_RecID,$B162)&gt;1,"DUPLICATE RECORD",IF(AND($K162=2,COUNTIFS(nrES_PID,$D162,nrES_Code,$F162,nrES_Att,1)=0),"ATTEMPT 2 WITHOUT ATTEMPT 1",IF(AND($K162=2,$L162=""),"RETEST ROW HAS NO SCORE",IF(AND($H162="Final",$L162&lt;&gt;"",IFERROR(INDEX(nrCKfinalExamElig,MATCH($D162,rngCadetPIDs,0)),"")="No"),"FINAL EXAM AFTER FAILED FINAL PT (500.1.H)","OK")))))))</f>
        <v/>
      </c>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IF($C163="","",IF($K163="","",IF(COUNTIFS(nrES_PID,$D163,nrES_Code,$F163,nrES_Att,"&gt;"&amp;$K163,nrES_Raw,"&gt;=0")=0,"Yes","No")))</f>
        <v/>
      </c>
      <c r="Q163" s="17">
        <f>IF($C163="","",IF($L163="","",IF(AND($K163=1,ISNUMBER($L163),$L163&lt;$J163,COUNTIFS(nrES_PID,$D163,nrES_Code,$F163,nrES_Att,2,nrES_Raw,"&gt;=0")=0),"Yes","No")))</f>
        <v/>
      </c>
      <c r="R163" s="17">
        <f>IF($C163="","",IF($L163="","",IF(AND($K163=2,ISNUMBER($L163),$L163&lt;$J163),"Yes","No")))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OR($C163="",$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RANGE",IF(COUNTIF(nrES_RecID,$B163)&gt;1,"DUPLICATE RECORD",IF(AND($K163=2,COUNTIFS(nrES_PID,$D163,nrES_Code,$F163,nrES_Att,1)=0),"ATTEMPT 2 WITHOUT ATTEMPT 1",IF(AND($K163=2,$L163=""),"RETEST ROW HAS NO SCORE",IF(AND($H163="Final",$L163&lt;&gt;"",IFERROR(INDEX(nrCKfinalExamElig,MATCH($D163,rngCadetPIDs,0)),"")="No"),"FINAL EXAM AFTER FAILED FINAL PT (500.1.H)","OK")))))))</f>
        <v/>
      </c>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IF($C164="","",IF($K164="","",IF(COUNTIFS(nrES_PID,$D164,nrES_Code,$F164,nrES_Att,"&gt;"&amp;$K164,nrES_Raw,"&gt;=0")=0,"Yes","No")))</f>
        <v/>
      </c>
      <c r="Q164" s="17">
        <f>IF($C164="","",IF($L164="","",IF(AND($K164=1,ISNUMBER($L164),$L164&lt;$J164,COUNTIFS(nrES_PID,$D164,nrES_Code,$F164,nrES_Att,2,nrES_Raw,"&gt;=0")=0),"Yes","No")))</f>
        <v/>
      </c>
      <c r="R164" s="17">
        <f>IF($C164="","",IF($L164="","",IF(AND($K164=2,ISNUMBER($L164),$L164&lt;$J164),"Yes","No")))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OR($C164="",$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RANGE",IF(COUNTIF(nrES_RecID,$B164)&gt;1,"DUPLICATE RECORD",IF(AND($K164=2,COUNTIFS(nrES_PID,$D164,nrES_Code,$F164,nrES_Att,1)=0),"ATTEMPT 2 WITHOUT ATTEMPT 1",IF(AND($K164=2,$L164=""),"RETEST ROW HAS NO SCORE",IF(AND($H164="Final",$L164&lt;&gt;"",IFERROR(INDEX(nrCKfinalExamElig,MATCH($D164,rngCadetPIDs,0)),"")="No"),"FINAL EXAM AFTER FAILED FINAL PT (500.1.H)","OK")))))))</f>
        <v/>
      </c>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IF($C165="","",IF($K165="","",IF(COUNTIFS(nrES_PID,$D165,nrES_Code,$F165,nrES_Att,"&gt;"&amp;$K165,nrES_Raw,"&gt;=0")=0,"Yes","No")))</f>
        <v/>
      </c>
      <c r="Q165" s="17">
        <f>IF($C165="","",IF($L165="","",IF(AND($K165=1,ISNUMBER($L165),$L165&lt;$J165,COUNTIFS(nrES_PID,$D165,nrES_Code,$F165,nrES_Att,2,nrES_Raw,"&gt;=0")=0),"Yes","No")))</f>
        <v/>
      </c>
      <c r="R165" s="17">
        <f>IF($C165="","",IF($L165="","",IF(AND($K165=2,ISNUMBER($L165),$L165&lt;$J165),"Yes","No")))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OR($C165="",$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RANGE",IF(COUNTIF(nrES_RecID,$B165)&gt;1,"DUPLICATE RECORD",IF(AND($K165=2,COUNTIFS(nrES_PID,$D165,nrES_Code,$F165,nrES_Att,1)=0),"ATTEMPT 2 WITHOUT ATTEMPT 1",IF(AND($K165=2,$L165=""),"RETEST ROW HAS NO SCORE",IF(AND($H165="Final",$L165&lt;&gt;"",IFERROR(INDEX(nrCKfinalExamElig,MATCH($D165,rngCadetPIDs,0)),"")="No"),"FINAL EXAM AFTER FAILED FINAL PT (500.1.H)","OK")))))))</f>
        <v/>
      </c>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IF($C166="","",IF($K166="","",IF(COUNTIFS(nrES_PID,$D166,nrES_Code,$F166,nrES_Att,"&gt;"&amp;$K166,nrES_Raw,"&gt;=0")=0,"Yes","No")))</f>
        <v/>
      </c>
      <c r="Q166" s="17">
        <f>IF($C166="","",IF($L166="","",IF(AND($K166=1,ISNUMBER($L166),$L166&lt;$J166,COUNTIFS(nrES_PID,$D166,nrES_Code,$F166,nrES_Att,2,nrES_Raw,"&gt;=0")=0),"Yes","No")))</f>
        <v/>
      </c>
      <c r="R166" s="17">
        <f>IF($C166="","",IF($L166="","",IF(AND($K166=2,ISNUMBER($L166),$L166&lt;$J166),"Yes","No")))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OR($C166="",$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RANGE",IF(COUNTIF(nrES_RecID,$B166)&gt;1,"DUPLICATE RECORD",IF(AND($K166=2,COUNTIFS(nrES_PID,$D166,nrES_Code,$F166,nrES_Att,1)=0),"ATTEMPT 2 WITHOUT ATTEMPT 1",IF(AND($K166=2,$L166=""),"RETEST ROW HAS NO SCORE",IF(AND($H166="Final",$L166&lt;&gt;"",IFERROR(INDEX(nrCKfinalExamElig,MATCH($D166,rngCadetPIDs,0)),"")="No"),"FINAL EXAM AFTER FAILED FINAL PT (500.1.H)","OK")))))))</f>
        <v/>
      </c>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IF($C167="","",IF($K167="","",IF(COUNTIFS(nrES_PID,$D167,nrES_Code,$F167,nrES_Att,"&gt;"&amp;$K167,nrES_Raw,"&gt;=0")=0,"Yes","No")))</f>
        <v/>
      </c>
      <c r="Q167" s="17">
        <f>IF($C167="","",IF($L167="","",IF(AND($K167=1,ISNUMBER($L167),$L167&lt;$J167,COUNTIFS(nrES_PID,$D167,nrES_Code,$F167,nrES_Att,2,nrES_Raw,"&gt;=0")=0),"Yes","No")))</f>
        <v/>
      </c>
      <c r="R167" s="17">
        <f>IF($C167="","",IF($L167="","",IF(AND($K167=2,ISNUMBER($L167),$L167&lt;$J167),"Yes","No")))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OR($C167="",$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RANGE",IF(COUNTIF(nrES_RecID,$B167)&gt;1,"DUPLICATE RECORD",IF(AND($K167=2,COUNTIFS(nrES_PID,$D167,nrES_Code,$F167,nrES_Att,1)=0),"ATTEMPT 2 WITHOUT ATTEMPT 1",IF(AND($K167=2,$L167=""),"RETEST ROW HAS NO SCORE",IF(AND($H167="Final",$L167&lt;&gt;"",IFERROR(INDEX(nrCKfinalExamElig,MATCH($D167,rngCadetPIDs,0)),"")="No"),"FINAL EXAM AFTER FAILED FINAL PT (500.1.H)","OK")))))))</f>
        <v/>
      </c>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IF($C168="","",IF($K168="","",IF(COUNTIFS(nrES_PID,$D168,nrES_Code,$F168,nrES_Att,"&gt;"&amp;$K168,nrES_Raw,"&gt;=0")=0,"Yes","No")))</f>
        <v/>
      </c>
      <c r="Q168" s="17">
        <f>IF($C168="","",IF($L168="","",IF(AND($K168=1,ISNUMBER($L168),$L168&lt;$J168,COUNTIFS(nrES_PID,$D168,nrES_Code,$F168,nrES_Att,2,nrES_Raw,"&gt;=0")=0),"Yes","No")))</f>
        <v/>
      </c>
      <c r="R168" s="17">
        <f>IF($C168="","",IF($L168="","",IF(AND($K168=2,ISNUMBER($L168),$L168&lt;$J168),"Yes","No")))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OR($C168="",$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RANGE",IF(COUNTIF(nrES_RecID,$B168)&gt;1,"DUPLICATE RECORD",IF(AND($K168=2,COUNTIFS(nrES_PID,$D168,nrES_Code,$F168,nrES_Att,1)=0),"ATTEMPT 2 WITHOUT ATTEMPT 1",IF(AND($K168=2,$L168=""),"RETEST ROW HAS NO SCORE",IF(AND($H168="Final",$L168&lt;&gt;"",IFERROR(INDEX(nrCKfinalExamElig,MATCH($D168,rngCadetPIDs,0)),"")="No"),"FINAL EXAM AFTER FAILED FINAL PT (500.1.H)","OK")))))))</f>
        <v/>
      </c>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IF($C169="","",IF($K169="","",IF(COUNTIFS(nrES_PID,$D169,nrES_Code,$F169,nrES_Att,"&gt;"&amp;$K169,nrES_Raw,"&gt;=0")=0,"Yes","No")))</f>
        <v/>
      </c>
      <c r="Q169" s="17">
        <f>IF($C169="","",IF($L169="","",IF(AND($K169=1,ISNUMBER($L169),$L169&lt;$J169,COUNTIFS(nrES_PID,$D169,nrES_Code,$F169,nrES_Att,2,nrES_Raw,"&gt;=0")=0),"Yes","No")))</f>
        <v/>
      </c>
      <c r="R169" s="17">
        <f>IF($C169="","",IF($L169="","",IF(AND($K169=2,ISNUMBER($L169),$L169&lt;$J169),"Yes","No")))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OR($C169="",$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RANGE",IF(COUNTIF(nrES_RecID,$B169)&gt;1,"DUPLICATE RECORD",IF(AND($K169=2,COUNTIFS(nrES_PID,$D169,nrES_Code,$F169,nrES_Att,1)=0),"ATTEMPT 2 WITHOUT ATTEMPT 1",IF(AND($K169=2,$L169=""),"RETEST ROW HAS NO SCORE",IF(AND($H169="Final",$L169&lt;&gt;"",IFERROR(INDEX(nrCKfinalExamElig,MATCH($D169,rngCadetPIDs,0)),"")="No"),"FINAL EXAM AFTER FAILED FINAL PT (500.1.H)","OK")))))))</f>
        <v/>
      </c>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IF($C170="","",IF($K170="","",IF(COUNTIFS(nrES_PID,$D170,nrES_Code,$F170,nrES_Att,"&gt;"&amp;$K170,nrES_Raw,"&gt;=0")=0,"Yes","No")))</f>
        <v/>
      </c>
      <c r="Q170" s="17">
        <f>IF($C170="","",IF($L170="","",IF(AND($K170=1,ISNUMBER($L170),$L170&lt;$J170,COUNTIFS(nrES_PID,$D170,nrES_Code,$F170,nrES_Att,2,nrES_Raw,"&gt;=0")=0),"Yes","No")))</f>
        <v/>
      </c>
      <c r="R170" s="17">
        <f>IF($C170="","",IF($L170="","",IF(AND($K170=2,ISNUMBER($L170),$L170&lt;$J170),"Yes","No")))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OR($C170="",$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RANGE",IF(COUNTIF(nrES_RecID,$B170)&gt;1,"DUPLICATE RECORD",IF(AND($K170=2,COUNTIFS(nrES_PID,$D170,nrES_Code,$F170,nrES_Att,1)=0),"ATTEMPT 2 WITHOUT ATTEMPT 1",IF(AND($K170=2,$L170=""),"RETEST ROW HAS NO SCORE",IF(AND($H170="Final",$L170&lt;&gt;"",IFERROR(INDEX(nrCKfinalExamElig,MATCH($D170,rngCadetPIDs,0)),"")="No"),"FINAL EXAM AFTER FAILED FINAL PT (500.1.H)","OK")))))))</f>
        <v/>
      </c>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IF($C171="","",IF($K171="","",IF(COUNTIFS(nrES_PID,$D171,nrES_Code,$F171,nrES_Att,"&gt;"&amp;$K171,nrES_Raw,"&gt;=0")=0,"Yes","No")))</f>
        <v/>
      </c>
      <c r="Q171" s="17">
        <f>IF($C171="","",IF($L171="","",IF(AND($K171=1,ISNUMBER($L171),$L171&lt;$J171,COUNTIFS(nrES_PID,$D171,nrES_Code,$F171,nrES_Att,2,nrES_Raw,"&gt;=0")=0),"Yes","No")))</f>
        <v/>
      </c>
      <c r="R171" s="17">
        <f>IF($C171="","",IF($L171="","",IF(AND($K171=2,ISNUMBER($L171),$L171&lt;$J171),"Yes","No")))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OR($C171="",$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RANGE",IF(COUNTIF(nrES_RecID,$B171)&gt;1,"DUPLICATE RECORD",IF(AND($K171=2,COUNTIFS(nrES_PID,$D171,nrES_Code,$F171,nrES_Att,1)=0),"ATTEMPT 2 WITHOUT ATTEMPT 1",IF(AND($K171=2,$L171=""),"RETEST ROW HAS NO SCORE",IF(AND($H171="Final",$L171&lt;&gt;"",IFERROR(INDEX(nrCKfinalExamElig,MATCH($D171,rngCadetPIDs,0)),"")="No"),"FINAL EXAM AFTER FAILED FINAL PT (500.1.H)","OK")))))))</f>
        <v/>
      </c>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IF($C172="","",IF($K172="","",IF(COUNTIFS(nrES_PID,$D172,nrES_Code,$F172,nrES_Att,"&gt;"&amp;$K172,nrES_Raw,"&gt;=0")=0,"Yes","No")))</f>
        <v/>
      </c>
      <c r="Q172" s="17">
        <f>IF($C172="","",IF($L172="","",IF(AND($K172=1,ISNUMBER($L172),$L172&lt;$J172,COUNTIFS(nrES_PID,$D172,nrES_Code,$F172,nrES_Att,2,nrES_Raw,"&gt;=0")=0),"Yes","No")))</f>
        <v/>
      </c>
      <c r="R172" s="17">
        <f>IF($C172="","",IF($L172="","",IF(AND($K172=2,ISNUMBER($L172),$L172&lt;$J172),"Yes","No")))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OR($C172="",$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RANGE",IF(COUNTIF(nrES_RecID,$B172)&gt;1,"DUPLICATE RECORD",IF(AND($K172=2,COUNTIFS(nrES_PID,$D172,nrES_Code,$F172,nrES_Att,1)=0),"ATTEMPT 2 WITHOUT ATTEMPT 1",IF(AND($K172=2,$L172=""),"RETEST ROW HAS NO SCORE",IF(AND($H172="Final",$L172&lt;&gt;"",IFERROR(INDEX(nrCKfinalExamElig,MATCH($D172,rngCadetPIDs,0)),"")="No"),"FINAL EXAM AFTER FAILED FINAL PT (500.1.H)","OK")))))))</f>
        <v/>
      </c>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IF($C173="","",IF($K173="","",IF(COUNTIFS(nrES_PID,$D173,nrES_Code,$F173,nrES_Att,"&gt;"&amp;$K173,nrES_Raw,"&gt;=0")=0,"Yes","No")))</f>
        <v/>
      </c>
      <c r="Q173" s="17">
        <f>IF($C173="","",IF($L173="","",IF(AND($K173=1,ISNUMBER($L173),$L173&lt;$J173,COUNTIFS(nrES_PID,$D173,nrES_Code,$F173,nrES_Att,2,nrES_Raw,"&gt;=0")=0),"Yes","No")))</f>
        <v/>
      </c>
      <c r="R173" s="17">
        <f>IF($C173="","",IF($L173="","",IF(AND($K173=2,ISNUMBER($L173),$L173&lt;$J173),"Yes","No")))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OR($C173="",$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RANGE",IF(COUNTIF(nrES_RecID,$B173)&gt;1,"DUPLICATE RECORD",IF(AND($K173=2,COUNTIFS(nrES_PID,$D173,nrES_Code,$F173,nrES_Att,1)=0),"ATTEMPT 2 WITHOUT ATTEMPT 1",IF(AND($K173=2,$L173=""),"RETEST ROW HAS NO SCORE",IF(AND($H173="Final",$L173&lt;&gt;"",IFERROR(INDEX(nrCKfinalExamElig,MATCH($D173,rngCadetPIDs,0)),"")="No"),"FINAL EXAM AFTER FAILED FINAL PT (500.1.H)","OK")))))))</f>
        <v/>
      </c>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IF($C174="","",IF($K174="","",IF(COUNTIFS(nrES_PID,$D174,nrES_Code,$F174,nrES_Att,"&gt;"&amp;$K174,nrES_Raw,"&gt;=0")=0,"Yes","No")))</f>
        <v/>
      </c>
      <c r="Q174" s="17">
        <f>IF($C174="","",IF($L174="","",IF(AND($K174=1,ISNUMBER($L174),$L174&lt;$J174,COUNTIFS(nrES_PID,$D174,nrES_Code,$F174,nrES_Att,2,nrES_Raw,"&gt;=0")=0),"Yes","No")))</f>
        <v/>
      </c>
      <c r="R174" s="17">
        <f>IF($C174="","",IF($L174="","",IF(AND($K174=2,ISNUMBER($L174),$L174&lt;$J174),"Yes","No")))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OR($C174="",$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RANGE",IF(COUNTIF(nrES_RecID,$B174)&gt;1,"DUPLICATE RECORD",IF(AND($K174=2,COUNTIFS(nrES_PID,$D174,nrES_Code,$F174,nrES_Att,1)=0),"ATTEMPT 2 WITHOUT ATTEMPT 1",IF(AND($K174=2,$L174=""),"RETEST ROW HAS NO SCORE",IF(AND($H174="Final",$L174&lt;&gt;"",IFERROR(INDEX(nrCKfinalExamElig,MATCH($D174,rngCadetPIDs,0)),"")="No"),"FINAL EXAM AFTER FAILED FINAL PT (500.1.H)","OK")))))))</f>
        <v/>
      </c>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IF($C175="","",IF($K175="","",IF(COUNTIFS(nrES_PID,$D175,nrES_Code,$F175,nrES_Att,"&gt;"&amp;$K175,nrES_Raw,"&gt;=0")=0,"Yes","No")))</f>
        <v/>
      </c>
      <c r="Q175" s="17">
        <f>IF($C175="","",IF($L175="","",IF(AND($K175=1,ISNUMBER($L175),$L175&lt;$J175,COUNTIFS(nrES_PID,$D175,nrES_Code,$F175,nrES_Att,2,nrES_Raw,"&gt;=0")=0),"Yes","No")))</f>
        <v/>
      </c>
      <c r="R175" s="17">
        <f>IF($C175="","",IF($L175="","",IF(AND($K175=2,ISNUMBER($L175),$L175&lt;$J175),"Yes","No")))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OR($C175="",$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RANGE",IF(COUNTIF(nrES_RecID,$B175)&gt;1,"DUPLICATE RECORD",IF(AND($K175=2,COUNTIFS(nrES_PID,$D175,nrES_Code,$F175,nrES_Att,1)=0),"ATTEMPT 2 WITHOUT ATTEMPT 1",IF(AND($K175=2,$L175=""),"RETEST ROW HAS NO SCORE",IF(AND($H175="Final",$L175&lt;&gt;"",IFERROR(INDEX(nrCKfinalExamElig,MATCH($D175,rngCadetPIDs,0)),"")="No"),"FINAL EXAM AFTER FAILED FINAL PT (500.1.H)","OK")))))))</f>
        <v/>
      </c>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IF($C176="","",IF($K176="","",IF(COUNTIFS(nrES_PID,$D176,nrES_Code,$F176,nrES_Att,"&gt;"&amp;$K176,nrES_Raw,"&gt;=0")=0,"Yes","No")))</f>
        <v/>
      </c>
      <c r="Q176" s="17">
        <f>IF($C176="","",IF($L176="","",IF(AND($K176=1,ISNUMBER($L176),$L176&lt;$J176,COUNTIFS(nrES_PID,$D176,nrES_Code,$F176,nrES_Att,2,nrES_Raw,"&gt;=0")=0),"Yes","No")))</f>
        <v/>
      </c>
      <c r="R176" s="17">
        <f>IF($C176="","",IF($L176="","",IF(AND($K176=2,ISNUMBER($L176),$L176&lt;$J176),"Yes","No")))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OR($C176="",$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RANGE",IF(COUNTIF(nrES_RecID,$B176)&gt;1,"DUPLICATE RECORD",IF(AND($K176=2,COUNTIFS(nrES_PID,$D176,nrES_Code,$F176,nrES_Att,1)=0),"ATTEMPT 2 WITHOUT ATTEMPT 1",IF(AND($K176=2,$L176=""),"RETEST ROW HAS NO SCORE",IF(AND($H176="Final",$L176&lt;&gt;"",IFERROR(INDEX(nrCKfinalExamElig,MATCH($D176,rngCadetPIDs,0)),"")="No"),"FINAL EXAM AFTER FAILED FINAL PT (500.1.H)","OK")))))))</f>
        <v/>
      </c>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IF($C177="","",IF($K177="","",IF(COUNTIFS(nrES_PID,$D177,nrES_Code,$F177,nrES_Att,"&gt;"&amp;$K177,nrES_Raw,"&gt;=0")=0,"Yes","No")))</f>
        <v/>
      </c>
      <c r="Q177" s="17">
        <f>IF($C177="","",IF($L177="","",IF(AND($K177=1,ISNUMBER($L177),$L177&lt;$J177,COUNTIFS(nrES_PID,$D177,nrES_Code,$F177,nrES_Att,2,nrES_Raw,"&gt;=0")=0),"Yes","No")))</f>
        <v/>
      </c>
      <c r="R177" s="17">
        <f>IF($C177="","",IF($L177="","",IF(AND($K177=2,ISNUMBER($L177),$L177&lt;$J177),"Yes","No")))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OR($C177="",$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RANGE",IF(COUNTIF(nrES_RecID,$B177)&gt;1,"DUPLICATE RECORD",IF(AND($K177=2,COUNTIFS(nrES_PID,$D177,nrES_Code,$F177,nrES_Att,1)=0),"ATTEMPT 2 WITHOUT ATTEMPT 1",IF(AND($K177=2,$L177=""),"RETEST ROW HAS NO SCORE",IF(AND($H177="Final",$L177&lt;&gt;"",IFERROR(INDEX(nrCKfinalExamElig,MATCH($D177,rngCadetPIDs,0)),"")="No"),"FINAL EXAM AFTER FAILED FINAL PT (500.1.H)","OK")))))))</f>
        <v/>
      </c>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IF($C178="","",IF($K178="","",IF(COUNTIFS(nrES_PID,$D178,nrES_Code,$F178,nrES_Att,"&gt;"&amp;$K178,nrES_Raw,"&gt;=0")=0,"Yes","No")))</f>
        <v/>
      </c>
      <c r="Q178" s="17">
        <f>IF($C178="","",IF($L178="","",IF(AND($K178=1,ISNUMBER($L178),$L178&lt;$J178,COUNTIFS(nrES_PID,$D178,nrES_Code,$F178,nrES_Att,2,nrES_Raw,"&gt;=0")=0),"Yes","No")))</f>
        <v/>
      </c>
      <c r="R178" s="17">
        <f>IF($C178="","",IF($L178="","",IF(AND($K178=2,ISNUMBER($L178),$L178&lt;$J178),"Yes","No")))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OR($C178="",$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RANGE",IF(COUNTIF(nrES_RecID,$B178)&gt;1,"DUPLICATE RECORD",IF(AND($K178=2,COUNTIFS(nrES_PID,$D178,nrES_Code,$F178,nrES_Att,1)=0),"ATTEMPT 2 WITHOUT ATTEMPT 1",IF(AND($K178=2,$L178=""),"RETEST ROW HAS NO SCORE",IF(AND($H178="Final",$L178&lt;&gt;"",IFERROR(INDEX(nrCKfinalExamElig,MATCH($D178,rngCadetPIDs,0)),"")="No"),"FINAL EXAM AFTER FAILED FINAL PT (500.1.H)","OK")))))))</f>
        <v/>
      </c>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IF($C179="","",IF($K179="","",IF(COUNTIFS(nrES_PID,$D179,nrES_Code,$F179,nrES_Att,"&gt;"&amp;$K179,nrES_Raw,"&gt;=0")=0,"Yes","No")))</f>
        <v/>
      </c>
      <c r="Q179" s="17">
        <f>IF($C179="","",IF($L179="","",IF(AND($K179=1,ISNUMBER($L179),$L179&lt;$J179,COUNTIFS(nrES_PID,$D179,nrES_Code,$F179,nrES_Att,2,nrES_Raw,"&gt;=0")=0),"Yes","No")))</f>
        <v/>
      </c>
      <c r="R179" s="17">
        <f>IF($C179="","",IF($L179="","",IF(AND($K179=2,ISNUMBER($L179),$L179&lt;$J179),"Yes","No")))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OR($C179="",$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RANGE",IF(COUNTIF(nrES_RecID,$B179)&gt;1,"DUPLICATE RECORD",IF(AND($K179=2,COUNTIFS(nrES_PID,$D179,nrES_Code,$F179,nrES_Att,1)=0),"ATTEMPT 2 WITHOUT ATTEMPT 1",IF(AND($K179=2,$L179=""),"RETEST ROW HAS NO SCORE",IF(AND($H179="Final",$L179&lt;&gt;"",IFERROR(INDEX(nrCKfinalExamElig,MATCH($D179,rngCadetPIDs,0)),"")="No"),"FINAL EXAM AFTER FAILED FINAL PT (500.1.H)","OK")))))))</f>
        <v/>
      </c>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IF($C180="","",IF($K180="","",IF(COUNTIFS(nrES_PID,$D180,nrES_Code,$F180,nrES_Att,"&gt;"&amp;$K180,nrES_Raw,"&gt;=0")=0,"Yes","No")))</f>
        <v/>
      </c>
      <c r="Q180" s="17">
        <f>IF($C180="","",IF($L180="","",IF(AND($K180=1,ISNUMBER($L180),$L180&lt;$J180,COUNTIFS(nrES_PID,$D180,nrES_Code,$F180,nrES_Att,2,nrES_Raw,"&gt;=0")=0),"Yes","No")))</f>
        <v/>
      </c>
      <c r="R180" s="17">
        <f>IF($C180="","",IF($L180="","",IF(AND($K180=2,ISNUMBER($L180),$L180&lt;$J180),"Yes","No")))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OR($C180="",$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RANGE",IF(COUNTIF(nrES_RecID,$B180)&gt;1,"DUPLICATE RECORD",IF(AND($K180=2,COUNTIFS(nrES_PID,$D180,nrES_Code,$F180,nrES_Att,1)=0),"ATTEMPT 2 WITHOUT ATTEMPT 1",IF(AND($K180=2,$L180=""),"RETEST ROW HAS NO SCORE",IF(AND($H180="Final",$L180&lt;&gt;"",IFERROR(INDEX(nrCKfinalExamElig,MATCH($D180,rngCadetPIDs,0)),"")="No"),"FINAL EXAM AFTER FAILED FINAL PT (500.1.H)","OK")))))))</f>
        <v/>
      </c>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IF($C181="","",IF($K181="","",IF(COUNTIFS(nrES_PID,$D181,nrES_Code,$F181,nrES_Att,"&gt;"&amp;$K181,nrES_Raw,"&gt;=0")=0,"Yes","No")))</f>
        <v/>
      </c>
      <c r="Q181" s="17">
        <f>IF($C181="","",IF($L181="","",IF(AND($K181=1,ISNUMBER($L181),$L181&lt;$J181,COUNTIFS(nrES_PID,$D181,nrES_Code,$F181,nrES_Att,2,nrES_Raw,"&gt;=0")=0),"Yes","No")))</f>
        <v/>
      </c>
      <c r="R181" s="17">
        <f>IF($C181="","",IF($L181="","",IF(AND($K181=2,ISNUMBER($L181),$L181&lt;$J181),"Yes","No")))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OR($C181="",$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RANGE",IF(COUNTIF(nrES_RecID,$B181)&gt;1,"DUPLICATE RECORD",IF(AND($K181=2,COUNTIFS(nrES_PID,$D181,nrES_Code,$F181,nrES_Att,1)=0),"ATTEMPT 2 WITHOUT ATTEMPT 1",IF(AND($K181=2,$L181=""),"RETEST ROW HAS NO SCORE",IF(AND($H181="Final",$L181&lt;&gt;"",IFERROR(INDEX(nrCKfinalExamElig,MATCH($D181,rngCadetPIDs,0)),"")="No"),"FINAL EXAM AFTER FAILED FINAL PT (500.1.H)","OK")))))))</f>
        <v/>
      </c>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IF($C182="","",IF($K182="","",IF(COUNTIFS(nrES_PID,$D182,nrES_Code,$F182,nrES_Att,"&gt;"&amp;$K182,nrES_Raw,"&gt;=0")=0,"Yes","No")))</f>
        <v/>
      </c>
      <c r="Q182" s="17">
        <f>IF($C182="","",IF($L182="","",IF(AND($K182=1,ISNUMBER($L182),$L182&lt;$J182,COUNTIFS(nrES_PID,$D182,nrES_Code,$F182,nrES_Att,2,nrES_Raw,"&gt;=0")=0),"Yes","No")))</f>
        <v/>
      </c>
      <c r="R182" s="17">
        <f>IF($C182="","",IF($L182="","",IF(AND($K182=2,ISNUMBER($L182),$L182&lt;$J182),"Yes","No")))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OR($C182="",$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RANGE",IF(COUNTIF(nrES_RecID,$B182)&gt;1,"DUPLICATE RECORD",IF(AND($K182=2,COUNTIFS(nrES_PID,$D182,nrES_Code,$F182,nrES_Att,1)=0),"ATTEMPT 2 WITHOUT ATTEMPT 1",IF(AND($K182=2,$L182=""),"RETEST ROW HAS NO SCORE",IF(AND($H182="Final",$L182&lt;&gt;"",IFERROR(INDEX(nrCKfinalExamElig,MATCH($D182,rngCadetPIDs,0)),"")="No"),"FINAL EXAM AFTER FAILED FINAL PT (500.1.H)","OK")))))))</f>
        <v/>
      </c>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IF($C183="","",IF($K183="","",IF(COUNTIFS(nrES_PID,$D183,nrES_Code,$F183,nrES_Att,"&gt;"&amp;$K183,nrES_Raw,"&gt;=0")=0,"Yes","No")))</f>
        <v/>
      </c>
      <c r="Q183" s="17">
        <f>IF($C183="","",IF($L183="","",IF(AND($K183=1,ISNUMBER($L183),$L183&lt;$J183,COUNTIFS(nrES_PID,$D183,nrES_Code,$F183,nrES_Att,2,nrES_Raw,"&gt;=0")=0),"Yes","No")))</f>
        <v/>
      </c>
      <c r="R183" s="17">
        <f>IF($C183="","",IF($L183="","",IF(AND($K183=2,ISNUMBER($L183),$L183&lt;$J183),"Yes","No")))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OR($C183="",$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RANGE",IF(COUNTIF(nrES_RecID,$B183)&gt;1,"DUPLICATE RECORD",IF(AND($K183=2,COUNTIFS(nrES_PID,$D183,nrES_Code,$F183,nrES_Att,1)=0),"ATTEMPT 2 WITHOUT ATTEMPT 1",IF(AND($K183=2,$L183=""),"RETEST ROW HAS NO SCORE",IF(AND($H183="Final",$L183&lt;&gt;"",IFERROR(INDEX(nrCKfinalExamElig,MATCH($D183,rngCadetPIDs,0)),"")="No"),"FINAL EXAM AFTER FAILED FINAL PT (500.1.H)","OK")))))))</f>
        <v/>
      </c>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IF($C184="","",IF($K184="","",IF(COUNTIFS(nrES_PID,$D184,nrES_Code,$F184,nrES_Att,"&gt;"&amp;$K184,nrES_Raw,"&gt;=0")=0,"Yes","No")))</f>
        <v/>
      </c>
      <c r="Q184" s="17">
        <f>IF($C184="","",IF($L184="","",IF(AND($K184=1,ISNUMBER($L184),$L184&lt;$J184,COUNTIFS(nrES_PID,$D184,nrES_Code,$F184,nrES_Att,2,nrES_Raw,"&gt;=0")=0),"Yes","No")))</f>
        <v/>
      </c>
      <c r="R184" s="17">
        <f>IF($C184="","",IF($L184="","",IF(AND($K184=2,ISNUMBER($L184),$L184&lt;$J184),"Yes","No")))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OR($C184="",$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RANGE",IF(COUNTIF(nrES_RecID,$B184)&gt;1,"DUPLICATE RECORD",IF(AND($K184=2,COUNTIFS(nrES_PID,$D184,nrES_Code,$F184,nrES_Att,1)=0),"ATTEMPT 2 WITHOUT ATTEMPT 1",IF(AND($K184=2,$L184=""),"RETEST ROW HAS NO SCORE",IF(AND($H184="Final",$L184&lt;&gt;"",IFERROR(INDEX(nrCKfinalExamElig,MATCH($D184,rngCadetPIDs,0)),"")="No"),"FINAL EXAM AFTER FAILED FINAL PT (500.1.H)","OK")))))))</f>
        <v/>
      </c>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IF($C185="","",IF($K185="","",IF(COUNTIFS(nrES_PID,$D185,nrES_Code,$F185,nrES_Att,"&gt;"&amp;$K185,nrES_Raw,"&gt;=0")=0,"Yes","No")))</f>
        <v/>
      </c>
      <c r="Q185" s="17">
        <f>IF($C185="","",IF($L185="","",IF(AND($K185=1,ISNUMBER($L185),$L185&lt;$J185,COUNTIFS(nrES_PID,$D185,nrES_Code,$F185,nrES_Att,2,nrES_Raw,"&gt;=0")=0),"Yes","No")))</f>
        <v/>
      </c>
      <c r="R185" s="17">
        <f>IF($C185="","",IF($L185="","",IF(AND($K185=2,ISNUMBER($L185),$L185&lt;$J185),"Yes","No")))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OR($C185="",$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RANGE",IF(COUNTIF(nrES_RecID,$B185)&gt;1,"DUPLICATE RECORD",IF(AND($K185=2,COUNTIFS(nrES_PID,$D185,nrES_Code,$F185,nrES_Att,1)=0),"ATTEMPT 2 WITHOUT ATTEMPT 1",IF(AND($K185=2,$L185=""),"RETEST ROW HAS NO SCORE",IF(AND($H185="Final",$L185&lt;&gt;"",IFERROR(INDEX(nrCKfinalExamElig,MATCH($D185,rngCadetPIDs,0)),"")="No"),"FINAL EXAM AFTER FAILED FINAL PT (500.1.H)","OK")))))))</f>
        <v/>
      </c>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IF($C186="","",IF($K186="","",IF(COUNTIFS(nrES_PID,$D186,nrES_Code,$F186,nrES_Att,"&gt;"&amp;$K186,nrES_Raw,"&gt;=0")=0,"Yes","No")))</f>
        <v/>
      </c>
      <c r="Q186" s="17">
        <f>IF($C186="","",IF($L186="","",IF(AND($K186=1,ISNUMBER($L186),$L186&lt;$J186,COUNTIFS(nrES_PID,$D186,nrES_Code,$F186,nrES_Att,2,nrES_Raw,"&gt;=0")=0),"Yes","No")))</f>
        <v/>
      </c>
      <c r="R186" s="17">
        <f>IF($C186="","",IF($L186="","",IF(AND($K186=2,ISNUMBER($L186),$L186&lt;$J186),"Yes","No")))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OR($C186="",$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RANGE",IF(COUNTIF(nrES_RecID,$B186)&gt;1,"DUPLICATE RECORD",IF(AND($K186=2,COUNTIFS(nrES_PID,$D186,nrES_Code,$F186,nrES_Att,1)=0),"ATTEMPT 2 WITHOUT ATTEMPT 1",IF(AND($K186=2,$L186=""),"RETEST ROW HAS NO SCORE",IF(AND($H186="Final",$L186&lt;&gt;"",IFERROR(INDEX(nrCKfinalExamElig,MATCH($D186,rngCadetPIDs,0)),"")="No"),"FINAL EXAM AFTER FAILED FINAL PT (500.1.H)","OK")))))))</f>
        <v/>
      </c>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IF($C187="","",IF($K187="","",IF(COUNTIFS(nrES_PID,$D187,nrES_Code,$F187,nrES_Att,"&gt;"&amp;$K187,nrES_Raw,"&gt;=0")=0,"Yes","No")))</f>
        <v/>
      </c>
      <c r="Q187" s="17">
        <f>IF($C187="","",IF($L187="","",IF(AND($K187=1,ISNUMBER($L187),$L187&lt;$J187,COUNTIFS(nrES_PID,$D187,nrES_Code,$F187,nrES_Att,2,nrES_Raw,"&gt;=0")=0),"Yes","No")))</f>
        <v/>
      </c>
      <c r="R187" s="17">
        <f>IF($C187="","",IF($L187="","",IF(AND($K187=2,ISNUMBER($L187),$L187&lt;$J187),"Yes","No")))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OR($C187="",$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RANGE",IF(COUNTIF(nrES_RecID,$B187)&gt;1,"DUPLICATE RECORD",IF(AND($K187=2,COUNTIFS(nrES_PID,$D187,nrES_Code,$F187,nrES_Att,1)=0),"ATTEMPT 2 WITHOUT ATTEMPT 1",IF(AND($K187=2,$L187=""),"RETEST ROW HAS NO SCORE",IF(AND($H187="Final",$L187&lt;&gt;"",IFERROR(INDEX(nrCKfinalExamElig,MATCH($D187,rngCadetPIDs,0)),"")="No"),"FINAL EXAM AFTER FAILED FINAL PT (500.1.H)","OK")))))))</f>
        <v/>
      </c>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IF($C188="","",IF($K188="","",IF(COUNTIFS(nrES_PID,$D188,nrES_Code,$F188,nrES_Att,"&gt;"&amp;$K188,nrES_Raw,"&gt;=0")=0,"Yes","No")))</f>
        <v/>
      </c>
      <c r="Q188" s="17">
        <f>IF($C188="","",IF($L188="","",IF(AND($K188=1,ISNUMBER($L188),$L188&lt;$J188,COUNTIFS(nrES_PID,$D188,nrES_Code,$F188,nrES_Att,2,nrES_Raw,"&gt;=0")=0),"Yes","No")))</f>
        <v/>
      </c>
      <c r="R188" s="17">
        <f>IF($C188="","",IF($L188="","",IF(AND($K188=2,ISNUMBER($L188),$L188&lt;$J188),"Yes","No")))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OR($C188="",$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RANGE",IF(COUNTIF(nrES_RecID,$B188)&gt;1,"DUPLICATE RECORD",IF(AND($K188=2,COUNTIFS(nrES_PID,$D188,nrES_Code,$F188,nrES_Att,1)=0),"ATTEMPT 2 WITHOUT ATTEMPT 1",IF(AND($K188=2,$L188=""),"RETEST ROW HAS NO SCORE",IF(AND($H188="Final",$L188&lt;&gt;"",IFERROR(INDEX(nrCKfinalExamElig,MATCH($D188,rngCadetPIDs,0)),"")="No"),"FINAL EXAM AFTER FAILED FINAL PT (500.1.H)","OK")))))))</f>
        <v/>
      </c>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IF($C189="","",IF($K189="","",IF(COUNTIFS(nrES_PID,$D189,nrES_Code,$F189,nrES_Att,"&gt;"&amp;$K189,nrES_Raw,"&gt;=0")=0,"Yes","No")))</f>
        <v/>
      </c>
      <c r="Q189" s="17">
        <f>IF($C189="","",IF($L189="","",IF(AND($K189=1,ISNUMBER($L189),$L189&lt;$J189,COUNTIFS(nrES_PID,$D189,nrES_Code,$F189,nrES_Att,2,nrES_Raw,"&gt;=0")=0),"Yes","No")))</f>
        <v/>
      </c>
      <c r="R189" s="17">
        <f>IF($C189="","",IF($L189="","",IF(AND($K189=2,ISNUMBER($L189),$L189&lt;$J189),"Yes","No")))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OR($C189="",$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RANGE",IF(COUNTIF(nrES_RecID,$B189)&gt;1,"DUPLICATE RECORD",IF(AND($K189=2,COUNTIFS(nrES_PID,$D189,nrES_Code,$F189,nrES_Att,1)=0),"ATTEMPT 2 WITHOUT ATTEMPT 1",IF(AND($K189=2,$L189=""),"RETEST ROW HAS NO SCORE",IF(AND($H189="Final",$L189&lt;&gt;"",IFERROR(INDEX(nrCKfinalExamElig,MATCH($D189,rngCadetPIDs,0)),"")="No"),"FINAL EXAM AFTER FAILED FINAL PT (500.1.H)","OK")))))))</f>
        <v/>
      </c>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IF($C190="","",IF($K190="","",IF(COUNTIFS(nrES_PID,$D190,nrES_Code,$F190,nrES_Att,"&gt;"&amp;$K190,nrES_Raw,"&gt;=0")=0,"Yes","No")))</f>
        <v/>
      </c>
      <c r="Q190" s="17">
        <f>IF($C190="","",IF($L190="","",IF(AND($K190=1,ISNUMBER($L190),$L190&lt;$J190,COUNTIFS(nrES_PID,$D190,nrES_Code,$F190,nrES_Att,2,nrES_Raw,"&gt;=0")=0),"Yes","No")))</f>
        <v/>
      </c>
      <c r="R190" s="17">
        <f>IF($C190="","",IF($L190="","",IF(AND($K190=2,ISNUMBER($L190),$L190&lt;$J190),"Yes","No")))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OR($C190="",$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RANGE",IF(COUNTIF(nrES_RecID,$B190)&gt;1,"DUPLICATE RECORD",IF(AND($K190=2,COUNTIFS(nrES_PID,$D190,nrES_Code,$F190,nrES_Att,1)=0),"ATTEMPT 2 WITHOUT ATTEMPT 1",IF(AND($K190=2,$L190=""),"RETEST ROW HAS NO SCORE",IF(AND($H190="Final",$L190&lt;&gt;"",IFERROR(INDEX(nrCKfinalExamElig,MATCH($D190,rngCadetPIDs,0)),"")="No"),"FINAL EXAM AFTER FAILED FINAL PT (500.1.H)","OK")))))))</f>
        <v/>
      </c>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IF($C191="","",IF($K191="","",IF(COUNTIFS(nrES_PID,$D191,nrES_Code,$F191,nrES_Att,"&gt;"&amp;$K191,nrES_Raw,"&gt;=0")=0,"Yes","No")))</f>
        <v/>
      </c>
      <c r="Q191" s="17">
        <f>IF($C191="","",IF($L191="","",IF(AND($K191=1,ISNUMBER($L191),$L191&lt;$J191,COUNTIFS(nrES_PID,$D191,nrES_Code,$F191,nrES_Att,2,nrES_Raw,"&gt;=0")=0),"Yes","No")))</f>
        <v/>
      </c>
      <c r="R191" s="17">
        <f>IF($C191="","",IF($L191="","",IF(AND($K191=2,ISNUMBER($L191),$L191&lt;$J191),"Yes","No")))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OR($C191="",$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RANGE",IF(COUNTIF(nrES_RecID,$B191)&gt;1,"DUPLICATE RECORD",IF(AND($K191=2,COUNTIFS(nrES_PID,$D191,nrES_Code,$F191,nrES_Att,1)=0),"ATTEMPT 2 WITHOUT ATTEMPT 1",IF(AND($K191=2,$L191=""),"RETEST ROW HAS NO SCORE",IF(AND($H191="Final",$L191&lt;&gt;"",IFERROR(INDEX(nrCKfinalExamElig,MATCH($D191,rngCadetPIDs,0)),"")="No"),"FINAL EXAM AFTER FAILED FINAL PT (500.1.H)","OK")))))))</f>
        <v/>
      </c>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IF($C192="","",IF($K192="","",IF(COUNTIFS(nrES_PID,$D192,nrES_Code,$F192,nrES_Att,"&gt;"&amp;$K192,nrES_Raw,"&gt;=0")=0,"Yes","No")))</f>
        <v/>
      </c>
      <c r="Q192" s="17">
        <f>IF($C192="","",IF($L192="","",IF(AND($K192=1,ISNUMBER($L192),$L192&lt;$J192,COUNTIFS(nrES_PID,$D192,nrES_Code,$F192,nrES_Att,2,nrES_Raw,"&gt;=0")=0),"Yes","No")))</f>
        <v/>
      </c>
      <c r="R192" s="17">
        <f>IF($C192="","",IF($L192="","",IF(AND($K192=2,ISNUMBER($L192),$L192&lt;$J192),"Yes","No")))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OR($C192="",$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RANGE",IF(COUNTIF(nrES_RecID,$B192)&gt;1,"DUPLICATE RECORD",IF(AND($K192=2,COUNTIFS(nrES_PID,$D192,nrES_Code,$F192,nrES_Att,1)=0),"ATTEMPT 2 WITHOUT ATTEMPT 1",IF(AND($K192=2,$L192=""),"RETEST ROW HAS NO SCORE",IF(AND($H192="Final",$L192&lt;&gt;"",IFERROR(INDEX(nrCKfinalExamElig,MATCH($D192,rngCadetPIDs,0)),"")="No"),"FINAL EXAM AFTER FAILED FINAL PT (500.1.H)","OK")))))))</f>
        <v/>
      </c>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IF($C193="","",IF($K193="","",IF(COUNTIFS(nrES_PID,$D193,nrES_Code,$F193,nrES_Att,"&gt;"&amp;$K193,nrES_Raw,"&gt;=0")=0,"Yes","No")))</f>
        <v/>
      </c>
      <c r="Q193" s="17">
        <f>IF($C193="","",IF($L193="","",IF(AND($K193=1,ISNUMBER($L193),$L193&lt;$J193,COUNTIFS(nrES_PID,$D193,nrES_Code,$F193,nrES_Att,2,nrES_Raw,"&gt;=0")=0),"Yes","No")))</f>
        <v/>
      </c>
      <c r="R193" s="17">
        <f>IF($C193="","",IF($L193="","",IF(AND($K193=2,ISNUMBER($L193),$L193&lt;$J193),"Yes","No")))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OR($C193="",$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RANGE",IF(COUNTIF(nrES_RecID,$B193)&gt;1,"DUPLICATE RECORD",IF(AND($K193=2,COUNTIFS(nrES_PID,$D193,nrES_Code,$F193,nrES_Att,1)=0),"ATTEMPT 2 WITHOUT ATTEMPT 1",IF(AND($K193=2,$L193=""),"RETEST ROW HAS NO SCORE",IF(AND($H193="Final",$L193&lt;&gt;"",IFERROR(INDEX(nrCKfinalExamElig,MATCH($D193,rngCadetPIDs,0)),"")="No"),"FINAL EXAM AFTER FAILED FINAL PT (500.1.H)","OK")))))))</f>
        <v/>
      </c>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IF($C194="","",IF($K194="","",IF(COUNTIFS(nrES_PID,$D194,nrES_Code,$F194,nrES_Att,"&gt;"&amp;$K194,nrES_Raw,"&gt;=0")=0,"Yes","No")))</f>
        <v/>
      </c>
      <c r="Q194" s="17">
        <f>IF($C194="","",IF($L194="","",IF(AND($K194=1,ISNUMBER($L194),$L194&lt;$J194,COUNTIFS(nrES_PID,$D194,nrES_Code,$F194,nrES_Att,2,nrES_Raw,"&gt;=0")=0),"Yes","No")))</f>
        <v/>
      </c>
      <c r="R194" s="17">
        <f>IF($C194="","",IF($L194="","",IF(AND($K194=2,ISNUMBER($L194),$L194&lt;$J194),"Yes","No")))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OR($C194="",$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RANGE",IF(COUNTIF(nrES_RecID,$B194)&gt;1,"DUPLICATE RECORD",IF(AND($K194=2,COUNTIFS(nrES_PID,$D194,nrES_Code,$F194,nrES_Att,1)=0),"ATTEMPT 2 WITHOUT ATTEMPT 1",IF(AND($K194=2,$L194=""),"RETEST ROW HAS NO SCORE",IF(AND($H194="Final",$L194&lt;&gt;"",IFERROR(INDEX(nrCKfinalExamElig,MATCH($D194,rngCadetPIDs,0)),"")="No"),"FINAL EXAM AFTER FAILED FINAL PT (500.1.H)","OK")))))))</f>
        <v/>
      </c>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IF($C195="","",IF($K195="","",IF(COUNTIFS(nrES_PID,$D195,nrES_Code,$F195,nrES_Att,"&gt;"&amp;$K195,nrES_Raw,"&gt;=0")=0,"Yes","No")))</f>
        <v/>
      </c>
      <c r="Q195" s="17">
        <f>IF($C195="","",IF($L195="","",IF(AND($K195=1,ISNUMBER($L195),$L195&lt;$J195,COUNTIFS(nrES_PID,$D195,nrES_Code,$F195,nrES_Att,2,nrES_Raw,"&gt;=0")=0),"Yes","No")))</f>
        <v/>
      </c>
      <c r="R195" s="17">
        <f>IF($C195="","",IF($L195="","",IF(AND($K195=2,ISNUMBER($L195),$L195&lt;$J195),"Yes","No")))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OR($C195="",$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RANGE",IF(COUNTIF(nrES_RecID,$B195)&gt;1,"DUPLICATE RECORD",IF(AND($K195=2,COUNTIFS(nrES_PID,$D195,nrES_Code,$F195,nrES_Att,1)=0),"ATTEMPT 2 WITHOUT ATTEMPT 1",IF(AND($K195=2,$L195=""),"RETEST ROW HAS NO SCORE",IF(AND($H195="Final",$L195&lt;&gt;"",IFERROR(INDEX(nrCKfinalExamElig,MATCH($D195,rngCadetPIDs,0)),"")="No"),"FINAL EXAM AFTER FAILED FINAL PT (500.1.H)","OK")))))))</f>
        <v/>
      </c>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IF($C196="","",IF($K196="","",IF(COUNTIFS(nrES_PID,$D196,nrES_Code,$F196,nrES_Att,"&gt;"&amp;$K196,nrES_Raw,"&gt;=0")=0,"Yes","No")))</f>
        <v/>
      </c>
      <c r="Q196" s="17">
        <f>IF($C196="","",IF($L196="","",IF(AND($K196=1,ISNUMBER($L196),$L196&lt;$J196,COUNTIFS(nrES_PID,$D196,nrES_Code,$F196,nrES_Att,2,nrES_Raw,"&gt;=0")=0),"Yes","No")))</f>
        <v/>
      </c>
      <c r="R196" s="17">
        <f>IF($C196="","",IF($L196="","",IF(AND($K196=2,ISNUMBER($L196),$L196&lt;$J196),"Yes","No")))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OR($C196="",$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RANGE",IF(COUNTIF(nrES_RecID,$B196)&gt;1,"DUPLICATE RECORD",IF(AND($K196=2,COUNTIFS(nrES_PID,$D196,nrES_Code,$F196,nrES_Att,1)=0),"ATTEMPT 2 WITHOUT ATTEMPT 1",IF(AND($K196=2,$L196=""),"RETEST ROW HAS NO SCORE",IF(AND($H196="Final",$L196&lt;&gt;"",IFERROR(INDEX(nrCKfinalExamElig,MATCH($D196,rngCadetPIDs,0)),"")="No"),"FINAL EXAM AFTER FAILED FINAL PT (500.1.H)","OK")))))))</f>
        <v/>
      </c>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IF($C197="","",IF($K197="","",IF(COUNTIFS(nrES_PID,$D197,nrES_Code,$F197,nrES_Att,"&gt;"&amp;$K197,nrES_Raw,"&gt;=0")=0,"Yes","No")))</f>
        <v/>
      </c>
      <c r="Q197" s="17">
        <f>IF($C197="","",IF($L197="","",IF(AND($K197=1,ISNUMBER($L197),$L197&lt;$J197,COUNTIFS(nrES_PID,$D197,nrES_Code,$F197,nrES_Att,2,nrES_Raw,"&gt;=0")=0),"Yes","No")))</f>
        <v/>
      </c>
      <c r="R197" s="17">
        <f>IF($C197="","",IF($L197="","",IF(AND($K197=2,ISNUMBER($L197),$L197&lt;$J197),"Yes","No")))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OR($C197="",$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RANGE",IF(COUNTIF(nrES_RecID,$B197)&gt;1,"DUPLICATE RECORD",IF(AND($K197=2,COUNTIFS(nrES_PID,$D197,nrES_Code,$F197,nrES_Att,1)=0),"ATTEMPT 2 WITHOUT ATTEMPT 1",IF(AND($K197=2,$L197=""),"RETEST ROW HAS NO SCORE",IF(AND($H197="Final",$L197&lt;&gt;"",IFERROR(INDEX(nrCKfinalExamElig,MATCH($D197,rngCadetPIDs,0)),"")="No"),"FINAL EXAM AFTER FAILED FINAL PT (500.1.H)","OK")))))))</f>
        <v/>
      </c>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IF($C198="","",IF($K198="","",IF(COUNTIFS(nrES_PID,$D198,nrES_Code,$F198,nrES_Att,"&gt;"&amp;$K198,nrES_Raw,"&gt;=0")=0,"Yes","No")))</f>
        <v/>
      </c>
      <c r="Q198" s="17">
        <f>IF($C198="","",IF($L198="","",IF(AND($K198=1,ISNUMBER($L198),$L198&lt;$J198,COUNTIFS(nrES_PID,$D198,nrES_Code,$F198,nrES_Att,2,nrES_Raw,"&gt;=0")=0),"Yes","No")))</f>
        <v/>
      </c>
      <c r="R198" s="17">
        <f>IF($C198="","",IF($L198="","",IF(AND($K198=2,ISNUMBER($L198),$L198&lt;$J198),"Yes","No")))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OR($C198="",$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RANGE",IF(COUNTIF(nrES_RecID,$B198)&gt;1,"DUPLICATE RECORD",IF(AND($K198=2,COUNTIFS(nrES_PID,$D198,nrES_Code,$F198,nrES_Att,1)=0),"ATTEMPT 2 WITHOUT ATTEMPT 1",IF(AND($K198=2,$L198=""),"RETEST ROW HAS NO SCORE",IF(AND($H198="Final",$L198&lt;&gt;"",IFERROR(INDEX(nrCKfinalExamElig,MATCH($D198,rngCadetPIDs,0)),"")="No"),"FINAL EXAM AFTER FAILED FINAL PT (500.1.H)","OK")))))))</f>
        <v/>
      </c>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IF($C199="","",IF($K199="","",IF(COUNTIFS(nrES_PID,$D199,nrES_Code,$F199,nrES_Att,"&gt;"&amp;$K199,nrES_Raw,"&gt;=0")=0,"Yes","No")))</f>
        <v/>
      </c>
      <c r="Q199" s="17">
        <f>IF($C199="","",IF($L199="","",IF(AND($K199=1,ISNUMBER($L199),$L199&lt;$J199,COUNTIFS(nrES_PID,$D199,nrES_Code,$F199,nrES_Att,2,nrES_Raw,"&gt;=0")=0),"Yes","No")))</f>
        <v/>
      </c>
      <c r="R199" s="17">
        <f>IF($C199="","",IF($L199="","",IF(AND($K199=2,ISNUMBER($L199),$L199&lt;$J199),"Yes","No")))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OR($C199="",$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RANGE",IF(COUNTIF(nrES_RecID,$B199)&gt;1,"DUPLICATE RECORD",IF(AND($K199=2,COUNTIFS(nrES_PID,$D199,nrES_Code,$F199,nrES_Att,1)=0),"ATTEMPT 2 WITHOUT ATTEMPT 1",IF(AND($K199=2,$L199=""),"RETEST ROW HAS NO SCORE",IF(AND($H199="Final",$L199&lt;&gt;"",IFERROR(INDEX(nrCKfinalExamElig,MATCH($D199,rngCadetPIDs,0)),"")="No"),"FINAL EXAM AFTER FAILED FINAL PT (500.1.H)","OK")))))))</f>
        <v/>
      </c>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IF($C200="","",IF($K200="","",IF(COUNTIFS(nrES_PID,$D200,nrES_Code,$F200,nrES_Att,"&gt;"&amp;$K200,nrES_Raw,"&gt;=0")=0,"Yes","No")))</f>
        <v/>
      </c>
      <c r="Q200" s="17">
        <f>IF($C200="","",IF($L200="","",IF(AND($K200=1,ISNUMBER($L200),$L200&lt;$J200,COUNTIFS(nrES_PID,$D200,nrES_Code,$F200,nrES_Att,2,nrES_Raw,"&gt;=0")=0),"Yes","No")))</f>
        <v/>
      </c>
      <c r="R200" s="17">
        <f>IF($C200="","",IF($L200="","",IF(AND($K200=2,ISNUMBER($L200),$L200&lt;$J200),"Yes","No")))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OR($C200="",$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RANGE",IF(COUNTIF(nrES_RecID,$B200)&gt;1,"DUPLICATE RECORD",IF(AND($K200=2,COUNTIFS(nrES_PID,$D200,nrES_Code,$F200,nrES_Att,1)=0),"ATTEMPT 2 WITHOUT ATTEMPT 1",IF(AND($K200=2,$L200=""),"RETEST ROW HAS NO SCORE",IF(AND($H200="Final",$L200&lt;&gt;"",IFERROR(INDEX(nrCKfinalExamElig,MATCH($D200,rngCadetPIDs,0)),"")="No"),"FINAL EXAM AFTER FAILED FINAL PT (500.1.H)","OK")))))))</f>
        <v/>
      </c>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IF($C201="","",IF($K201="","",IF(COUNTIFS(nrES_PID,$D201,nrES_Code,$F201,nrES_Att,"&gt;"&amp;$K201,nrES_Raw,"&gt;=0")=0,"Yes","No")))</f>
        <v/>
      </c>
      <c r="Q201" s="17">
        <f>IF($C201="","",IF($L201="","",IF(AND($K201=1,ISNUMBER($L201),$L201&lt;$J201,COUNTIFS(nrES_PID,$D201,nrES_Code,$F201,nrES_Att,2,nrES_Raw,"&gt;=0")=0),"Yes","No")))</f>
        <v/>
      </c>
      <c r="R201" s="17">
        <f>IF($C201="","",IF($L201="","",IF(AND($K201=2,ISNUMBER($L201),$L201&lt;$J201),"Yes","No")))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OR($C201="",$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RANGE",IF(COUNTIF(nrES_RecID,$B201)&gt;1,"DUPLICATE RECORD",IF(AND($K201=2,COUNTIFS(nrES_PID,$D201,nrES_Code,$F201,nrES_Att,1)=0),"ATTEMPT 2 WITHOUT ATTEMPT 1",IF(AND($K201=2,$L201=""),"RETEST ROW HAS NO SCORE",IF(AND($H201="Final",$L201&lt;&gt;"",IFERROR(INDEX(nrCKfinalExamElig,MATCH($D201,rngCadetPIDs,0)),"")="No"),"FINAL EXAM AFTER FAILED FINAL PT (500.1.H)","OK")))))))</f>
        <v/>
      </c>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IF($C202="","",IF($K202="","",IF(COUNTIFS(nrES_PID,$D202,nrES_Code,$F202,nrES_Att,"&gt;"&amp;$K202,nrES_Raw,"&gt;=0")=0,"Yes","No")))</f>
        <v/>
      </c>
      <c r="Q202" s="17">
        <f>IF($C202="","",IF($L202="","",IF(AND($K202=1,ISNUMBER($L202),$L202&lt;$J202,COUNTIFS(nrES_PID,$D202,nrES_Code,$F202,nrES_Att,2,nrES_Raw,"&gt;=0")=0),"Yes","No")))</f>
        <v/>
      </c>
      <c r="R202" s="17">
        <f>IF($C202="","",IF($L202="","",IF(AND($K202=2,ISNUMBER($L202),$L202&lt;$J202),"Yes","No")))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OR($C202="",$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RANGE",IF(COUNTIF(nrES_RecID,$B202)&gt;1,"DUPLICATE RECORD",IF(AND($K202=2,COUNTIFS(nrES_PID,$D202,nrES_Code,$F202,nrES_Att,1)=0),"ATTEMPT 2 WITHOUT ATTEMPT 1",IF(AND($K202=2,$L202=""),"RETEST ROW HAS NO SCORE",IF(AND($H202="Final",$L202&lt;&gt;"",IFERROR(INDEX(nrCKfinalExamElig,MATCH($D202,rngCadetPIDs,0)),"")="No"),"FINAL EXAM AFTER FAILED FINAL PT (500.1.H)","OK")))))))</f>
        <v/>
      </c>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IF($C203="","",IF($K203="","",IF(COUNTIFS(nrES_PID,$D203,nrES_Code,$F203,nrES_Att,"&gt;"&amp;$K203,nrES_Raw,"&gt;=0")=0,"Yes","No")))</f>
        <v/>
      </c>
      <c r="Q203" s="17">
        <f>IF($C203="","",IF($L203="","",IF(AND($K203=1,ISNUMBER($L203),$L203&lt;$J203,COUNTIFS(nrES_PID,$D203,nrES_Code,$F203,nrES_Att,2,nrES_Raw,"&gt;=0")=0),"Yes","No")))</f>
        <v/>
      </c>
      <c r="R203" s="17">
        <f>IF($C203="","",IF($L203="","",IF(AND($K203=2,ISNUMBER($L203),$L203&lt;$J203),"Yes","No")))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OR($C203="",$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RANGE",IF(COUNTIF(nrES_RecID,$B203)&gt;1,"DUPLICATE RECORD",IF(AND($K203=2,COUNTIFS(nrES_PID,$D203,nrES_Code,$F203,nrES_Att,1)=0),"ATTEMPT 2 WITHOUT ATTEMPT 1",IF(AND($K203=2,$L203=""),"RETEST ROW HAS NO SCORE",IF(AND($H203="Final",$L203&lt;&gt;"",IFERROR(INDEX(nrCKfinalExamElig,MATCH($D203,rngCadetPIDs,0)),"")="No"),"FINAL EXAM AFTER FAILED FINAL PT (500.1.H)","OK")))))))</f>
        <v/>
      </c>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IF($C204="","",IF($K204="","",IF(COUNTIFS(nrES_PID,$D204,nrES_Code,$F204,nrES_Att,"&gt;"&amp;$K204,nrES_Raw,"&gt;=0")=0,"Yes","No")))</f>
        <v/>
      </c>
      <c r="Q204" s="17">
        <f>IF($C204="","",IF($L204="","",IF(AND($K204=1,ISNUMBER($L204),$L204&lt;$J204,COUNTIFS(nrES_PID,$D204,nrES_Code,$F204,nrES_Att,2,nrES_Raw,"&gt;=0")=0),"Yes","No")))</f>
        <v/>
      </c>
      <c r="R204" s="17">
        <f>IF($C204="","",IF($L204="","",IF(AND($K204=2,ISNUMBER($L204),$L204&lt;$J204),"Yes","No")))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OR($C204="",$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RANGE",IF(COUNTIF(nrES_RecID,$B204)&gt;1,"DUPLICATE RECORD",IF(AND($K204=2,COUNTIFS(nrES_PID,$D204,nrES_Code,$F204,nrES_Att,1)=0),"ATTEMPT 2 WITHOUT ATTEMPT 1",IF(AND($K204=2,$L204=""),"RETEST ROW HAS NO SCORE",IF(AND($H204="Final",$L204&lt;&gt;"",IFERROR(INDEX(nrCKfinalExamElig,MATCH($D204,rngCadetPIDs,0)),"")="No"),"FINAL EXAM AFTER FAILED FINAL PT (500.1.H)","OK")))))))</f>
        <v/>
      </c>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IF($C205="","",IF($K205="","",IF(COUNTIFS(nrES_PID,$D205,nrES_Code,$F205,nrES_Att,"&gt;"&amp;$K205,nrES_Raw,"&gt;=0")=0,"Yes","No")))</f>
        <v/>
      </c>
      <c r="Q205" s="17">
        <f>IF($C205="","",IF($L205="","",IF(AND($K205=1,ISNUMBER($L205),$L205&lt;$J205,COUNTIFS(nrES_PID,$D205,nrES_Code,$F205,nrES_Att,2,nrES_Raw,"&gt;=0")=0),"Yes","No")))</f>
        <v/>
      </c>
      <c r="R205" s="17">
        <f>IF($C205="","",IF($L205="","",IF(AND($K205=2,ISNUMBER($L205),$L205&lt;$J205),"Yes","No")))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OR($C205="",$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RANGE",IF(COUNTIF(nrES_RecID,$B205)&gt;1,"DUPLICATE RECORD",IF(AND($K205=2,COUNTIFS(nrES_PID,$D205,nrES_Code,$F205,nrES_Att,1)=0),"ATTEMPT 2 WITHOUT ATTEMPT 1",IF(AND($K205=2,$L205=""),"RETEST ROW HAS NO SCORE",IF(AND($H205="Final",$L205&lt;&gt;"",IFERROR(INDEX(nrCKfinalExamElig,MATCH($D205,rngCadetPIDs,0)),"")="No"),"FINAL EXAM AFTER FAILED FINAL PT (500.1.H)","OK")))))))</f>
        <v/>
      </c>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IF($C206="","",IF($K206="","",IF(COUNTIFS(nrES_PID,$D206,nrES_Code,$F206,nrES_Att,"&gt;"&amp;$K206,nrES_Raw,"&gt;=0")=0,"Yes","No")))</f>
        <v/>
      </c>
      <c r="Q206" s="17">
        <f>IF($C206="","",IF($L206="","",IF(AND($K206=1,ISNUMBER($L206),$L206&lt;$J206,COUNTIFS(nrES_PID,$D206,nrES_Code,$F206,nrES_Att,2,nrES_Raw,"&gt;=0")=0),"Yes","No")))</f>
        <v/>
      </c>
      <c r="R206" s="17">
        <f>IF($C206="","",IF($L206="","",IF(AND($K206=2,ISNUMBER($L206),$L206&lt;$J206),"Yes","No")))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OR($C206="",$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RANGE",IF(COUNTIF(nrES_RecID,$B206)&gt;1,"DUPLICATE RECORD",IF(AND($K206=2,COUNTIFS(nrES_PID,$D206,nrES_Code,$F206,nrES_Att,1)=0),"ATTEMPT 2 WITHOUT ATTEMPT 1",IF(AND($K206=2,$L206=""),"RETEST ROW HAS NO SCORE",IF(AND($H206="Final",$L206&lt;&gt;"",IFERROR(INDEX(nrCKfinalExamElig,MATCH($D206,rngCadetPIDs,0)),"")="No"),"FINAL EXAM AFTER FAILED FINAL PT (500.1.H)","OK")))))))</f>
        <v/>
      </c>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IF($C207="","",IF($K207="","",IF(COUNTIFS(nrES_PID,$D207,nrES_Code,$F207,nrES_Att,"&gt;"&amp;$K207,nrES_Raw,"&gt;=0")=0,"Yes","No")))</f>
        <v/>
      </c>
      <c r="Q207" s="17">
        <f>IF($C207="","",IF($L207="","",IF(AND($K207=1,ISNUMBER($L207),$L207&lt;$J207,COUNTIFS(nrES_PID,$D207,nrES_Code,$F207,nrES_Att,2,nrES_Raw,"&gt;=0")=0),"Yes","No")))</f>
        <v/>
      </c>
      <c r="R207" s="17">
        <f>IF($C207="","",IF($L207="","",IF(AND($K207=2,ISNUMBER($L207),$L207&lt;$J207),"Yes","No")))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OR($C207="",$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RANGE",IF(COUNTIF(nrES_RecID,$B207)&gt;1,"DUPLICATE RECORD",IF(AND($K207=2,COUNTIFS(nrES_PID,$D207,nrES_Code,$F207,nrES_Att,1)=0),"ATTEMPT 2 WITHOUT ATTEMPT 1",IF(AND($K207=2,$L207=""),"RETEST ROW HAS NO SCORE",IF(AND($H207="Final",$L207&lt;&gt;"",IFERROR(INDEX(nrCKfinalExamElig,MATCH($D207,rngCadetPIDs,0)),"")="No"),"FINAL EXAM AFTER FAILED FINAL PT (500.1.H)","OK")))))))</f>
        <v/>
      </c>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IF($C208="","",IF($K208="","",IF(COUNTIFS(nrES_PID,$D208,nrES_Code,$F208,nrES_Att,"&gt;"&amp;$K208,nrES_Raw,"&gt;=0")=0,"Yes","No")))</f>
        <v/>
      </c>
      <c r="Q208" s="17">
        <f>IF($C208="","",IF($L208="","",IF(AND($K208=1,ISNUMBER($L208),$L208&lt;$J208,COUNTIFS(nrES_PID,$D208,nrES_Code,$F208,nrES_Att,2,nrES_Raw,"&gt;=0")=0),"Yes","No")))</f>
        <v/>
      </c>
      <c r="R208" s="17">
        <f>IF($C208="","",IF($L208="","",IF(AND($K208=2,ISNUMBER($L208),$L208&lt;$J208),"Yes","No")))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OR($C208="",$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RANGE",IF(COUNTIF(nrES_RecID,$B208)&gt;1,"DUPLICATE RECORD",IF(AND($K208=2,COUNTIFS(nrES_PID,$D208,nrES_Code,$F208,nrES_Att,1)=0),"ATTEMPT 2 WITHOUT ATTEMPT 1",IF(AND($K208=2,$L208=""),"RETEST ROW HAS NO SCORE",IF(AND($H208="Final",$L208&lt;&gt;"",IFERROR(INDEX(nrCKfinalExamElig,MATCH($D208,rngCadetPIDs,0)),"")="No"),"FINAL EXAM AFTER FAILED FINAL PT (500.1.H)","OK")))))))</f>
        <v/>
      </c>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IF($C209="","",IF($K209="","",IF(COUNTIFS(nrES_PID,$D209,nrES_Code,$F209,nrES_Att,"&gt;"&amp;$K209,nrES_Raw,"&gt;=0")=0,"Yes","No")))</f>
        <v/>
      </c>
      <c r="Q209" s="17">
        <f>IF($C209="","",IF($L209="","",IF(AND($K209=1,ISNUMBER($L209),$L209&lt;$J209,COUNTIFS(nrES_PID,$D209,nrES_Code,$F209,nrES_Att,2,nrES_Raw,"&gt;=0")=0),"Yes","No")))</f>
        <v/>
      </c>
      <c r="R209" s="17">
        <f>IF($C209="","",IF($L209="","",IF(AND($K209=2,ISNUMBER($L209),$L209&lt;$J209),"Yes","No")))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OR($C209="",$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RANGE",IF(COUNTIF(nrES_RecID,$B209)&gt;1,"DUPLICATE RECORD",IF(AND($K209=2,COUNTIFS(nrES_PID,$D209,nrES_Code,$F209,nrES_Att,1)=0),"ATTEMPT 2 WITHOUT ATTEMPT 1",IF(AND($K209=2,$L209=""),"RETEST ROW HAS NO SCORE",IF(AND($H209="Final",$L209&lt;&gt;"",IFERROR(INDEX(nrCKfinalExamElig,MATCH($D209,rngCadetPIDs,0)),"")="No"),"FINAL EXAM AFTER FAILED FINAL PT (500.1.H)","OK")))))))</f>
        <v/>
      </c>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IF($C210="","",IF($K210="","",IF(COUNTIFS(nrES_PID,$D210,nrES_Code,$F210,nrES_Att,"&gt;"&amp;$K210,nrES_Raw,"&gt;=0")=0,"Yes","No")))</f>
        <v/>
      </c>
      <c r="Q210" s="17">
        <f>IF($C210="","",IF($L210="","",IF(AND($K210=1,ISNUMBER($L210),$L210&lt;$J210,COUNTIFS(nrES_PID,$D210,nrES_Code,$F210,nrES_Att,2,nrES_Raw,"&gt;=0")=0),"Yes","No")))</f>
        <v/>
      </c>
      <c r="R210" s="17">
        <f>IF($C210="","",IF($L210="","",IF(AND($K210=2,ISNUMBER($L210),$L210&lt;$J210),"Yes","No")))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OR($C210="",$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RANGE",IF(COUNTIF(nrES_RecID,$B210)&gt;1,"DUPLICATE RECORD",IF(AND($K210=2,COUNTIFS(nrES_PID,$D210,nrES_Code,$F210,nrES_Att,1)=0),"ATTEMPT 2 WITHOUT ATTEMPT 1",IF(AND($K210=2,$L210=""),"RETEST ROW HAS NO SCORE",IF(AND($H210="Final",$L210&lt;&gt;"",IFERROR(INDEX(nrCKfinalExamElig,MATCH($D210,rngCadetPIDs,0)),"")="No"),"FINAL EXAM AFTER FAILED FINAL PT (500.1.H)","OK")))))))</f>
        <v/>
      </c>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IF($C211="","",IF($K211="","",IF(COUNTIFS(nrES_PID,$D211,nrES_Code,$F211,nrES_Att,"&gt;"&amp;$K211,nrES_Raw,"&gt;=0")=0,"Yes","No")))</f>
        <v/>
      </c>
      <c r="Q211" s="17">
        <f>IF($C211="","",IF($L211="","",IF(AND($K211=1,ISNUMBER($L211),$L211&lt;$J211,COUNTIFS(nrES_PID,$D211,nrES_Code,$F211,nrES_Att,2,nrES_Raw,"&gt;=0")=0),"Yes","No")))</f>
        <v/>
      </c>
      <c r="R211" s="17">
        <f>IF($C211="","",IF($L211="","",IF(AND($K211=2,ISNUMBER($L211),$L211&lt;$J211),"Yes","No")))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OR($C211="",$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RANGE",IF(COUNTIF(nrES_RecID,$B211)&gt;1,"DUPLICATE RECORD",IF(AND($K211=2,COUNTIFS(nrES_PID,$D211,nrES_Code,$F211,nrES_Att,1)=0),"ATTEMPT 2 WITHOUT ATTEMPT 1",IF(AND($K211=2,$L211=""),"RETEST ROW HAS NO SCORE",IF(AND($H211="Final",$L211&lt;&gt;"",IFERROR(INDEX(nrCKfinalExamElig,MATCH($D211,rngCadetPIDs,0)),"")="No"),"FINAL EXAM AFTER FAILED FINAL PT (500.1.H)","OK")))))))</f>
        <v/>
      </c>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IF($C212="","",IF($K212="","",IF(COUNTIFS(nrES_PID,$D212,nrES_Code,$F212,nrES_Att,"&gt;"&amp;$K212,nrES_Raw,"&gt;=0")=0,"Yes","No")))</f>
        <v/>
      </c>
      <c r="Q212" s="17">
        <f>IF($C212="","",IF($L212="","",IF(AND($K212=1,ISNUMBER($L212),$L212&lt;$J212,COUNTIFS(nrES_PID,$D212,nrES_Code,$F212,nrES_Att,2,nrES_Raw,"&gt;=0")=0),"Yes","No")))</f>
        <v/>
      </c>
      <c r="R212" s="17">
        <f>IF($C212="","",IF($L212="","",IF(AND($K212=2,ISNUMBER($L212),$L212&lt;$J212),"Yes","No")))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OR($C212="",$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RANGE",IF(COUNTIF(nrES_RecID,$B212)&gt;1,"DUPLICATE RECORD",IF(AND($K212=2,COUNTIFS(nrES_PID,$D212,nrES_Code,$F212,nrES_Att,1)=0),"ATTEMPT 2 WITHOUT ATTEMPT 1",IF(AND($K212=2,$L212=""),"RETEST ROW HAS NO SCORE",IF(AND($H212="Final",$L212&lt;&gt;"",IFERROR(INDEX(nrCKfinalExamElig,MATCH($D212,rngCadetPIDs,0)),"")="No"),"FINAL EXAM AFTER FAILED FINAL PT (500.1.H)","OK")))))))</f>
        <v/>
      </c>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IF($C213="","",IF($K213="","",IF(COUNTIFS(nrES_PID,$D213,nrES_Code,$F213,nrES_Att,"&gt;"&amp;$K213,nrES_Raw,"&gt;=0")=0,"Yes","No")))</f>
        <v/>
      </c>
      <c r="Q213" s="17">
        <f>IF($C213="","",IF($L213="","",IF(AND($K213=1,ISNUMBER($L213),$L213&lt;$J213,COUNTIFS(nrES_PID,$D213,nrES_Code,$F213,nrES_Att,2,nrES_Raw,"&gt;=0")=0),"Yes","No")))</f>
        <v/>
      </c>
      <c r="R213" s="17">
        <f>IF($C213="","",IF($L213="","",IF(AND($K213=2,ISNUMBER($L213),$L213&lt;$J213),"Yes","No")))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OR($C213="",$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RANGE",IF(COUNTIF(nrES_RecID,$B213)&gt;1,"DUPLICATE RECORD",IF(AND($K213=2,COUNTIFS(nrES_PID,$D213,nrES_Code,$F213,nrES_Att,1)=0),"ATTEMPT 2 WITHOUT ATTEMPT 1",IF(AND($K213=2,$L213=""),"RETEST ROW HAS NO SCORE",IF(AND($H213="Final",$L213&lt;&gt;"",IFERROR(INDEX(nrCKfinalExamElig,MATCH($D213,rngCadetPIDs,0)),"")="No"),"FINAL EXAM AFTER FAILED FINAL PT (500.1.H)","OK")))))))</f>
        <v/>
      </c>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IF($C214="","",IF($K214="","",IF(COUNTIFS(nrES_PID,$D214,nrES_Code,$F214,nrES_Att,"&gt;"&amp;$K214,nrES_Raw,"&gt;=0")=0,"Yes","No")))</f>
        <v/>
      </c>
      <c r="Q214" s="17">
        <f>IF($C214="","",IF($L214="","",IF(AND($K214=1,ISNUMBER($L214),$L214&lt;$J214,COUNTIFS(nrES_PID,$D214,nrES_Code,$F214,nrES_Att,2,nrES_Raw,"&gt;=0")=0),"Yes","No")))</f>
        <v/>
      </c>
      <c r="R214" s="17">
        <f>IF($C214="","",IF($L214="","",IF(AND($K214=2,ISNUMBER($L214),$L214&lt;$J214),"Yes","No")))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OR($C214="",$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RANGE",IF(COUNTIF(nrES_RecID,$B214)&gt;1,"DUPLICATE RECORD",IF(AND($K214=2,COUNTIFS(nrES_PID,$D214,nrES_Code,$F214,nrES_Att,1)=0),"ATTEMPT 2 WITHOUT ATTEMPT 1",IF(AND($K214=2,$L214=""),"RETEST ROW HAS NO SCORE",IF(AND($H214="Final",$L214&lt;&gt;"",IFERROR(INDEX(nrCKfinalExamElig,MATCH($D214,rngCadetPIDs,0)),"")="No"),"FINAL EXAM AFTER FAILED FINAL PT (500.1.H)","OK")))))))</f>
        <v/>
      </c>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IF($C215="","",IF($K215="","",IF(COUNTIFS(nrES_PID,$D215,nrES_Code,$F215,nrES_Att,"&gt;"&amp;$K215,nrES_Raw,"&gt;=0")=0,"Yes","No")))</f>
        <v/>
      </c>
      <c r="Q215" s="17">
        <f>IF($C215="","",IF($L215="","",IF(AND($K215=1,ISNUMBER($L215),$L215&lt;$J215,COUNTIFS(nrES_PID,$D215,nrES_Code,$F215,nrES_Att,2,nrES_Raw,"&gt;=0")=0),"Yes","No")))</f>
        <v/>
      </c>
      <c r="R215" s="17">
        <f>IF($C215="","",IF($L215="","",IF(AND($K215=2,ISNUMBER($L215),$L215&lt;$J215),"Yes","No")))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OR($C215="",$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RANGE",IF(COUNTIF(nrES_RecID,$B215)&gt;1,"DUPLICATE RECORD",IF(AND($K215=2,COUNTIFS(nrES_PID,$D215,nrES_Code,$F215,nrES_Att,1)=0),"ATTEMPT 2 WITHOUT ATTEMPT 1",IF(AND($K215=2,$L215=""),"RETEST ROW HAS NO SCORE",IF(AND($H215="Final",$L215&lt;&gt;"",IFERROR(INDEX(nrCKfinalExamElig,MATCH($D215,rngCadetPIDs,0)),"")="No"),"FINAL EXAM AFTER FAILED FINAL PT (500.1.H)","OK")))))))</f>
        <v/>
      </c>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IF($C216="","",IF($K216="","",IF(COUNTIFS(nrES_PID,$D216,nrES_Code,$F216,nrES_Att,"&gt;"&amp;$K216,nrES_Raw,"&gt;=0")=0,"Yes","No")))</f>
        <v/>
      </c>
      <c r="Q216" s="17">
        <f>IF($C216="","",IF($L216="","",IF(AND($K216=1,ISNUMBER($L216),$L216&lt;$J216,COUNTIFS(nrES_PID,$D216,nrES_Code,$F216,nrES_Att,2,nrES_Raw,"&gt;=0")=0),"Yes","No")))</f>
        <v/>
      </c>
      <c r="R216" s="17">
        <f>IF($C216="","",IF($L216="","",IF(AND($K216=2,ISNUMBER($L216),$L216&lt;$J216),"Yes","No")))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OR($C216="",$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RANGE",IF(COUNTIF(nrES_RecID,$B216)&gt;1,"DUPLICATE RECORD",IF(AND($K216=2,COUNTIFS(nrES_PID,$D216,nrES_Code,$F216,nrES_Att,1)=0),"ATTEMPT 2 WITHOUT ATTEMPT 1",IF(AND($K216=2,$L216=""),"RETEST ROW HAS NO SCORE",IF(AND($H216="Final",$L216&lt;&gt;"",IFERROR(INDEX(nrCKfinalExamElig,MATCH($D216,rngCadetPIDs,0)),"")="No"),"FINAL EXAM AFTER FAILED FINAL PT (500.1.H)","OK")))))))</f>
        <v/>
      </c>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IF($C217="","",IF($K217="","",IF(COUNTIFS(nrES_PID,$D217,nrES_Code,$F217,nrES_Att,"&gt;"&amp;$K217,nrES_Raw,"&gt;=0")=0,"Yes","No")))</f>
        <v/>
      </c>
      <c r="Q217" s="17">
        <f>IF($C217="","",IF($L217="","",IF(AND($K217=1,ISNUMBER($L217),$L217&lt;$J217,COUNTIFS(nrES_PID,$D217,nrES_Code,$F217,nrES_Att,2,nrES_Raw,"&gt;=0")=0),"Yes","No")))</f>
        <v/>
      </c>
      <c r="R217" s="17">
        <f>IF($C217="","",IF($L217="","",IF(AND($K217=2,ISNUMBER($L217),$L217&lt;$J217),"Yes","No")))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OR($C217="",$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RANGE",IF(COUNTIF(nrES_RecID,$B217)&gt;1,"DUPLICATE RECORD",IF(AND($K217=2,COUNTIFS(nrES_PID,$D217,nrES_Code,$F217,nrES_Att,1)=0),"ATTEMPT 2 WITHOUT ATTEMPT 1",IF(AND($K217=2,$L217=""),"RETEST ROW HAS NO SCORE",IF(AND($H217="Final",$L217&lt;&gt;"",IFERROR(INDEX(nrCKfinalExamElig,MATCH($D217,rngCadetPIDs,0)),"")="No"),"FINAL EXAM AFTER FAILED FINAL PT (500.1.H)","OK")))))))</f>
        <v/>
      </c>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IF($C218="","",IF($K218="","",IF(COUNTIFS(nrES_PID,$D218,nrES_Code,$F218,nrES_Att,"&gt;"&amp;$K218,nrES_Raw,"&gt;=0")=0,"Yes","No")))</f>
        <v/>
      </c>
      <c r="Q218" s="17">
        <f>IF($C218="","",IF($L218="","",IF(AND($K218=1,ISNUMBER($L218),$L218&lt;$J218,COUNTIFS(nrES_PID,$D218,nrES_Code,$F218,nrES_Att,2,nrES_Raw,"&gt;=0")=0),"Yes","No")))</f>
        <v/>
      </c>
      <c r="R218" s="17">
        <f>IF($C218="","",IF($L218="","",IF(AND($K218=2,ISNUMBER($L218),$L218&lt;$J218),"Yes","No")))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OR($C218="",$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RANGE",IF(COUNTIF(nrES_RecID,$B218)&gt;1,"DUPLICATE RECORD",IF(AND($K218=2,COUNTIFS(nrES_PID,$D218,nrES_Code,$F218,nrES_Att,1)=0),"ATTEMPT 2 WITHOUT ATTEMPT 1",IF(AND($K218=2,$L218=""),"RETEST ROW HAS NO SCORE",IF(AND($H218="Final",$L218&lt;&gt;"",IFERROR(INDEX(nrCKfinalExamElig,MATCH($D218,rngCadetPIDs,0)),"")="No"),"FINAL EXAM AFTER FAILED FINAL PT (500.1.H)","OK")))))))</f>
        <v/>
      </c>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IF($C219="","",IF($K219="","",IF(COUNTIFS(nrES_PID,$D219,nrES_Code,$F219,nrES_Att,"&gt;"&amp;$K219,nrES_Raw,"&gt;=0")=0,"Yes","No")))</f>
        <v/>
      </c>
      <c r="Q219" s="17">
        <f>IF($C219="","",IF($L219="","",IF(AND($K219=1,ISNUMBER($L219),$L219&lt;$J219,COUNTIFS(nrES_PID,$D219,nrES_Code,$F219,nrES_Att,2,nrES_Raw,"&gt;=0")=0),"Yes","No")))</f>
        <v/>
      </c>
      <c r="R219" s="17">
        <f>IF($C219="","",IF($L219="","",IF(AND($K219=2,ISNUMBER($L219),$L219&lt;$J219),"Yes","No")))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OR($C219="",$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RANGE",IF(COUNTIF(nrES_RecID,$B219)&gt;1,"DUPLICATE RECORD",IF(AND($K219=2,COUNTIFS(nrES_PID,$D219,nrES_Code,$F219,nrES_Att,1)=0),"ATTEMPT 2 WITHOUT ATTEMPT 1",IF(AND($K219=2,$L219=""),"RETEST ROW HAS NO SCORE",IF(AND($H219="Final",$L219&lt;&gt;"",IFERROR(INDEX(nrCKfinalExamElig,MATCH($D219,rngCadetPIDs,0)),"")="No"),"FINAL EXAM AFTER FAILED FINAL PT (500.1.H)","OK")))))))</f>
        <v/>
      </c>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IF($C220="","",IF($K220="","",IF(COUNTIFS(nrES_PID,$D220,nrES_Code,$F220,nrES_Att,"&gt;"&amp;$K220,nrES_Raw,"&gt;=0")=0,"Yes","No")))</f>
        <v/>
      </c>
      <c r="Q220" s="17">
        <f>IF($C220="","",IF($L220="","",IF(AND($K220=1,ISNUMBER($L220),$L220&lt;$J220,COUNTIFS(nrES_PID,$D220,nrES_Code,$F220,nrES_Att,2,nrES_Raw,"&gt;=0")=0),"Yes","No")))</f>
        <v/>
      </c>
      <c r="R220" s="17">
        <f>IF($C220="","",IF($L220="","",IF(AND($K220=2,ISNUMBER($L220),$L220&lt;$J220),"Yes","No")))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OR($C220="",$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RANGE",IF(COUNTIF(nrES_RecID,$B220)&gt;1,"DUPLICATE RECORD",IF(AND($K220=2,COUNTIFS(nrES_PID,$D220,nrES_Code,$F220,nrES_Att,1)=0),"ATTEMPT 2 WITHOUT ATTEMPT 1",IF(AND($K220=2,$L220=""),"RETEST ROW HAS NO SCORE",IF(AND($H220="Final",$L220&lt;&gt;"",IFERROR(INDEX(nrCKfinalExamElig,MATCH($D220,rngCadetPIDs,0)),"")="No"),"FINAL EXAM AFTER FAILED FINAL PT (500.1.H)","OK")))))))</f>
        <v/>
      </c>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IF($C221="","",IF($K221="","",IF(COUNTIFS(nrES_PID,$D221,nrES_Code,$F221,nrES_Att,"&gt;"&amp;$K221,nrES_Raw,"&gt;=0")=0,"Yes","No")))</f>
        <v/>
      </c>
      <c r="Q221" s="17">
        <f>IF($C221="","",IF($L221="","",IF(AND($K221=1,ISNUMBER($L221),$L221&lt;$J221,COUNTIFS(nrES_PID,$D221,nrES_Code,$F221,nrES_Att,2,nrES_Raw,"&gt;=0")=0),"Yes","No")))</f>
        <v/>
      </c>
      <c r="R221" s="17">
        <f>IF($C221="","",IF($L221="","",IF(AND($K221=2,ISNUMBER($L221),$L221&lt;$J221),"Yes","No")))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OR($C221="",$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RANGE",IF(COUNTIF(nrES_RecID,$B221)&gt;1,"DUPLICATE RECORD",IF(AND($K221=2,COUNTIFS(nrES_PID,$D221,nrES_Code,$F221,nrES_Att,1)=0),"ATTEMPT 2 WITHOUT ATTEMPT 1",IF(AND($K221=2,$L221=""),"RETEST ROW HAS NO SCORE",IF(AND($H221="Final",$L221&lt;&gt;"",IFERROR(INDEX(nrCKfinalExamElig,MATCH($D221,rngCadetPIDs,0)),"")="No"),"FINAL EXAM AFTER FAILED FINAL PT (500.1.H)","OK")))))))</f>
        <v/>
      </c>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IF($C222="","",IF($K222="","",IF(COUNTIFS(nrES_PID,$D222,nrES_Code,$F222,nrES_Att,"&gt;"&amp;$K222,nrES_Raw,"&gt;=0")=0,"Yes","No")))</f>
        <v/>
      </c>
      <c r="Q222" s="17">
        <f>IF($C222="","",IF($L222="","",IF(AND($K222=1,ISNUMBER($L222),$L222&lt;$J222,COUNTIFS(nrES_PID,$D222,nrES_Code,$F222,nrES_Att,2,nrES_Raw,"&gt;=0")=0),"Yes","No")))</f>
        <v/>
      </c>
      <c r="R222" s="17">
        <f>IF($C222="","",IF($L222="","",IF(AND($K222=2,ISNUMBER($L222),$L222&lt;$J222),"Yes","No")))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OR($C222="",$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RANGE",IF(COUNTIF(nrES_RecID,$B222)&gt;1,"DUPLICATE RECORD",IF(AND($K222=2,COUNTIFS(nrES_PID,$D222,nrES_Code,$F222,nrES_Att,1)=0),"ATTEMPT 2 WITHOUT ATTEMPT 1",IF(AND($K222=2,$L222=""),"RETEST ROW HAS NO SCORE",IF(AND($H222="Final",$L222&lt;&gt;"",IFERROR(INDEX(nrCKfinalExamElig,MATCH($D222,rngCadetPIDs,0)),"")="No"),"FINAL EXAM AFTER FAILED FINAL PT (500.1.H)","OK")))))))</f>
        <v/>
      </c>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IF($C223="","",IF($K223="","",IF(COUNTIFS(nrES_PID,$D223,nrES_Code,$F223,nrES_Att,"&gt;"&amp;$K223,nrES_Raw,"&gt;=0")=0,"Yes","No")))</f>
        <v/>
      </c>
      <c r="Q223" s="17">
        <f>IF($C223="","",IF($L223="","",IF(AND($K223=1,ISNUMBER($L223),$L223&lt;$J223,COUNTIFS(nrES_PID,$D223,nrES_Code,$F223,nrES_Att,2,nrES_Raw,"&gt;=0")=0),"Yes","No")))</f>
        <v/>
      </c>
      <c r="R223" s="17">
        <f>IF($C223="","",IF($L223="","",IF(AND($K223=2,ISNUMBER($L223),$L223&lt;$J223),"Yes","No")))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OR($C223="",$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RANGE",IF(COUNTIF(nrES_RecID,$B223)&gt;1,"DUPLICATE RECORD",IF(AND($K223=2,COUNTIFS(nrES_PID,$D223,nrES_Code,$F223,nrES_Att,1)=0),"ATTEMPT 2 WITHOUT ATTEMPT 1",IF(AND($K223=2,$L223=""),"RETEST ROW HAS NO SCORE",IF(AND($H223="Final",$L223&lt;&gt;"",IFERROR(INDEX(nrCKfinalExamElig,MATCH($D223,rngCadetPIDs,0)),"")="No"),"FINAL EXAM AFTER FAILED FINAL PT (500.1.H)","OK")))))))</f>
        <v/>
      </c>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IF($C224="","",IF($K224="","",IF(COUNTIFS(nrES_PID,$D224,nrES_Code,$F224,nrES_Att,"&gt;"&amp;$K224,nrES_Raw,"&gt;=0")=0,"Yes","No")))</f>
        <v/>
      </c>
      <c r="Q224" s="17">
        <f>IF($C224="","",IF($L224="","",IF(AND($K224=1,ISNUMBER($L224),$L224&lt;$J224,COUNTIFS(nrES_PID,$D224,nrES_Code,$F224,nrES_Att,2,nrES_Raw,"&gt;=0")=0),"Yes","No")))</f>
        <v/>
      </c>
      <c r="R224" s="17">
        <f>IF($C224="","",IF($L224="","",IF(AND($K224=2,ISNUMBER($L224),$L224&lt;$J224),"Yes","No")))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OR($C224="",$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RANGE",IF(COUNTIF(nrES_RecID,$B224)&gt;1,"DUPLICATE RECORD",IF(AND($K224=2,COUNTIFS(nrES_PID,$D224,nrES_Code,$F224,nrES_Att,1)=0),"ATTEMPT 2 WITHOUT ATTEMPT 1",IF(AND($K224=2,$L224=""),"RETEST ROW HAS NO SCORE",IF(AND($H224="Final",$L224&lt;&gt;"",IFERROR(INDEX(nrCKfinalExamElig,MATCH($D224,rngCadetPIDs,0)),"")="No"),"FINAL EXAM AFTER FAILED FINAL PT (500.1.H)","OK")))))))</f>
        <v/>
      </c>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IF($C225="","",IF($K225="","",IF(COUNTIFS(nrES_PID,$D225,nrES_Code,$F225,nrES_Att,"&gt;"&amp;$K225,nrES_Raw,"&gt;=0")=0,"Yes","No")))</f>
        <v/>
      </c>
      <c r="Q225" s="17">
        <f>IF($C225="","",IF($L225="","",IF(AND($K225=1,ISNUMBER($L225),$L225&lt;$J225,COUNTIFS(nrES_PID,$D225,nrES_Code,$F225,nrES_Att,2,nrES_Raw,"&gt;=0")=0),"Yes","No")))</f>
        <v/>
      </c>
      <c r="R225" s="17">
        <f>IF($C225="","",IF($L225="","",IF(AND($K225=2,ISNUMBER($L225),$L225&lt;$J225),"Yes","No")))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OR($C225="",$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RANGE",IF(COUNTIF(nrES_RecID,$B225)&gt;1,"DUPLICATE RECORD",IF(AND($K225=2,COUNTIFS(nrES_PID,$D225,nrES_Code,$F225,nrES_Att,1)=0),"ATTEMPT 2 WITHOUT ATTEMPT 1",IF(AND($K225=2,$L225=""),"RETEST ROW HAS NO SCORE",IF(AND($H225="Final",$L225&lt;&gt;"",IFERROR(INDEX(nrCKfinalExamElig,MATCH($D225,rngCadetPIDs,0)),"")="No"),"FINAL EXAM AFTER FAILED FINAL PT (500.1.H)","OK")))))))</f>
        <v/>
      </c>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IF($C226="","",IF($K226="","",IF(COUNTIFS(nrES_PID,$D226,nrES_Code,$F226,nrES_Att,"&gt;"&amp;$K226,nrES_Raw,"&gt;=0")=0,"Yes","No")))</f>
        <v/>
      </c>
      <c r="Q226" s="17">
        <f>IF($C226="","",IF($L226="","",IF(AND($K226=1,ISNUMBER($L226),$L226&lt;$J226,COUNTIFS(nrES_PID,$D226,nrES_Code,$F226,nrES_Att,2,nrES_Raw,"&gt;=0")=0),"Yes","No")))</f>
        <v/>
      </c>
      <c r="R226" s="17">
        <f>IF($C226="","",IF($L226="","",IF(AND($K226=2,ISNUMBER($L226),$L226&lt;$J226),"Yes","No")))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OR($C226="",$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RANGE",IF(COUNTIF(nrES_RecID,$B226)&gt;1,"DUPLICATE RECORD",IF(AND($K226=2,COUNTIFS(nrES_PID,$D226,nrES_Code,$F226,nrES_Att,1)=0),"ATTEMPT 2 WITHOUT ATTEMPT 1",IF(AND($K226=2,$L226=""),"RETEST ROW HAS NO SCORE",IF(AND($H226="Final",$L226&lt;&gt;"",IFERROR(INDEX(nrCKfinalExamElig,MATCH($D226,rngCadetPIDs,0)),"")="No"),"FINAL EXAM AFTER FAILED FINAL PT (500.1.H)","OK")))))))</f>
        <v/>
      </c>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IF($C227="","",IF($K227="","",IF(COUNTIFS(nrES_PID,$D227,nrES_Code,$F227,nrES_Att,"&gt;"&amp;$K227,nrES_Raw,"&gt;=0")=0,"Yes","No")))</f>
        <v/>
      </c>
      <c r="Q227" s="17">
        <f>IF($C227="","",IF($L227="","",IF(AND($K227=1,ISNUMBER($L227),$L227&lt;$J227,COUNTIFS(nrES_PID,$D227,nrES_Code,$F227,nrES_Att,2,nrES_Raw,"&gt;=0")=0),"Yes","No")))</f>
        <v/>
      </c>
      <c r="R227" s="17">
        <f>IF($C227="","",IF($L227="","",IF(AND($K227=2,ISNUMBER($L227),$L227&lt;$J227),"Yes","No")))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OR($C227="",$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RANGE",IF(COUNTIF(nrES_RecID,$B227)&gt;1,"DUPLICATE RECORD",IF(AND($K227=2,COUNTIFS(nrES_PID,$D227,nrES_Code,$F227,nrES_Att,1)=0),"ATTEMPT 2 WITHOUT ATTEMPT 1",IF(AND($K227=2,$L227=""),"RETEST ROW HAS NO SCORE",IF(AND($H227="Final",$L227&lt;&gt;"",IFERROR(INDEX(nrCKfinalExamElig,MATCH($D227,rngCadetPIDs,0)),"")="No"),"FINAL EXAM AFTER FAILED FINAL PT (500.1.H)","OK")))))))</f>
        <v/>
      </c>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IF($C228="","",IF($K228="","",IF(COUNTIFS(nrES_PID,$D228,nrES_Code,$F228,nrES_Att,"&gt;"&amp;$K228,nrES_Raw,"&gt;=0")=0,"Yes","No")))</f>
        <v/>
      </c>
      <c r="Q228" s="17">
        <f>IF($C228="","",IF($L228="","",IF(AND($K228=1,ISNUMBER($L228),$L228&lt;$J228,COUNTIFS(nrES_PID,$D228,nrES_Code,$F228,nrES_Att,2,nrES_Raw,"&gt;=0")=0),"Yes","No")))</f>
        <v/>
      </c>
      <c r="R228" s="17">
        <f>IF($C228="","",IF($L228="","",IF(AND($K228=2,ISNUMBER($L228),$L228&lt;$J228),"Yes","No")))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OR($C228="",$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RANGE",IF(COUNTIF(nrES_RecID,$B228)&gt;1,"DUPLICATE RECORD",IF(AND($K228=2,COUNTIFS(nrES_PID,$D228,nrES_Code,$F228,nrES_Att,1)=0),"ATTEMPT 2 WITHOUT ATTEMPT 1",IF(AND($K228=2,$L228=""),"RETEST ROW HAS NO SCORE",IF(AND($H228="Final",$L228&lt;&gt;"",IFERROR(INDEX(nrCKfinalExamElig,MATCH($D228,rngCadetPIDs,0)),"")="No"),"FINAL EXAM AFTER FAILED FINAL PT (500.1.H)","OK")))))))</f>
        <v/>
      </c>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IF($C229="","",IF($K229="","",IF(COUNTIFS(nrES_PID,$D229,nrES_Code,$F229,nrES_Att,"&gt;"&amp;$K229,nrES_Raw,"&gt;=0")=0,"Yes","No")))</f>
        <v/>
      </c>
      <c r="Q229" s="17">
        <f>IF($C229="","",IF($L229="","",IF(AND($K229=1,ISNUMBER($L229),$L229&lt;$J229,COUNTIFS(nrES_PID,$D229,nrES_Code,$F229,nrES_Att,2,nrES_Raw,"&gt;=0")=0),"Yes","No")))</f>
        <v/>
      </c>
      <c r="R229" s="17">
        <f>IF($C229="","",IF($L229="","",IF(AND($K229=2,ISNUMBER($L229),$L229&lt;$J229),"Yes","No")))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OR($C229="",$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RANGE",IF(COUNTIF(nrES_RecID,$B229)&gt;1,"DUPLICATE RECORD",IF(AND($K229=2,COUNTIFS(nrES_PID,$D229,nrES_Code,$F229,nrES_Att,1)=0),"ATTEMPT 2 WITHOUT ATTEMPT 1",IF(AND($K229=2,$L229=""),"RETEST ROW HAS NO SCORE",IF(AND($H229="Final",$L229&lt;&gt;"",IFERROR(INDEX(nrCKfinalExamElig,MATCH($D229,rngCadetPIDs,0)),"")="No"),"FINAL EXAM AFTER FAILED FINAL PT (500.1.H)","OK")))))))</f>
        <v/>
      </c>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IF($C230="","",IF($K230="","",IF(COUNTIFS(nrES_PID,$D230,nrES_Code,$F230,nrES_Att,"&gt;"&amp;$K230,nrES_Raw,"&gt;=0")=0,"Yes","No")))</f>
        <v/>
      </c>
      <c r="Q230" s="17">
        <f>IF($C230="","",IF($L230="","",IF(AND($K230=1,ISNUMBER($L230),$L230&lt;$J230,COUNTIFS(nrES_PID,$D230,nrES_Code,$F230,nrES_Att,2,nrES_Raw,"&gt;=0")=0),"Yes","No")))</f>
        <v/>
      </c>
      <c r="R230" s="17">
        <f>IF($C230="","",IF($L230="","",IF(AND($K230=2,ISNUMBER($L230),$L230&lt;$J230),"Yes","No")))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OR($C230="",$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RANGE",IF(COUNTIF(nrES_RecID,$B230)&gt;1,"DUPLICATE RECORD",IF(AND($K230=2,COUNTIFS(nrES_PID,$D230,nrES_Code,$F230,nrES_Att,1)=0),"ATTEMPT 2 WITHOUT ATTEMPT 1",IF(AND($K230=2,$L230=""),"RETEST ROW HAS NO SCORE",IF(AND($H230="Final",$L230&lt;&gt;"",IFERROR(INDEX(nrCKfinalExamElig,MATCH($D230,rngCadetPIDs,0)),"")="No"),"FINAL EXAM AFTER FAILED FINAL PT (500.1.H)","OK")))))))</f>
        <v/>
      </c>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IF($C231="","",IF($K231="","",IF(COUNTIFS(nrES_PID,$D231,nrES_Code,$F231,nrES_Att,"&gt;"&amp;$K231,nrES_Raw,"&gt;=0")=0,"Yes","No")))</f>
        <v/>
      </c>
      <c r="Q231" s="17">
        <f>IF($C231="","",IF($L231="","",IF(AND($K231=1,ISNUMBER($L231),$L231&lt;$J231,COUNTIFS(nrES_PID,$D231,nrES_Code,$F231,nrES_Att,2,nrES_Raw,"&gt;=0")=0),"Yes","No")))</f>
        <v/>
      </c>
      <c r="R231" s="17">
        <f>IF($C231="","",IF($L231="","",IF(AND($K231=2,ISNUMBER($L231),$L231&lt;$J231),"Yes","No")))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OR($C231="",$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RANGE",IF(COUNTIF(nrES_RecID,$B231)&gt;1,"DUPLICATE RECORD",IF(AND($K231=2,COUNTIFS(nrES_PID,$D231,nrES_Code,$F231,nrES_Att,1)=0),"ATTEMPT 2 WITHOUT ATTEMPT 1",IF(AND($K231=2,$L231=""),"RETEST ROW HAS NO SCORE",IF(AND($H231="Final",$L231&lt;&gt;"",IFERROR(INDEX(nrCKfinalExamElig,MATCH($D231,rngCadetPIDs,0)),"")="No"),"FINAL EXAM AFTER FAILED FINAL PT (500.1.H)","OK")))))))</f>
        <v/>
      </c>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IF($C232="","",IF($K232="","",IF(COUNTIFS(nrES_PID,$D232,nrES_Code,$F232,nrES_Att,"&gt;"&amp;$K232,nrES_Raw,"&gt;=0")=0,"Yes","No")))</f>
        <v/>
      </c>
      <c r="Q232" s="17">
        <f>IF($C232="","",IF($L232="","",IF(AND($K232=1,ISNUMBER($L232),$L232&lt;$J232,COUNTIFS(nrES_PID,$D232,nrES_Code,$F232,nrES_Att,2,nrES_Raw,"&gt;=0")=0),"Yes","No")))</f>
        <v/>
      </c>
      <c r="R232" s="17">
        <f>IF($C232="","",IF($L232="","",IF(AND($K232=2,ISNUMBER($L232),$L232&lt;$J232),"Yes","No")))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OR($C232="",$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RANGE",IF(COUNTIF(nrES_RecID,$B232)&gt;1,"DUPLICATE RECORD",IF(AND($K232=2,COUNTIFS(nrES_PID,$D232,nrES_Code,$F232,nrES_Att,1)=0),"ATTEMPT 2 WITHOUT ATTEMPT 1",IF(AND($K232=2,$L232=""),"RETEST ROW HAS NO SCORE",IF(AND($H232="Final",$L232&lt;&gt;"",IFERROR(INDEX(nrCKfinalExamElig,MATCH($D232,rngCadetPIDs,0)),"")="No"),"FINAL EXAM AFTER FAILED FINAL PT (500.1.H)","OK")))))))</f>
        <v/>
      </c>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IF($C233="","",IF($K233="","",IF(COUNTIFS(nrES_PID,$D233,nrES_Code,$F233,nrES_Att,"&gt;"&amp;$K233,nrES_Raw,"&gt;=0")=0,"Yes","No")))</f>
        <v/>
      </c>
      <c r="Q233" s="17">
        <f>IF($C233="","",IF($L233="","",IF(AND($K233=1,ISNUMBER($L233),$L233&lt;$J233,COUNTIFS(nrES_PID,$D233,nrES_Code,$F233,nrES_Att,2,nrES_Raw,"&gt;=0")=0),"Yes","No")))</f>
        <v/>
      </c>
      <c r="R233" s="17">
        <f>IF($C233="","",IF($L233="","",IF(AND($K233=2,ISNUMBER($L233),$L233&lt;$J233),"Yes","No")))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OR($C233="",$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RANGE",IF(COUNTIF(nrES_RecID,$B233)&gt;1,"DUPLICATE RECORD",IF(AND($K233=2,COUNTIFS(nrES_PID,$D233,nrES_Code,$F233,nrES_Att,1)=0),"ATTEMPT 2 WITHOUT ATTEMPT 1",IF(AND($K233=2,$L233=""),"RETEST ROW HAS NO SCORE",IF(AND($H233="Final",$L233&lt;&gt;"",IFERROR(INDEX(nrCKfinalExamElig,MATCH($D233,rngCadetPIDs,0)),"")="No"),"FINAL EXAM AFTER FAILED FINAL PT (500.1.H)","OK")))))))</f>
        <v/>
      </c>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IF($C234="","",IF($K234="","",IF(COUNTIFS(nrES_PID,$D234,nrES_Code,$F234,nrES_Att,"&gt;"&amp;$K234,nrES_Raw,"&gt;=0")=0,"Yes","No")))</f>
        <v/>
      </c>
      <c r="Q234" s="17">
        <f>IF($C234="","",IF($L234="","",IF(AND($K234=1,ISNUMBER($L234),$L234&lt;$J234,COUNTIFS(nrES_PID,$D234,nrES_Code,$F234,nrES_Att,2,nrES_Raw,"&gt;=0")=0),"Yes","No")))</f>
        <v/>
      </c>
      <c r="R234" s="17">
        <f>IF($C234="","",IF($L234="","",IF(AND($K234=2,ISNUMBER($L234),$L234&lt;$J234),"Yes","No")))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OR($C234="",$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RANGE",IF(COUNTIF(nrES_RecID,$B234)&gt;1,"DUPLICATE RECORD",IF(AND($K234=2,COUNTIFS(nrES_PID,$D234,nrES_Code,$F234,nrES_Att,1)=0),"ATTEMPT 2 WITHOUT ATTEMPT 1",IF(AND($K234=2,$L234=""),"RETEST ROW HAS NO SCORE",IF(AND($H234="Final",$L234&lt;&gt;"",IFERROR(INDEX(nrCKfinalExamElig,MATCH($D234,rngCadetPIDs,0)),"")="No"),"FINAL EXAM AFTER FAILED FINAL PT (500.1.H)","OK")))))))</f>
        <v/>
      </c>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IF($C235="","",IF($K235="","",IF(COUNTIFS(nrES_PID,$D235,nrES_Code,$F235,nrES_Att,"&gt;"&amp;$K235,nrES_Raw,"&gt;=0")=0,"Yes","No")))</f>
        <v/>
      </c>
      <c r="Q235" s="17">
        <f>IF($C235="","",IF($L235="","",IF(AND($K235=1,ISNUMBER($L235),$L235&lt;$J235,COUNTIFS(nrES_PID,$D235,nrES_Code,$F235,nrES_Att,2,nrES_Raw,"&gt;=0")=0),"Yes","No")))</f>
        <v/>
      </c>
      <c r="R235" s="17">
        <f>IF($C235="","",IF($L235="","",IF(AND($K235=2,ISNUMBER($L235),$L235&lt;$J235),"Yes","No")))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OR($C235="",$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RANGE",IF(COUNTIF(nrES_RecID,$B235)&gt;1,"DUPLICATE RECORD",IF(AND($K235=2,COUNTIFS(nrES_PID,$D235,nrES_Code,$F235,nrES_Att,1)=0),"ATTEMPT 2 WITHOUT ATTEMPT 1",IF(AND($K235=2,$L235=""),"RETEST ROW HAS NO SCORE",IF(AND($H235="Final",$L235&lt;&gt;"",IFERROR(INDEX(nrCKfinalExamElig,MATCH($D235,rngCadetPIDs,0)),"")="No"),"FINAL EXAM AFTER FAILED FINAL PT (500.1.H)","OK")))))))</f>
        <v/>
      </c>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IF($C236="","",IF($K236="","",IF(COUNTIFS(nrES_PID,$D236,nrES_Code,$F236,nrES_Att,"&gt;"&amp;$K236,nrES_Raw,"&gt;=0")=0,"Yes","No")))</f>
        <v/>
      </c>
      <c r="Q236" s="17">
        <f>IF($C236="","",IF($L236="","",IF(AND($K236=1,ISNUMBER($L236),$L236&lt;$J236,COUNTIFS(nrES_PID,$D236,nrES_Code,$F236,nrES_Att,2,nrES_Raw,"&gt;=0")=0),"Yes","No")))</f>
        <v/>
      </c>
      <c r="R236" s="17">
        <f>IF($C236="","",IF($L236="","",IF(AND($K236=2,ISNUMBER($L236),$L236&lt;$J236),"Yes","No")))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OR($C236="",$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RANGE",IF(COUNTIF(nrES_RecID,$B236)&gt;1,"DUPLICATE RECORD",IF(AND($K236=2,COUNTIFS(nrES_PID,$D236,nrES_Code,$F236,nrES_Att,1)=0),"ATTEMPT 2 WITHOUT ATTEMPT 1",IF(AND($K236=2,$L236=""),"RETEST ROW HAS NO SCORE",IF(AND($H236="Final",$L236&lt;&gt;"",IFERROR(INDEX(nrCKfinalExamElig,MATCH($D236,rngCadetPIDs,0)),"")="No"),"FINAL EXAM AFTER FAILED FINAL PT (500.1.H)","OK")))))))</f>
        <v/>
      </c>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IF($C237="","",IF($K237="","",IF(COUNTIFS(nrES_PID,$D237,nrES_Code,$F237,nrES_Att,"&gt;"&amp;$K237,nrES_Raw,"&gt;=0")=0,"Yes","No")))</f>
        <v/>
      </c>
      <c r="Q237" s="17">
        <f>IF($C237="","",IF($L237="","",IF(AND($K237=1,ISNUMBER($L237),$L237&lt;$J237,COUNTIFS(nrES_PID,$D237,nrES_Code,$F237,nrES_Att,2,nrES_Raw,"&gt;=0")=0),"Yes","No")))</f>
        <v/>
      </c>
      <c r="R237" s="17">
        <f>IF($C237="","",IF($L237="","",IF(AND($K237=2,ISNUMBER($L237),$L237&lt;$J237),"Yes","No")))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OR($C237="",$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RANGE",IF(COUNTIF(nrES_RecID,$B237)&gt;1,"DUPLICATE RECORD",IF(AND($K237=2,COUNTIFS(nrES_PID,$D237,nrES_Code,$F237,nrES_Att,1)=0),"ATTEMPT 2 WITHOUT ATTEMPT 1",IF(AND($K237=2,$L237=""),"RETEST ROW HAS NO SCORE",IF(AND($H237="Final",$L237&lt;&gt;"",IFERROR(INDEX(nrCKfinalExamElig,MATCH($D237,rngCadetPIDs,0)),"")="No"),"FINAL EXAM AFTER FAILED FINAL PT (500.1.H)","OK")))))))</f>
        <v/>
      </c>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IF($C238="","",IF($K238="","",IF(COUNTIFS(nrES_PID,$D238,nrES_Code,$F238,nrES_Att,"&gt;"&amp;$K238,nrES_Raw,"&gt;=0")=0,"Yes","No")))</f>
        <v/>
      </c>
      <c r="Q238" s="17">
        <f>IF($C238="","",IF($L238="","",IF(AND($K238=1,ISNUMBER($L238),$L238&lt;$J238,COUNTIFS(nrES_PID,$D238,nrES_Code,$F238,nrES_Att,2,nrES_Raw,"&gt;=0")=0),"Yes","No")))</f>
        <v/>
      </c>
      <c r="R238" s="17">
        <f>IF($C238="","",IF($L238="","",IF(AND($K238=2,ISNUMBER($L238),$L238&lt;$J238),"Yes","No")))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OR($C238="",$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RANGE",IF(COUNTIF(nrES_RecID,$B238)&gt;1,"DUPLICATE RECORD",IF(AND($K238=2,COUNTIFS(nrES_PID,$D238,nrES_Code,$F238,nrES_Att,1)=0),"ATTEMPT 2 WITHOUT ATTEMPT 1",IF(AND($K238=2,$L238=""),"RETEST ROW HAS NO SCORE",IF(AND($H238="Final",$L238&lt;&gt;"",IFERROR(INDEX(nrCKfinalExamElig,MATCH($D238,rngCadetPIDs,0)),"")="No"),"FINAL EXAM AFTER FAILED FINAL PT (500.1.H)","OK")))))))</f>
        <v/>
      </c>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IF($C239="","",IF($K239="","",IF(COUNTIFS(nrES_PID,$D239,nrES_Code,$F239,nrES_Att,"&gt;"&amp;$K239,nrES_Raw,"&gt;=0")=0,"Yes","No")))</f>
        <v/>
      </c>
      <c r="Q239" s="17">
        <f>IF($C239="","",IF($L239="","",IF(AND($K239=1,ISNUMBER($L239),$L239&lt;$J239,COUNTIFS(nrES_PID,$D239,nrES_Code,$F239,nrES_Att,2,nrES_Raw,"&gt;=0")=0),"Yes","No")))</f>
        <v/>
      </c>
      <c r="R239" s="17">
        <f>IF($C239="","",IF($L239="","",IF(AND($K239=2,ISNUMBER($L239),$L239&lt;$J239),"Yes","No")))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OR($C239="",$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RANGE",IF(COUNTIF(nrES_RecID,$B239)&gt;1,"DUPLICATE RECORD",IF(AND($K239=2,COUNTIFS(nrES_PID,$D239,nrES_Code,$F239,nrES_Att,1)=0),"ATTEMPT 2 WITHOUT ATTEMPT 1",IF(AND($K239=2,$L239=""),"RETEST ROW HAS NO SCORE",IF(AND($H239="Final",$L239&lt;&gt;"",IFERROR(INDEX(nrCKfinalExamElig,MATCH($D239,rngCadetPIDs,0)),"")="No"),"FINAL EXAM AFTER FAILED FINAL PT (500.1.H)","OK")))))))</f>
        <v/>
      </c>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IF($C240="","",IF($K240="","",IF(COUNTIFS(nrES_PID,$D240,nrES_Code,$F240,nrES_Att,"&gt;"&amp;$K240,nrES_Raw,"&gt;=0")=0,"Yes","No")))</f>
        <v/>
      </c>
      <c r="Q240" s="17">
        <f>IF($C240="","",IF($L240="","",IF(AND($K240=1,ISNUMBER($L240),$L240&lt;$J240,COUNTIFS(nrES_PID,$D240,nrES_Code,$F240,nrES_Att,2,nrES_Raw,"&gt;=0")=0),"Yes","No")))</f>
        <v/>
      </c>
      <c r="R240" s="17">
        <f>IF($C240="","",IF($L240="","",IF(AND($K240=2,ISNUMBER($L240),$L240&lt;$J240),"Yes","No")))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OR($C240="",$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RANGE",IF(COUNTIF(nrES_RecID,$B240)&gt;1,"DUPLICATE RECORD",IF(AND($K240=2,COUNTIFS(nrES_PID,$D240,nrES_Code,$F240,nrES_Att,1)=0),"ATTEMPT 2 WITHOUT ATTEMPT 1",IF(AND($K240=2,$L240=""),"RETEST ROW HAS NO SCORE",IF(AND($H240="Final",$L240&lt;&gt;"",IFERROR(INDEX(nrCKfinalExamElig,MATCH($D240,rngCadetPIDs,0)),"")="No"),"FINAL EXAM AFTER FAILED FINAL PT (500.1.H)","OK")))))))</f>
        <v/>
      </c>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IF($C241="","",IF($K241="","",IF(COUNTIFS(nrES_PID,$D241,nrES_Code,$F241,nrES_Att,"&gt;"&amp;$K241,nrES_Raw,"&gt;=0")=0,"Yes","No")))</f>
        <v/>
      </c>
      <c r="Q241" s="17">
        <f>IF($C241="","",IF($L241="","",IF(AND($K241=1,ISNUMBER($L241),$L241&lt;$J241,COUNTIFS(nrES_PID,$D241,nrES_Code,$F241,nrES_Att,2,nrES_Raw,"&gt;=0")=0),"Yes","No")))</f>
        <v/>
      </c>
      <c r="R241" s="17">
        <f>IF($C241="","",IF($L241="","",IF(AND($K241=2,ISNUMBER($L241),$L241&lt;$J241),"Yes","No")))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OR($C241="",$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RANGE",IF(COUNTIF(nrES_RecID,$B241)&gt;1,"DUPLICATE RECORD",IF(AND($K241=2,COUNTIFS(nrES_PID,$D241,nrES_Code,$F241,nrES_Att,1)=0),"ATTEMPT 2 WITHOUT ATTEMPT 1",IF(AND($K241=2,$L241=""),"RETEST ROW HAS NO SCORE",IF(AND($H241="Final",$L241&lt;&gt;"",IFERROR(INDEX(nrCKfinalExamElig,MATCH($D241,rngCadetPIDs,0)),"")="No"),"FINAL EXAM AFTER FAILED FINAL PT (500.1.H)","OK")))))))</f>
        <v/>
      </c>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IF($C242="","",IF($K242="","",IF(COUNTIFS(nrES_PID,$D242,nrES_Code,$F242,nrES_Att,"&gt;"&amp;$K242,nrES_Raw,"&gt;=0")=0,"Yes","No")))</f>
        <v/>
      </c>
      <c r="Q242" s="17">
        <f>IF($C242="","",IF($L242="","",IF(AND($K242=1,ISNUMBER($L242),$L242&lt;$J242,COUNTIFS(nrES_PID,$D242,nrES_Code,$F242,nrES_Att,2,nrES_Raw,"&gt;=0")=0),"Yes","No")))</f>
        <v/>
      </c>
      <c r="R242" s="17">
        <f>IF($C242="","",IF($L242="","",IF(AND($K242=2,ISNUMBER($L242),$L242&lt;$J242),"Yes","No")))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OR($C242="",$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RANGE",IF(COUNTIF(nrES_RecID,$B242)&gt;1,"DUPLICATE RECORD",IF(AND($K242=2,COUNTIFS(nrES_PID,$D242,nrES_Code,$F242,nrES_Att,1)=0),"ATTEMPT 2 WITHOUT ATTEMPT 1",IF(AND($K242=2,$L242=""),"RETEST ROW HAS NO SCORE",IF(AND($H242="Final",$L242&lt;&gt;"",IFERROR(INDEX(nrCKfinalExamElig,MATCH($D242,rngCadetPIDs,0)),"")="No"),"FINAL EXAM AFTER FAILED FINAL PT (500.1.H)","OK")))))))</f>
        <v/>
      </c>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IF($C243="","",IF($K243="","",IF(COUNTIFS(nrES_PID,$D243,nrES_Code,$F243,nrES_Att,"&gt;"&amp;$K243,nrES_Raw,"&gt;=0")=0,"Yes","No")))</f>
        <v/>
      </c>
      <c r="Q243" s="17">
        <f>IF($C243="","",IF($L243="","",IF(AND($K243=1,ISNUMBER($L243),$L243&lt;$J243,COUNTIFS(nrES_PID,$D243,nrES_Code,$F243,nrES_Att,2,nrES_Raw,"&gt;=0")=0),"Yes","No")))</f>
        <v/>
      </c>
      <c r="R243" s="17">
        <f>IF($C243="","",IF($L243="","",IF(AND($K243=2,ISNUMBER($L243),$L243&lt;$J243),"Yes","No")))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OR($C243="",$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RANGE",IF(COUNTIF(nrES_RecID,$B243)&gt;1,"DUPLICATE RECORD",IF(AND($K243=2,COUNTIFS(nrES_PID,$D243,nrES_Code,$F243,nrES_Att,1)=0),"ATTEMPT 2 WITHOUT ATTEMPT 1",IF(AND($K243=2,$L243=""),"RETEST ROW HAS NO SCORE",IF(AND($H243="Final",$L243&lt;&gt;"",IFERROR(INDEX(nrCKfinalExamElig,MATCH($D243,rngCadetPIDs,0)),"")="No"),"FINAL EXAM AFTER FAILED FINAL PT (500.1.H)","OK")))))))</f>
        <v/>
      </c>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IF($C244="","",IF($K244="","",IF(COUNTIFS(nrES_PID,$D244,nrES_Code,$F244,nrES_Att,"&gt;"&amp;$K244,nrES_Raw,"&gt;=0")=0,"Yes","No")))</f>
        <v/>
      </c>
      <c r="Q244" s="17">
        <f>IF($C244="","",IF($L244="","",IF(AND($K244=1,ISNUMBER($L244),$L244&lt;$J244,COUNTIFS(nrES_PID,$D244,nrES_Code,$F244,nrES_Att,2,nrES_Raw,"&gt;=0")=0),"Yes","No")))</f>
        <v/>
      </c>
      <c r="R244" s="17">
        <f>IF($C244="","",IF($L244="","",IF(AND($K244=2,ISNUMBER($L244),$L244&lt;$J244),"Yes","No")))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OR($C244="",$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RANGE",IF(COUNTIF(nrES_RecID,$B244)&gt;1,"DUPLICATE RECORD",IF(AND($K244=2,COUNTIFS(nrES_PID,$D244,nrES_Code,$F244,nrES_Att,1)=0),"ATTEMPT 2 WITHOUT ATTEMPT 1",IF(AND($K244=2,$L244=""),"RETEST ROW HAS NO SCORE",IF(AND($H244="Final",$L244&lt;&gt;"",IFERROR(INDEX(nrCKfinalExamElig,MATCH($D244,rngCadetPIDs,0)),"")="No"),"FINAL EXAM AFTER FAILED FINAL PT (500.1.H)","OK")))))))</f>
        <v/>
      </c>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IF($C245="","",IF($K245="","",IF(COUNTIFS(nrES_PID,$D245,nrES_Code,$F245,nrES_Att,"&gt;"&amp;$K245,nrES_Raw,"&gt;=0")=0,"Yes","No")))</f>
        <v/>
      </c>
      <c r="Q245" s="17">
        <f>IF($C245="","",IF($L245="","",IF(AND($K245=1,ISNUMBER($L245),$L245&lt;$J245,COUNTIFS(nrES_PID,$D245,nrES_Code,$F245,nrES_Att,2,nrES_Raw,"&gt;=0")=0),"Yes","No")))</f>
        <v/>
      </c>
      <c r="R245" s="17">
        <f>IF($C245="","",IF($L245="","",IF(AND($K245=2,ISNUMBER($L245),$L245&lt;$J245),"Yes","No")))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OR($C245="",$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RANGE",IF(COUNTIF(nrES_RecID,$B245)&gt;1,"DUPLICATE RECORD",IF(AND($K245=2,COUNTIFS(nrES_PID,$D245,nrES_Code,$F245,nrES_Att,1)=0),"ATTEMPT 2 WITHOUT ATTEMPT 1",IF(AND($K245=2,$L245=""),"RETEST ROW HAS NO SCORE",IF(AND($H245="Final",$L245&lt;&gt;"",IFERROR(INDEX(nrCKfinalExamElig,MATCH($D245,rngCadetPIDs,0)),"")="No"),"FINAL EXAM AFTER FAILED FINAL PT (500.1.H)","OK")))))))</f>
        <v/>
      </c>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IF($C246="","",IF($K246="","",IF(COUNTIFS(nrES_PID,$D246,nrES_Code,$F246,nrES_Att,"&gt;"&amp;$K246,nrES_Raw,"&gt;=0")=0,"Yes","No")))</f>
        <v/>
      </c>
      <c r="Q246" s="17">
        <f>IF($C246="","",IF($L246="","",IF(AND($K246=1,ISNUMBER($L246),$L246&lt;$J246,COUNTIFS(nrES_PID,$D246,nrES_Code,$F246,nrES_Att,2,nrES_Raw,"&gt;=0")=0),"Yes","No")))</f>
        <v/>
      </c>
      <c r="R246" s="17">
        <f>IF($C246="","",IF($L246="","",IF(AND($K246=2,ISNUMBER($L246),$L246&lt;$J246),"Yes","No")))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OR($C246="",$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RANGE",IF(COUNTIF(nrES_RecID,$B246)&gt;1,"DUPLICATE RECORD",IF(AND($K246=2,COUNTIFS(nrES_PID,$D246,nrES_Code,$F246,nrES_Att,1)=0),"ATTEMPT 2 WITHOUT ATTEMPT 1",IF(AND($K246=2,$L246=""),"RETEST ROW HAS NO SCORE",IF(AND($H246="Final",$L246&lt;&gt;"",IFERROR(INDEX(nrCKfinalExamElig,MATCH($D246,rngCadetPIDs,0)),"")="No"),"FINAL EXAM AFTER FAILED FINAL PT (500.1.H)","OK")))))))</f>
        <v/>
      </c>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IF($C247="","",IF($K247="","",IF(COUNTIFS(nrES_PID,$D247,nrES_Code,$F247,nrES_Att,"&gt;"&amp;$K247,nrES_Raw,"&gt;=0")=0,"Yes","No")))</f>
        <v/>
      </c>
      <c r="Q247" s="17">
        <f>IF($C247="","",IF($L247="","",IF(AND($K247=1,ISNUMBER($L247),$L247&lt;$J247,COUNTIFS(nrES_PID,$D247,nrES_Code,$F247,nrES_Att,2,nrES_Raw,"&gt;=0")=0),"Yes","No")))</f>
        <v/>
      </c>
      <c r="R247" s="17">
        <f>IF($C247="","",IF($L247="","",IF(AND($K247=2,ISNUMBER($L247),$L247&lt;$J247),"Yes","No")))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OR($C247="",$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RANGE",IF(COUNTIF(nrES_RecID,$B247)&gt;1,"DUPLICATE RECORD",IF(AND($K247=2,COUNTIFS(nrES_PID,$D247,nrES_Code,$F247,nrES_Att,1)=0),"ATTEMPT 2 WITHOUT ATTEMPT 1",IF(AND($K247=2,$L247=""),"RETEST ROW HAS NO SCORE",IF(AND($H247="Final",$L247&lt;&gt;"",IFERROR(INDEX(nrCKfinalExamElig,MATCH($D247,rngCadetPIDs,0)),"")="No"),"FINAL EXAM AFTER FAILED FINAL PT (500.1.H)","OK")))))))</f>
        <v/>
      </c>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IF($C248="","",IF($K248="","",IF(COUNTIFS(nrES_PID,$D248,nrES_Code,$F248,nrES_Att,"&gt;"&amp;$K248,nrES_Raw,"&gt;=0")=0,"Yes","No")))</f>
        <v/>
      </c>
      <c r="Q248" s="17">
        <f>IF($C248="","",IF($L248="","",IF(AND($K248=1,ISNUMBER($L248),$L248&lt;$J248,COUNTIFS(nrES_PID,$D248,nrES_Code,$F248,nrES_Att,2,nrES_Raw,"&gt;=0")=0),"Yes","No")))</f>
        <v/>
      </c>
      <c r="R248" s="17">
        <f>IF($C248="","",IF($L248="","",IF(AND($K248=2,ISNUMBER($L248),$L248&lt;$J248),"Yes","No")))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OR($C248="",$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RANGE",IF(COUNTIF(nrES_RecID,$B248)&gt;1,"DUPLICATE RECORD",IF(AND($K248=2,COUNTIFS(nrES_PID,$D248,nrES_Code,$F248,nrES_Att,1)=0),"ATTEMPT 2 WITHOUT ATTEMPT 1",IF(AND($K248=2,$L248=""),"RETEST ROW HAS NO SCORE",IF(AND($H248="Final",$L248&lt;&gt;"",IFERROR(INDEX(nrCKfinalExamElig,MATCH($D248,rngCadetPIDs,0)),"")="No"),"FINAL EXAM AFTER FAILED FINAL PT (500.1.H)","OK")))))))</f>
        <v/>
      </c>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IF($C249="","",IF($K249="","",IF(COUNTIFS(nrES_PID,$D249,nrES_Code,$F249,nrES_Att,"&gt;"&amp;$K249,nrES_Raw,"&gt;=0")=0,"Yes","No")))</f>
        <v/>
      </c>
      <c r="Q249" s="17">
        <f>IF($C249="","",IF($L249="","",IF(AND($K249=1,ISNUMBER($L249),$L249&lt;$J249,COUNTIFS(nrES_PID,$D249,nrES_Code,$F249,nrES_Att,2,nrES_Raw,"&gt;=0")=0),"Yes","No")))</f>
        <v/>
      </c>
      <c r="R249" s="17">
        <f>IF($C249="","",IF($L249="","",IF(AND($K249=2,ISNUMBER($L249),$L249&lt;$J249),"Yes","No")))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OR($C249="",$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RANGE",IF(COUNTIF(nrES_RecID,$B249)&gt;1,"DUPLICATE RECORD",IF(AND($K249=2,COUNTIFS(nrES_PID,$D249,nrES_Code,$F249,nrES_Att,1)=0),"ATTEMPT 2 WITHOUT ATTEMPT 1",IF(AND($K249=2,$L249=""),"RETEST ROW HAS NO SCORE",IF(AND($H249="Final",$L249&lt;&gt;"",IFERROR(INDEX(nrCKfinalExamElig,MATCH($D249,rngCadetPIDs,0)),"")="No"),"FINAL EXAM AFTER FAILED FINAL PT (500.1.H)","OK")))))))</f>
        <v/>
      </c>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IF($C250="","",IF($K250="","",IF(COUNTIFS(nrES_PID,$D250,nrES_Code,$F250,nrES_Att,"&gt;"&amp;$K250,nrES_Raw,"&gt;=0")=0,"Yes","No")))</f>
        <v/>
      </c>
      <c r="Q250" s="17">
        <f>IF($C250="","",IF($L250="","",IF(AND($K250=1,ISNUMBER($L250),$L250&lt;$J250,COUNTIFS(nrES_PID,$D250,nrES_Code,$F250,nrES_Att,2,nrES_Raw,"&gt;=0")=0),"Yes","No")))</f>
        <v/>
      </c>
      <c r="R250" s="17">
        <f>IF($C250="","",IF($L250="","",IF(AND($K250=2,ISNUMBER($L250),$L250&lt;$J250),"Yes","No")))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OR($C250="",$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RANGE",IF(COUNTIF(nrES_RecID,$B250)&gt;1,"DUPLICATE RECORD",IF(AND($K250=2,COUNTIFS(nrES_PID,$D250,nrES_Code,$F250,nrES_Att,1)=0),"ATTEMPT 2 WITHOUT ATTEMPT 1",IF(AND($K250=2,$L250=""),"RETEST ROW HAS NO SCORE",IF(AND($H250="Final",$L250&lt;&gt;"",IFERROR(INDEX(nrCKfinalExamElig,MATCH($D250,rngCadetPIDs,0)),"")="No"),"FINAL EXAM AFTER FAILED FINAL PT (500.1.H)","OK")))))))</f>
        <v/>
      </c>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IF($C251="","",IF($K251="","",IF(COUNTIFS(nrES_PID,$D251,nrES_Code,$F251,nrES_Att,"&gt;"&amp;$K251,nrES_Raw,"&gt;=0")=0,"Yes","No")))</f>
        <v/>
      </c>
      <c r="Q251" s="17">
        <f>IF($C251="","",IF($L251="","",IF(AND($K251=1,ISNUMBER($L251),$L251&lt;$J251,COUNTIFS(nrES_PID,$D251,nrES_Code,$F251,nrES_Att,2,nrES_Raw,"&gt;=0")=0),"Yes","No")))</f>
        <v/>
      </c>
      <c r="R251" s="17">
        <f>IF($C251="","",IF($L251="","",IF(AND($K251=2,ISNUMBER($L251),$L251&lt;$J251),"Yes","No")))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OR($C251="",$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RANGE",IF(COUNTIF(nrES_RecID,$B251)&gt;1,"DUPLICATE RECORD",IF(AND($K251=2,COUNTIFS(nrES_PID,$D251,nrES_Code,$F251,nrES_Att,1)=0),"ATTEMPT 2 WITHOUT ATTEMPT 1",IF(AND($K251=2,$L251=""),"RETEST ROW HAS NO SCORE",IF(AND($H251="Final",$L251&lt;&gt;"",IFERROR(INDEX(nrCKfinalExamElig,MATCH($D251,rngCadetPIDs,0)),"")="No"),"FINAL EXAM AFTER FAILED FINAL PT (500.1.H)","OK")))))))</f>
        <v/>
      </c>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IF($C252="","",IF($K252="","",IF(COUNTIFS(nrES_PID,$D252,nrES_Code,$F252,nrES_Att,"&gt;"&amp;$K252,nrES_Raw,"&gt;=0")=0,"Yes","No")))</f>
        <v/>
      </c>
      <c r="Q252" s="17">
        <f>IF($C252="","",IF($L252="","",IF(AND($K252=1,ISNUMBER($L252),$L252&lt;$J252,COUNTIFS(nrES_PID,$D252,nrES_Code,$F252,nrES_Att,2,nrES_Raw,"&gt;=0")=0),"Yes","No")))</f>
        <v/>
      </c>
      <c r="R252" s="17">
        <f>IF($C252="","",IF($L252="","",IF(AND($K252=2,ISNUMBER($L252),$L252&lt;$J252),"Yes","No")))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OR($C252="",$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RANGE",IF(COUNTIF(nrES_RecID,$B252)&gt;1,"DUPLICATE RECORD",IF(AND($K252=2,COUNTIFS(nrES_PID,$D252,nrES_Code,$F252,nrES_Att,1)=0),"ATTEMPT 2 WITHOUT ATTEMPT 1",IF(AND($K252=2,$L252=""),"RETEST ROW HAS NO SCORE",IF(AND($H252="Final",$L252&lt;&gt;"",IFERROR(INDEX(nrCKfinalExamElig,MATCH($D252,rngCadetPIDs,0)),"")="No"),"FINAL EXAM AFTER FAILED FINAL PT (500.1.H)","OK")))))))</f>
        <v/>
      </c>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IF($C253="","",IF($K253="","",IF(COUNTIFS(nrES_PID,$D253,nrES_Code,$F253,nrES_Att,"&gt;"&amp;$K253,nrES_Raw,"&gt;=0")=0,"Yes","No")))</f>
        <v/>
      </c>
      <c r="Q253" s="17">
        <f>IF($C253="","",IF($L253="","",IF(AND($K253=1,ISNUMBER($L253),$L253&lt;$J253,COUNTIFS(nrES_PID,$D253,nrES_Code,$F253,nrES_Att,2,nrES_Raw,"&gt;=0")=0),"Yes","No")))</f>
        <v/>
      </c>
      <c r="R253" s="17">
        <f>IF($C253="","",IF($L253="","",IF(AND($K253=2,ISNUMBER($L253),$L253&lt;$J253),"Yes","No")))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OR($C253="",$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RANGE",IF(COUNTIF(nrES_RecID,$B253)&gt;1,"DUPLICATE RECORD",IF(AND($K253=2,COUNTIFS(nrES_PID,$D253,nrES_Code,$F253,nrES_Att,1)=0),"ATTEMPT 2 WITHOUT ATTEMPT 1",IF(AND($K253=2,$L253=""),"RETEST ROW HAS NO SCORE",IF(AND($H253="Final",$L253&lt;&gt;"",IFERROR(INDEX(nrCKfinalExamElig,MATCH($D253,rngCadetPIDs,0)),"")="No"),"FINAL EXAM AFTER FAILED FINAL PT (500.1.H)","OK")))))))</f>
        <v/>
      </c>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IF($C254="","",IF($K254="","",IF(COUNTIFS(nrES_PID,$D254,nrES_Code,$F254,nrES_Att,"&gt;"&amp;$K254,nrES_Raw,"&gt;=0")=0,"Yes","No")))</f>
        <v/>
      </c>
      <c r="Q254" s="17">
        <f>IF($C254="","",IF($L254="","",IF(AND($K254=1,ISNUMBER($L254),$L254&lt;$J254,COUNTIFS(nrES_PID,$D254,nrES_Code,$F254,nrES_Att,2,nrES_Raw,"&gt;=0")=0),"Yes","No")))</f>
        <v/>
      </c>
      <c r="R254" s="17">
        <f>IF($C254="","",IF($L254="","",IF(AND($K254=2,ISNUMBER($L254),$L254&lt;$J254),"Yes","No")))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OR($C254="",$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RANGE",IF(COUNTIF(nrES_RecID,$B254)&gt;1,"DUPLICATE RECORD",IF(AND($K254=2,COUNTIFS(nrES_PID,$D254,nrES_Code,$F254,nrES_Att,1)=0),"ATTEMPT 2 WITHOUT ATTEMPT 1",IF(AND($K254=2,$L254=""),"RETEST ROW HAS NO SCORE",IF(AND($H254="Final",$L254&lt;&gt;"",IFERROR(INDEX(nrCKfinalExamElig,MATCH($D254,rngCadetPIDs,0)),"")="No"),"FINAL EXAM AFTER FAILED FINAL PT (500.1.H)","OK")))))))</f>
        <v/>
      </c>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IF($C255="","",IF($K255="","",IF(COUNTIFS(nrES_PID,$D255,nrES_Code,$F255,nrES_Att,"&gt;"&amp;$K255,nrES_Raw,"&gt;=0")=0,"Yes","No")))</f>
        <v/>
      </c>
      <c r="Q255" s="17">
        <f>IF($C255="","",IF($L255="","",IF(AND($K255=1,ISNUMBER($L255),$L255&lt;$J255,COUNTIFS(nrES_PID,$D255,nrES_Code,$F255,nrES_Att,2,nrES_Raw,"&gt;=0")=0),"Yes","No")))</f>
        <v/>
      </c>
      <c r="R255" s="17">
        <f>IF($C255="","",IF($L255="","",IF(AND($K255=2,ISNUMBER($L255),$L255&lt;$J255),"Yes","No")))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OR($C255="",$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RANGE",IF(COUNTIF(nrES_RecID,$B255)&gt;1,"DUPLICATE RECORD",IF(AND($K255=2,COUNTIFS(nrES_PID,$D255,nrES_Code,$F255,nrES_Att,1)=0),"ATTEMPT 2 WITHOUT ATTEMPT 1",IF(AND($K255=2,$L255=""),"RETEST ROW HAS NO SCORE",IF(AND($H255="Final",$L255&lt;&gt;"",IFERROR(INDEX(nrCKfinalExamElig,MATCH($D255,rngCadetPIDs,0)),"")="No"),"FINAL EXAM AFTER FAILED FINAL PT (500.1.H)","OK")))))))</f>
        <v/>
      </c>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IF($C256="","",IF($K256="","",IF(COUNTIFS(nrES_PID,$D256,nrES_Code,$F256,nrES_Att,"&gt;"&amp;$K256,nrES_Raw,"&gt;=0")=0,"Yes","No")))</f>
        <v/>
      </c>
      <c r="Q256" s="17">
        <f>IF($C256="","",IF($L256="","",IF(AND($K256=1,ISNUMBER($L256),$L256&lt;$J256,COUNTIFS(nrES_PID,$D256,nrES_Code,$F256,nrES_Att,2,nrES_Raw,"&gt;=0")=0),"Yes","No")))</f>
        <v/>
      </c>
      <c r="R256" s="17">
        <f>IF($C256="","",IF($L256="","",IF(AND($K256=2,ISNUMBER($L256),$L256&lt;$J256),"Yes","No")))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OR($C256="",$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RANGE",IF(COUNTIF(nrES_RecID,$B256)&gt;1,"DUPLICATE RECORD",IF(AND($K256=2,COUNTIFS(nrES_PID,$D256,nrES_Code,$F256,nrES_Att,1)=0),"ATTEMPT 2 WITHOUT ATTEMPT 1",IF(AND($K256=2,$L256=""),"RETEST ROW HAS NO SCORE",IF(AND($H256="Final",$L256&lt;&gt;"",IFERROR(INDEX(nrCKfinalExamElig,MATCH($D256,rngCadetPIDs,0)),"")="No"),"FINAL EXAM AFTER FAILED FINAL PT (500.1.H)","OK")))))))</f>
        <v/>
      </c>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IF($C257="","",IF($K257="","",IF(COUNTIFS(nrES_PID,$D257,nrES_Code,$F257,nrES_Att,"&gt;"&amp;$K257,nrES_Raw,"&gt;=0")=0,"Yes","No")))</f>
        <v/>
      </c>
      <c r="Q257" s="17">
        <f>IF($C257="","",IF($L257="","",IF(AND($K257=1,ISNUMBER($L257),$L257&lt;$J257,COUNTIFS(nrES_PID,$D257,nrES_Code,$F257,nrES_Att,2,nrES_Raw,"&gt;=0")=0),"Yes","No")))</f>
        <v/>
      </c>
      <c r="R257" s="17">
        <f>IF($C257="","",IF($L257="","",IF(AND($K257=2,ISNUMBER($L257),$L257&lt;$J257),"Yes","No")))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OR($C257="",$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RANGE",IF(COUNTIF(nrES_RecID,$B257)&gt;1,"DUPLICATE RECORD",IF(AND($K257=2,COUNTIFS(nrES_PID,$D257,nrES_Code,$F257,nrES_Att,1)=0),"ATTEMPT 2 WITHOUT ATTEMPT 1",IF(AND($K257=2,$L257=""),"RETEST ROW HAS NO SCORE",IF(AND($H257="Final",$L257&lt;&gt;"",IFERROR(INDEX(nrCKfinalExamElig,MATCH($D257,rngCadetPIDs,0)),"")="No"),"FINAL EXAM AFTER FAILED FINAL PT (500.1.H)","OK")))))))</f>
        <v/>
      </c>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IF($C258="","",IF($K258="","",IF(COUNTIFS(nrES_PID,$D258,nrES_Code,$F258,nrES_Att,"&gt;"&amp;$K258,nrES_Raw,"&gt;=0")=0,"Yes","No")))</f>
        <v/>
      </c>
      <c r="Q258" s="17">
        <f>IF($C258="","",IF($L258="","",IF(AND($K258=1,ISNUMBER($L258),$L258&lt;$J258,COUNTIFS(nrES_PID,$D258,nrES_Code,$F258,nrES_Att,2,nrES_Raw,"&gt;=0")=0),"Yes","No")))</f>
        <v/>
      </c>
      <c r="R258" s="17">
        <f>IF($C258="","",IF($L258="","",IF(AND($K258=2,ISNUMBER($L258),$L258&lt;$J258),"Yes","No")))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OR($C258="",$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RANGE",IF(COUNTIF(nrES_RecID,$B258)&gt;1,"DUPLICATE RECORD",IF(AND($K258=2,COUNTIFS(nrES_PID,$D258,nrES_Code,$F258,nrES_Att,1)=0),"ATTEMPT 2 WITHOUT ATTEMPT 1",IF(AND($K258=2,$L258=""),"RETEST ROW HAS NO SCORE",IF(AND($H258="Final",$L258&lt;&gt;"",IFERROR(INDEX(nrCKfinalExamElig,MATCH($D258,rngCadetPIDs,0)),"")="No"),"FINAL EXAM AFTER FAILED FINAL PT (500.1.H)","OK")))))))</f>
        <v/>
      </c>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IF($C259="","",IF($K259="","",IF(COUNTIFS(nrES_PID,$D259,nrES_Code,$F259,nrES_Att,"&gt;"&amp;$K259,nrES_Raw,"&gt;=0")=0,"Yes","No")))</f>
        <v/>
      </c>
      <c r="Q259" s="17">
        <f>IF($C259="","",IF($L259="","",IF(AND($K259=1,ISNUMBER($L259),$L259&lt;$J259,COUNTIFS(nrES_PID,$D259,nrES_Code,$F259,nrES_Att,2,nrES_Raw,"&gt;=0")=0),"Yes","No")))</f>
        <v/>
      </c>
      <c r="R259" s="17">
        <f>IF($C259="","",IF($L259="","",IF(AND($K259=2,ISNUMBER($L259),$L259&lt;$J259),"Yes","No")))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OR($C259="",$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RANGE",IF(COUNTIF(nrES_RecID,$B259)&gt;1,"DUPLICATE RECORD",IF(AND($K259=2,COUNTIFS(nrES_PID,$D259,nrES_Code,$F259,nrES_Att,1)=0),"ATTEMPT 2 WITHOUT ATTEMPT 1",IF(AND($K259=2,$L259=""),"RETEST ROW HAS NO SCORE",IF(AND($H259="Final",$L259&lt;&gt;"",IFERROR(INDEX(nrCKfinalExamElig,MATCH($D259,rngCadetPIDs,0)),"")="No"),"FINAL EXAM AFTER FAILED FINAL PT (500.1.H)","OK")))))))</f>
        <v/>
      </c>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IF($C260="","",IF($K260="","",IF(COUNTIFS(nrES_PID,$D260,nrES_Code,$F260,nrES_Att,"&gt;"&amp;$K260,nrES_Raw,"&gt;=0")=0,"Yes","No")))</f>
        <v/>
      </c>
      <c r="Q260" s="17">
        <f>IF($C260="","",IF($L260="","",IF(AND($K260=1,ISNUMBER($L260),$L260&lt;$J260,COUNTIFS(nrES_PID,$D260,nrES_Code,$F260,nrES_Att,2,nrES_Raw,"&gt;=0")=0),"Yes","No")))</f>
        <v/>
      </c>
      <c r="R260" s="17">
        <f>IF($C260="","",IF($L260="","",IF(AND($K260=2,ISNUMBER($L260),$L260&lt;$J260),"Yes","No")))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OR($C260="",$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RANGE",IF(COUNTIF(nrES_RecID,$B260)&gt;1,"DUPLICATE RECORD",IF(AND($K260=2,COUNTIFS(nrES_PID,$D260,nrES_Code,$F260,nrES_Att,1)=0),"ATTEMPT 2 WITHOUT ATTEMPT 1",IF(AND($K260=2,$L260=""),"RETEST ROW HAS NO SCORE",IF(AND($H260="Final",$L260&lt;&gt;"",IFERROR(INDEX(nrCKfinalExamElig,MATCH($D260,rngCadetPIDs,0)),"")="No"),"FINAL EXAM AFTER FAILED FINAL PT (500.1.H)","OK")))))))</f>
        <v/>
      </c>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IF($C261="","",IF($K261="","",IF(COUNTIFS(nrES_PID,$D261,nrES_Code,$F261,nrES_Att,"&gt;"&amp;$K261,nrES_Raw,"&gt;=0")=0,"Yes","No")))</f>
        <v/>
      </c>
      <c r="Q261" s="17">
        <f>IF($C261="","",IF($L261="","",IF(AND($K261=1,ISNUMBER($L261),$L261&lt;$J261,COUNTIFS(nrES_PID,$D261,nrES_Code,$F261,nrES_Att,2,nrES_Raw,"&gt;=0")=0),"Yes","No")))</f>
        <v/>
      </c>
      <c r="R261" s="17">
        <f>IF($C261="","",IF($L261="","",IF(AND($K261=2,ISNUMBER($L261),$L261&lt;$J261),"Yes","No")))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OR($C261="",$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RANGE",IF(COUNTIF(nrES_RecID,$B261)&gt;1,"DUPLICATE RECORD",IF(AND($K261=2,COUNTIFS(nrES_PID,$D261,nrES_Code,$F261,nrES_Att,1)=0),"ATTEMPT 2 WITHOUT ATTEMPT 1",IF(AND($K261=2,$L261=""),"RETEST ROW HAS NO SCORE",IF(AND($H261="Final",$L261&lt;&gt;"",IFERROR(INDEX(nrCKfinalExamElig,MATCH($D261,rngCadetPIDs,0)),"")="No"),"FINAL EXAM AFTER FAILED FINAL PT (500.1.H)","OK")))))))</f>
        <v/>
      </c>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IF($C262="","",IF($K262="","",IF(COUNTIFS(nrES_PID,$D262,nrES_Code,$F262,nrES_Att,"&gt;"&amp;$K262,nrES_Raw,"&gt;=0")=0,"Yes","No")))</f>
        <v/>
      </c>
      <c r="Q262" s="17">
        <f>IF($C262="","",IF($L262="","",IF(AND($K262=1,ISNUMBER($L262),$L262&lt;$J262,COUNTIFS(nrES_PID,$D262,nrES_Code,$F262,nrES_Att,2,nrES_Raw,"&gt;=0")=0),"Yes","No")))</f>
        <v/>
      </c>
      <c r="R262" s="17">
        <f>IF($C262="","",IF($L262="","",IF(AND($K262=2,ISNUMBER($L262),$L262&lt;$J262),"Yes","No")))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OR($C262="",$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RANGE",IF(COUNTIF(nrES_RecID,$B262)&gt;1,"DUPLICATE RECORD",IF(AND($K262=2,COUNTIFS(nrES_PID,$D262,nrES_Code,$F262,nrES_Att,1)=0),"ATTEMPT 2 WITHOUT ATTEMPT 1",IF(AND($K262=2,$L262=""),"RETEST ROW HAS NO SCORE",IF(AND($H262="Final",$L262&lt;&gt;"",IFERROR(INDEX(nrCKfinalExamElig,MATCH($D262,rngCadetPIDs,0)),"")="No"),"FINAL EXAM AFTER FAILED FINAL PT (500.1.H)","OK")))))))</f>
        <v/>
      </c>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IF($C263="","",IF($K263="","",IF(COUNTIFS(nrES_PID,$D263,nrES_Code,$F263,nrES_Att,"&gt;"&amp;$K263,nrES_Raw,"&gt;=0")=0,"Yes","No")))</f>
        <v/>
      </c>
      <c r="Q263" s="17">
        <f>IF($C263="","",IF($L263="","",IF(AND($K263=1,ISNUMBER($L263),$L263&lt;$J263,COUNTIFS(nrES_PID,$D263,nrES_Code,$F263,nrES_Att,2,nrES_Raw,"&gt;=0")=0),"Yes","No")))</f>
        <v/>
      </c>
      <c r="R263" s="17">
        <f>IF($C263="","",IF($L263="","",IF(AND($K263=2,ISNUMBER($L263),$L263&lt;$J263),"Yes","No")))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OR($C263="",$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RANGE",IF(COUNTIF(nrES_RecID,$B263)&gt;1,"DUPLICATE RECORD",IF(AND($K263=2,COUNTIFS(nrES_PID,$D263,nrES_Code,$F263,nrES_Att,1)=0),"ATTEMPT 2 WITHOUT ATTEMPT 1",IF(AND($K263=2,$L263=""),"RETEST ROW HAS NO SCORE",IF(AND($H263="Final",$L263&lt;&gt;"",IFERROR(INDEX(nrCKfinalExamElig,MATCH($D263,rngCadetPIDs,0)),"")="No"),"FINAL EXAM AFTER FAILED FINAL PT (500.1.H)","OK")))))))</f>
        <v/>
      </c>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IF($C264="","",IF($K264="","",IF(COUNTIFS(nrES_PID,$D264,nrES_Code,$F264,nrES_Att,"&gt;"&amp;$K264,nrES_Raw,"&gt;=0")=0,"Yes","No")))</f>
        <v/>
      </c>
      <c r="Q264" s="17">
        <f>IF($C264="","",IF($L264="","",IF(AND($K264=1,ISNUMBER($L264),$L264&lt;$J264,COUNTIFS(nrES_PID,$D264,nrES_Code,$F264,nrES_Att,2,nrES_Raw,"&gt;=0")=0),"Yes","No")))</f>
        <v/>
      </c>
      <c r="R264" s="17">
        <f>IF($C264="","",IF($L264="","",IF(AND($K264=2,ISNUMBER($L264),$L264&lt;$J264),"Yes","No")))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OR($C264="",$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RANGE",IF(COUNTIF(nrES_RecID,$B264)&gt;1,"DUPLICATE RECORD",IF(AND($K264=2,COUNTIFS(nrES_PID,$D264,nrES_Code,$F264,nrES_Att,1)=0),"ATTEMPT 2 WITHOUT ATTEMPT 1",IF(AND($K264=2,$L264=""),"RETEST ROW HAS NO SCORE",IF(AND($H264="Final",$L264&lt;&gt;"",IFERROR(INDEX(nrCKfinalExamElig,MATCH($D264,rngCadetPIDs,0)),"")="No"),"FINAL EXAM AFTER FAILED FINAL PT (500.1.H)","OK")))))))</f>
        <v/>
      </c>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IF($C265="","",IF($K265="","",IF(COUNTIFS(nrES_PID,$D265,nrES_Code,$F265,nrES_Att,"&gt;"&amp;$K265,nrES_Raw,"&gt;=0")=0,"Yes","No")))</f>
        <v/>
      </c>
      <c r="Q265" s="17">
        <f>IF($C265="","",IF($L265="","",IF(AND($K265=1,ISNUMBER($L265),$L265&lt;$J265,COUNTIFS(nrES_PID,$D265,nrES_Code,$F265,nrES_Att,2,nrES_Raw,"&gt;=0")=0),"Yes","No")))</f>
        <v/>
      </c>
      <c r="R265" s="17">
        <f>IF($C265="","",IF($L265="","",IF(AND($K265=2,ISNUMBER($L265),$L265&lt;$J265),"Yes","No")))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OR($C265="",$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RANGE",IF(COUNTIF(nrES_RecID,$B265)&gt;1,"DUPLICATE RECORD",IF(AND($K265=2,COUNTIFS(nrES_PID,$D265,nrES_Code,$F265,nrES_Att,1)=0),"ATTEMPT 2 WITHOUT ATTEMPT 1",IF(AND($K265=2,$L265=""),"RETEST ROW HAS NO SCORE",IF(AND($H265="Final",$L265&lt;&gt;"",IFERROR(INDEX(nrCKfinalExamElig,MATCH($D265,rngCadetPIDs,0)),"")="No"),"FINAL EXAM AFTER FAILED FINAL PT (500.1.H)","OK")))))))</f>
        <v/>
      </c>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IF($C266="","",IF($K266="","",IF(COUNTIFS(nrES_PID,$D266,nrES_Code,$F266,nrES_Att,"&gt;"&amp;$K266,nrES_Raw,"&gt;=0")=0,"Yes","No")))</f>
        <v/>
      </c>
      <c r="Q266" s="17">
        <f>IF($C266="","",IF($L266="","",IF(AND($K266=1,ISNUMBER($L266),$L266&lt;$J266,COUNTIFS(nrES_PID,$D266,nrES_Code,$F266,nrES_Att,2,nrES_Raw,"&gt;=0")=0),"Yes","No")))</f>
        <v/>
      </c>
      <c r="R266" s="17">
        <f>IF($C266="","",IF($L266="","",IF(AND($K266=2,ISNUMBER($L266),$L266&lt;$J266),"Yes","No")))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OR($C266="",$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RANGE",IF(COUNTIF(nrES_RecID,$B266)&gt;1,"DUPLICATE RECORD",IF(AND($K266=2,COUNTIFS(nrES_PID,$D266,nrES_Code,$F266,nrES_Att,1)=0),"ATTEMPT 2 WITHOUT ATTEMPT 1",IF(AND($K266=2,$L266=""),"RETEST ROW HAS NO SCORE",IF(AND($H266="Final",$L266&lt;&gt;"",IFERROR(INDEX(nrCKfinalExamElig,MATCH($D266,rngCadetPIDs,0)),"")="No"),"FINAL EXAM AFTER FAILED FINAL PT (500.1.H)","OK")))))))</f>
        <v/>
      </c>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IF($C267="","",IF($K267="","",IF(COUNTIFS(nrES_PID,$D267,nrES_Code,$F267,nrES_Att,"&gt;"&amp;$K267,nrES_Raw,"&gt;=0")=0,"Yes","No")))</f>
        <v/>
      </c>
      <c r="Q267" s="17">
        <f>IF($C267="","",IF($L267="","",IF(AND($K267=1,ISNUMBER($L267),$L267&lt;$J267,COUNTIFS(nrES_PID,$D267,nrES_Code,$F267,nrES_Att,2,nrES_Raw,"&gt;=0")=0),"Yes","No")))</f>
        <v/>
      </c>
      <c r="R267" s="17">
        <f>IF($C267="","",IF($L267="","",IF(AND($K267=2,ISNUMBER($L267),$L267&lt;$J267),"Yes","No")))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OR($C267="",$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RANGE",IF(COUNTIF(nrES_RecID,$B267)&gt;1,"DUPLICATE RECORD",IF(AND($K267=2,COUNTIFS(nrES_PID,$D267,nrES_Code,$F267,nrES_Att,1)=0),"ATTEMPT 2 WITHOUT ATTEMPT 1",IF(AND($K267=2,$L267=""),"RETEST ROW HAS NO SCORE",IF(AND($H267="Final",$L267&lt;&gt;"",IFERROR(INDEX(nrCKfinalExamElig,MATCH($D267,rngCadetPIDs,0)),"")="No"),"FINAL EXAM AFTER FAILED FINAL PT (500.1.H)","OK")))))))</f>
        <v/>
      </c>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IF($C268="","",IF($K268="","",IF(COUNTIFS(nrES_PID,$D268,nrES_Code,$F268,nrES_Att,"&gt;"&amp;$K268,nrES_Raw,"&gt;=0")=0,"Yes","No")))</f>
        <v/>
      </c>
      <c r="Q268" s="17">
        <f>IF($C268="","",IF($L268="","",IF(AND($K268=1,ISNUMBER($L268),$L268&lt;$J268,COUNTIFS(nrES_PID,$D268,nrES_Code,$F268,nrES_Att,2,nrES_Raw,"&gt;=0")=0),"Yes","No")))</f>
        <v/>
      </c>
      <c r="R268" s="17">
        <f>IF($C268="","",IF($L268="","",IF(AND($K268=2,ISNUMBER($L268),$L268&lt;$J268),"Yes","No")))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OR($C268="",$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RANGE",IF(COUNTIF(nrES_RecID,$B268)&gt;1,"DUPLICATE RECORD",IF(AND($K268=2,COUNTIFS(nrES_PID,$D268,nrES_Code,$F268,nrES_Att,1)=0),"ATTEMPT 2 WITHOUT ATTEMPT 1",IF(AND($K268=2,$L268=""),"RETEST ROW HAS NO SCORE",IF(AND($H268="Final",$L268&lt;&gt;"",IFERROR(INDEX(nrCKfinalExamElig,MATCH($D268,rngCadetPIDs,0)),"")="No"),"FINAL EXAM AFTER FAILED FINAL PT (500.1.H)","OK")))))))</f>
        <v/>
      </c>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IF($C269="","",IF($K269="","",IF(COUNTIFS(nrES_PID,$D269,nrES_Code,$F269,nrES_Att,"&gt;"&amp;$K269,nrES_Raw,"&gt;=0")=0,"Yes","No")))</f>
        <v/>
      </c>
      <c r="Q269" s="17">
        <f>IF($C269="","",IF($L269="","",IF(AND($K269=1,ISNUMBER($L269),$L269&lt;$J269,COUNTIFS(nrES_PID,$D269,nrES_Code,$F269,nrES_Att,2,nrES_Raw,"&gt;=0")=0),"Yes","No")))</f>
        <v/>
      </c>
      <c r="R269" s="17">
        <f>IF($C269="","",IF($L269="","",IF(AND($K269=2,ISNUMBER($L269),$L269&lt;$J269),"Yes","No")))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OR($C269="",$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RANGE",IF(COUNTIF(nrES_RecID,$B269)&gt;1,"DUPLICATE RECORD",IF(AND($K269=2,COUNTIFS(nrES_PID,$D269,nrES_Code,$F269,nrES_Att,1)=0),"ATTEMPT 2 WITHOUT ATTEMPT 1",IF(AND($K269=2,$L269=""),"RETEST ROW HAS NO SCORE",IF(AND($H269="Final",$L269&lt;&gt;"",IFERROR(INDEX(nrCKfinalExamElig,MATCH($D269,rngCadetPIDs,0)),"")="No"),"FINAL EXAM AFTER FAILED FINAL PT (500.1.H)","OK")))))))</f>
        <v/>
      </c>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IF($C270="","",IF($K270="","",IF(COUNTIFS(nrES_PID,$D270,nrES_Code,$F270,nrES_Att,"&gt;"&amp;$K270,nrES_Raw,"&gt;=0")=0,"Yes","No")))</f>
        <v/>
      </c>
      <c r="Q270" s="17">
        <f>IF($C270="","",IF($L270="","",IF(AND($K270=1,ISNUMBER($L270),$L270&lt;$J270,COUNTIFS(nrES_PID,$D270,nrES_Code,$F270,nrES_Att,2,nrES_Raw,"&gt;=0")=0),"Yes","No")))</f>
        <v/>
      </c>
      <c r="R270" s="17">
        <f>IF($C270="","",IF($L270="","",IF(AND($K270=2,ISNUMBER($L270),$L270&lt;$J270),"Yes","No")))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OR($C270="",$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RANGE",IF(COUNTIF(nrES_RecID,$B270)&gt;1,"DUPLICATE RECORD",IF(AND($K270=2,COUNTIFS(nrES_PID,$D270,nrES_Code,$F270,nrES_Att,1)=0),"ATTEMPT 2 WITHOUT ATTEMPT 1",IF(AND($K270=2,$L270=""),"RETEST ROW HAS NO SCORE",IF(AND($H270="Final",$L270&lt;&gt;"",IFERROR(INDEX(nrCKfinalExamElig,MATCH($D270,rngCadetPIDs,0)),"")="No"),"FINAL EXAM AFTER FAILED FINAL PT (500.1.H)","OK")))))))</f>
        <v/>
      </c>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IF($C271="","",IF($K271="","",IF(COUNTIFS(nrES_PID,$D271,nrES_Code,$F271,nrES_Att,"&gt;"&amp;$K271,nrES_Raw,"&gt;=0")=0,"Yes","No")))</f>
        <v/>
      </c>
      <c r="Q271" s="17">
        <f>IF($C271="","",IF($L271="","",IF(AND($K271=1,ISNUMBER($L271),$L271&lt;$J271,COUNTIFS(nrES_PID,$D271,nrES_Code,$F271,nrES_Att,2,nrES_Raw,"&gt;=0")=0),"Yes","No")))</f>
        <v/>
      </c>
      <c r="R271" s="17">
        <f>IF($C271="","",IF($L271="","",IF(AND($K271=2,ISNUMBER($L271),$L271&lt;$J271),"Yes","No")))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OR($C271="",$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RANGE",IF(COUNTIF(nrES_RecID,$B271)&gt;1,"DUPLICATE RECORD",IF(AND($K271=2,COUNTIFS(nrES_PID,$D271,nrES_Code,$F271,nrES_Att,1)=0),"ATTEMPT 2 WITHOUT ATTEMPT 1",IF(AND($K271=2,$L271=""),"RETEST ROW HAS NO SCORE",IF(AND($H271="Final",$L271&lt;&gt;"",IFERROR(INDEX(nrCKfinalExamElig,MATCH($D271,rngCadetPIDs,0)),"")="No"),"FINAL EXAM AFTER FAILED FINAL PT (500.1.H)","OK")))))))</f>
        <v/>
      </c>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IF($C272="","",IF($K272="","",IF(COUNTIFS(nrES_PID,$D272,nrES_Code,$F272,nrES_Att,"&gt;"&amp;$K272,nrES_Raw,"&gt;=0")=0,"Yes","No")))</f>
        <v/>
      </c>
      <c r="Q272" s="17">
        <f>IF($C272="","",IF($L272="","",IF(AND($K272=1,ISNUMBER($L272),$L272&lt;$J272,COUNTIFS(nrES_PID,$D272,nrES_Code,$F272,nrES_Att,2,nrES_Raw,"&gt;=0")=0),"Yes","No")))</f>
        <v/>
      </c>
      <c r="R272" s="17">
        <f>IF($C272="","",IF($L272="","",IF(AND($K272=2,ISNUMBER($L272),$L272&lt;$J272),"Yes","No")))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OR($C272="",$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RANGE",IF(COUNTIF(nrES_RecID,$B272)&gt;1,"DUPLICATE RECORD",IF(AND($K272=2,COUNTIFS(nrES_PID,$D272,nrES_Code,$F272,nrES_Att,1)=0),"ATTEMPT 2 WITHOUT ATTEMPT 1",IF(AND($K272=2,$L272=""),"RETEST ROW HAS NO SCORE",IF(AND($H272="Final",$L272&lt;&gt;"",IFERROR(INDEX(nrCKfinalExamElig,MATCH($D272,rngCadetPIDs,0)),"")="No"),"FINAL EXAM AFTER FAILED FINAL PT (500.1.H)","OK")))))))</f>
        <v/>
      </c>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IF($C273="","",IF($K273="","",IF(COUNTIFS(nrES_PID,$D273,nrES_Code,$F273,nrES_Att,"&gt;"&amp;$K273,nrES_Raw,"&gt;=0")=0,"Yes","No")))</f>
        <v/>
      </c>
      <c r="Q273" s="17">
        <f>IF($C273="","",IF($L273="","",IF(AND($K273=1,ISNUMBER($L273),$L273&lt;$J273,COUNTIFS(nrES_PID,$D273,nrES_Code,$F273,nrES_Att,2,nrES_Raw,"&gt;=0")=0),"Yes","No")))</f>
        <v/>
      </c>
      <c r="R273" s="17">
        <f>IF($C273="","",IF($L273="","",IF(AND($K273=2,ISNUMBER($L273),$L273&lt;$J273),"Yes","No")))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OR($C273="",$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RANGE",IF(COUNTIF(nrES_RecID,$B273)&gt;1,"DUPLICATE RECORD",IF(AND($K273=2,COUNTIFS(nrES_PID,$D273,nrES_Code,$F273,nrES_Att,1)=0),"ATTEMPT 2 WITHOUT ATTEMPT 1",IF(AND($K273=2,$L273=""),"RETEST ROW HAS NO SCORE",IF(AND($H273="Final",$L273&lt;&gt;"",IFERROR(INDEX(nrCKfinalExamElig,MATCH($D273,rngCadetPIDs,0)),"")="No"),"FINAL EXAM AFTER FAILED FINAL PT (500.1.H)","OK")))))))</f>
        <v/>
      </c>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IF($C274="","",IF($K274="","",IF(COUNTIFS(nrES_PID,$D274,nrES_Code,$F274,nrES_Att,"&gt;"&amp;$K274,nrES_Raw,"&gt;=0")=0,"Yes","No")))</f>
        <v/>
      </c>
      <c r="Q274" s="17">
        <f>IF($C274="","",IF($L274="","",IF(AND($K274=1,ISNUMBER($L274),$L274&lt;$J274,COUNTIFS(nrES_PID,$D274,nrES_Code,$F274,nrES_Att,2,nrES_Raw,"&gt;=0")=0),"Yes","No")))</f>
        <v/>
      </c>
      <c r="R274" s="17">
        <f>IF($C274="","",IF($L274="","",IF(AND($K274=2,ISNUMBER($L274),$L274&lt;$J274),"Yes","No")))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OR($C274="",$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RANGE",IF(COUNTIF(nrES_RecID,$B274)&gt;1,"DUPLICATE RECORD",IF(AND($K274=2,COUNTIFS(nrES_PID,$D274,nrES_Code,$F274,nrES_Att,1)=0),"ATTEMPT 2 WITHOUT ATTEMPT 1",IF(AND($K274=2,$L274=""),"RETEST ROW HAS NO SCORE",IF(AND($H274="Final",$L274&lt;&gt;"",IFERROR(INDEX(nrCKfinalExamElig,MATCH($D274,rngCadetPIDs,0)),"")="No"),"FINAL EXAM AFTER FAILED FINAL PT (500.1.H)","OK")))))))</f>
        <v/>
      </c>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IF($C275="","",IF($K275="","",IF(COUNTIFS(nrES_PID,$D275,nrES_Code,$F275,nrES_Att,"&gt;"&amp;$K275,nrES_Raw,"&gt;=0")=0,"Yes","No")))</f>
        <v/>
      </c>
      <c r="Q275" s="17">
        <f>IF($C275="","",IF($L275="","",IF(AND($K275=1,ISNUMBER($L275),$L275&lt;$J275,COUNTIFS(nrES_PID,$D275,nrES_Code,$F275,nrES_Att,2,nrES_Raw,"&gt;=0")=0),"Yes","No")))</f>
        <v/>
      </c>
      <c r="R275" s="17">
        <f>IF($C275="","",IF($L275="","",IF(AND($K275=2,ISNUMBER($L275),$L275&lt;$J275),"Yes","No")))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OR($C275="",$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RANGE",IF(COUNTIF(nrES_RecID,$B275)&gt;1,"DUPLICATE RECORD",IF(AND($K275=2,COUNTIFS(nrES_PID,$D275,nrES_Code,$F275,nrES_Att,1)=0),"ATTEMPT 2 WITHOUT ATTEMPT 1",IF(AND($K275=2,$L275=""),"RETEST ROW HAS NO SCORE",IF(AND($H275="Final",$L275&lt;&gt;"",IFERROR(INDEX(nrCKfinalExamElig,MATCH($D275,rngCadetPIDs,0)),"")="No"),"FINAL EXAM AFTER FAILED FINAL PT (500.1.H)","OK")))))))</f>
        <v/>
      </c>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IF($C276="","",IF($K276="","",IF(COUNTIFS(nrES_PID,$D276,nrES_Code,$F276,nrES_Att,"&gt;"&amp;$K276,nrES_Raw,"&gt;=0")=0,"Yes","No")))</f>
        <v/>
      </c>
      <c r="Q276" s="17">
        <f>IF($C276="","",IF($L276="","",IF(AND($K276=1,ISNUMBER($L276),$L276&lt;$J276,COUNTIFS(nrES_PID,$D276,nrES_Code,$F276,nrES_Att,2,nrES_Raw,"&gt;=0")=0),"Yes","No")))</f>
        <v/>
      </c>
      <c r="R276" s="17">
        <f>IF($C276="","",IF($L276="","",IF(AND($K276=2,ISNUMBER($L276),$L276&lt;$J276),"Yes","No")))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OR($C276="",$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RANGE",IF(COUNTIF(nrES_RecID,$B276)&gt;1,"DUPLICATE RECORD",IF(AND($K276=2,COUNTIFS(nrES_PID,$D276,nrES_Code,$F276,nrES_Att,1)=0),"ATTEMPT 2 WITHOUT ATTEMPT 1",IF(AND($K276=2,$L276=""),"RETEST ROW HAS NO SCORE",IF(AND($H276="Final",$L276&lt;&gt;"",IFERROR(INDEX(nrCKfinalExamElig,MATCH($D276,rngCadetPIDs,0)),"")="No"),"FINAL EXAM AFTER FAILED FINAL PT (500.1.H)","OK")))))))</f>
        <v/>
      </c>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IF($C277="","",IF($K277="","",IF(COUNTIFS(nrES_PID,$D277,nrES_Code,$F277,nrES_Att,"&gt;"&amp;$K277,nrES_Raw,"&gt;=0")=0,"Yes","No")))</f>
        <v/>
      </c>
      <c r="Q277" s="17">
        <f>IF($C277="","",IF($L277="","",IF(AND($K277=1,ISNUMBER($L277),$L277&lt;$J277,COUNTIFS(nrES_PID,$D277,nrES_Code,$F277,nrES_Att,2,nrES_Raw,"&gt;=0")=0),"Yes","No")))</f>
        <v/>
      </c>
      <c r="R277" s="17">
        <f>IF($C277="","",IF($L277="","",IF(AND($K277=2,ISNUMBER($L277),$L277&lt;$J277),"Yes","No")))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OR($C277="",$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RANGE",IF(COUNTIF(nrES_RecID,$B277)&gt;1,"DUPLICATE RECORD",IF(AND($K277=2,COUNTIFS(nrES_PID,$D277,nrES_Code,$F277,nrES_Att,1)=0),"ATTEMPT 2 WITHOUT ATTEMPT 1",IF(AND($K277=2,$L277=""),"RETEST ROW HAS NO SCORE",IF(AND($H277="Final",$L277&lt;&gt;"",IFERROR(INDEX(nrCKfinalExamElig,MATCH($D277,rngCadetPIDs,0)),"")="No"),"FINAL EXAM AFTER FAILED FINAL PT (500.1.H)","OK")))))))</f>
        <v/>
      </c>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IF($C278="","",IF($K278="","",IF(COUNTIFS(nrES_PID,$D278,nrES_Code,$F278,nrES_Att,"&gt;"&amp;$K278,nrES_Raw,"&gt;=0")=0,"Yes","No")))</f>
        <v/>
      </c>
      <c r="Q278" s="17">
        <f>IF($C278="","",IF($L278="","",IF(AND($K278=1,ISNUMBER($L278),$L278&lt;$J278,COUNTIFS(nrES_PID,$D278,nrES_Code,$F278,nrES_Att,2,nrES_Raw,"&gt;=0")=0),"Yes","No")))</f>
        <v/>
      </c>
      <c r="R278" s="17">
        <f>IF($C278="","",IF($L278="","",IF(AND($K278=2,ISNUMBER($L278),$L278&lt;$J278),"Yes","No")))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OR($C278="",$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RANGE",IF(COUNTIF(nrES_RecID,$B278)&gt;1,"DUPLICATE RECORD",IF(AND($K278=2,COUNTIFS(nrES_PID,$D278,nrES_Code,$F278,nrES_Att,1)=0),"ATTEMPT 2 WITHOUT ATTEMPT 1",IF(AND($K278=2,$L278=""),"RETEST ROW HAS NO SCORE",IF(AND($H278="Final",$L278&lt;&gt;"",IFERROR(INDEX(nrCKfinalExamElig,MATCH($D278,rngCadetPIDs,0)),"")="No"),"FINAL EXAM AFTER FAILED FINAL PT (500.1.H)","OK")))))))</f>
        <v/>
      </c>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IF($C279="","",IF($K279="","",IF(COUNTIFS(nrES_PID,$D279,nrES_Code,$F279,nrES_Att,"&gt;"&amp;$K279,nrES_Raw,"&gt;=0")=0,"Yes","No")))</f>
        <v/>
      </c>
      <c r="Q279" s="17">
        <f>IF($C279="","",IF($L279="","",IF(AND($K279=1,ISNUMBER($L279),$L279&lt;$J279,COUNTIFS(nrES_PID,$D279,nrES_Code,$F279,nrES_Att,2,nrES_Raw,"&gt;=0")=0),"Yes","No")))</f>
        <v/>
      </c>
      <c r="R279" s="17">
        <f>IF($C279="","",IF($L279="","",IF(AND($K279=2,ISNUMBER($L279),$L279&lt;$J279),"Yes","No")))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OR($C279="",$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RANGE",IF(COUNTIF(nrES_RecID,$B279)&gt;1,"DUPLICATE RECORD",IF(AND($K279=2,COUNTIFS(nrES_PID,$D279,nrES_Code,$F279,nrES_Att,1)=0),"ATTEMPT 2 WITHOUT ATTEMPT 1",IF(AND($K279=2,$L279=""),"RETEST ROW HAS NO SCORE",IF(AND($H279="Final",$L279&lt;&gt;"",IFERROR(INDEX(nrCKfinalExamElig,MATCH($D279,rngCadetPIDs,0)),"")="No"),"FINAL EXAM AFTER FAILED FINAL PT (500.1.H)","OK")))))))</f>
        <v/>
      </c>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IF($C280="","",IF($K280="","",IF(COUNTIFS(nrES_PID,$D280,nrES_Code,$F280,nrES_Att,"&gt;"&amp;$K280,nrES_Raw,"&gt;=0")=0,"Yes","No")))</f>
        <v/>
      </c>
      <c r="Q280" s="17">
        <f>IF($C280="","",IF($L280="","",IF(AND($K280=1,ISNUMBER($L280),$L280&lt;$J280,COUNTIFS(nrES_PID,$D280,nrES_Code,$F280,nrES_Att,2,nrES_Raw,"&gt;=0")=0),"Yes","No")))</f>
        <v/>
      </c>
      <c r="R280" s="17">
        <f>IF($C280="","",IF($L280="","",IF(AND($K280=2,ISNUMBER($L280),$L280&lt;$J280),"Yes","No")))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OR($C280="",$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RANGE",IF(COUNTIF(nrES_RecID,$B280)&gt;1,"DUPLICATE RECORD",IF(AND($K280=2,COUNTIFS(nrES_PID,$D280,nrES_Code,$F280,nrES_Att,1)=0),"ATTEMPT 2 WITHOUT ATTEMPT 1",IF(AND($K280=2,$L280=""),"RETEST ROW HAS NO SCORE",IF(AND($H280="Final",$L280&lt;&gt;"",IFERROR(INDEX(nrCKfinalExamElig,MATCH($D280,rngCadetPIDs,0)),"")="No"),"FINAL EXAM AFTER FAILED FINAL PT (500.1.H)","OK")))))))</f>
        <v/>
      </c>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IF($C281="","",IF($K281="","",IF(COUNTIFS(nrES_PID,$D281,nrES_Code,$F281,nrES_Att,"&gt;"&amp;$K281,nrES_Raw,"&gt;=0")=0,"Yes","No")))</f>
        <v/>
      </c>
      <c r="Q281" s="17">
        <f>IF($C281="","",IF($L281="","",IF(AND($K281=1,ISNUMBER($L281),$L281&lt;$J281,COUNTIFS(nrES_PID,$D281,nrES_Code,$F281,nrES_Att,2,nrES_Raw,"&gt;=0")=0),"Yes","No")))</f>
        <v/>
      </c>
      <c r="R281" s="17">
        <f>IF($C281="","",IF($L281="","",IF(AND($K281=2,ISNUMBER($L281),$L281&lt;$J281),"Yes","No")))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OR($C281="",$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RANGE",IF(COUNTIF(nrES_RecID,$B281)&gt;1,"DUPLICATE RECORD",IF(AND($K281=2,COUNTIFS(nrES_PID,$D281,nrES_Code,$F281,nrES_Att,1)=0),"ATTEMPT 2 WITHOUT ATTEMPT 1",IF(AND($K281=2,$L281=""),"RETEST ROW HAS NO SCORE",IF(AND($H281="Final",$L281&lt;&gt;"",IFERROR(INDEX(nrCKfinalExamElig,MATCH($D281,rngCadetPIDs,0)),"")="No"),"FINAL EXAM AFTER FAILED FINAL PT (500.1.H)","OK")))))))</f>
        <v/>
      </c>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IF($C282="","",IF($K282="","",IF(COUNTIFS(nrES_PID,$D282,nrES_Code,$F282,nrES_Att,"&gt;"&amp;$K282,nrES_Raw,"&gt;=0")=0,"Yes","No")))</f>
        <v/>
      </c>
      <c r="Q282" s="17">
        <f>IF($C282="","",IF($L282="","",IF(AND($K282=1,ISNUMBER($L282),$L282&lt;$J282,COUNTIFS(nrES_PID,$D282,nrES_Code,$F282,nrES_Att,2,nrES_Raw,"&gt;=0")=0),"Yes","No")))</f>
        <v/>
      </c>
      <c r="R282" s="17">
        <f>IF($C282="","",IF($L282="","",IF(AND($K282=2,ISNUMBER($L282),$L282&lt;$J282),"Yes","No")))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OR($C282="",$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RANGE",IF(COUNTIF(nrES_RecID,$B282)&gt;1,"DUPLICATE RECORD",IF(AND($K282=2,COUNTIFS(nrES_PID,$D282,nrES_Code,$F282,nrES_Att,1)=0),"ATTEMPT 2 WITHOUT ATTEMPT 1",IF(AND($K282=2,$L282=""),"RETEST ROW HAS NO SCORE",IF(AND($H282="Final",$L282&lt;&gt;"",IFERROR(INDEX(nrCKfinalExamElig,MATCH($D282,rngCadetPIDs,0)),"")="No"),"FINAL EXAM AFTER FAILED FINAL PT (500.1.H)","OK")))))))</f>
        <v/>
      </c>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IF($C283="","",IF($K283="","",IF(COUNTIFS(nrES_PID,$D283,nrES_Code,$F283,nrES_Att,"&gt;"&amp;$K283,nrES_Raw,"&gt;=0")=0,"Yes","No")))</f>
        <v/>
      </c>
      <c r="Q283" s="17">
        <f>IF($C283="","",IF($L283="","",IF(AND($K283=1,ISNUMBER($L283),$L283&lt;$J283,COUNTIFS(nrES_PID,$D283,nrES_Code,$F283,nrES_Att,2,nrES_Raw,"&gt;=0")=0),"Yes","No")))</f>
        <v/>
      </c>
      <c r="R283" s="17">
        <f>IF($C283="","",IF($L283="","",IF(AND($K283=2,ISNUMBER($L283),$L283&lt;$J283),"Yes","No")))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OR($C283="",$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RANGE",IF(COUNTIF(nrES_RecID,$B283)&gt;1,"DUPLICATE RECORD",IF(AND($K283=2,COUNTIFS(nrES_PID,$D283,nrES_Code,$F283,nrES_Att,1)=0),"ATTEMPT 2 WITHOUT ATTEMPT 1",IF(AND($K283=2,$L283=""),"RETEST ROW HAS NO SCORE",IF(AND($H283="Final",$L283&lt;&gt;"",IFERROR(INDEX(nrCKfinalExamElig,MATCH($D283,rngCadetPIDs,0)),"")="No"),"FINAL EXAM AFTER FAILED FINAL PT (500.1.H)","OK")))))))</f>
        <v/>
      </c>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IF($C284="","",IF($K284="","",IF(COUNTIFS(nrES_PID,$D284,nrES_Code,$F284,nrES_Att,"&gt;"&amp;$K284,nrES_Raw,"&gt;=0")=0,"Yes","No")))</f>
        <v/>
      </c>
      <c r="Q284" s="17">
        <f>IF($C284="","",IF($L284="","",IF(AND($K284=1,ISNUMBER($L284),$L284&lt;$J284,COUNTIFS(nrES_PID,$D284,nrES_Code,$F284,nrES_Att,2,nrES_Raw,"&gt;=0")=0),"Yes","No")))</f>
        <v/>
      </c>
      <c r="R284" s="17">
        <f>IF($C284="","",IF($L284="","",IF(AND($K284=2,ISNUMBER($L284),$L284&lt;$J284),"Yes","No")))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OR($C284="",$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RANGE",IF(COUNTIF(nrES_RecID,$B284)&gt;1,"DUPLICATE RECORD",IF(AND($K284=2,COUNTIFS(nrES_PID,$D284,nrES_Code,$F284,nrES_Att,1)=0),"ATTEMPT 2 WITHOUT ATTEMPT 1",IF(AND($K284=2,$L284=""),"RETEST ROW HAS NO SCORE",IF(AND($H284="Final",$L284&lt;&gt;"",IFERROR(INDEX(nrCKfinalExamElig,MATCH($D284,rngCadetPIDs,0)),"")="No"),"FINAL EXAM AFTER FAILED FINAL PT (500.1.H)","OK")))))))</f>
        <v/>
      </c>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IF($C285="","",IF($K285="","",IF(COUNTIFS(nrES_PID,$D285,nrES_Code,$F285,nrES_Att,"&gt;"&amp;$K285,nrES_Raw,"&gt;=0")=0,"Yes","No")))</f>
        <v/>
      </c>
      <c r="Q285" s="17">
        <f>IF($C285="","",IF($L285="","",IF(AND($K285=1,ISNUMBER($L285),$L285&lt;$J285,COUNTIFS(nrES_PID,$D285,nrES_Code,$F285,nrES_Att,2,nrES_Raw,"&gt;=0")=0),"Yes","No")))</f>
        <v/>
      </c>
      <c r="R285" s="17">
        <f>IF($C285="","",IF($L285="","",IF(AND($K285=2,ISNUMBER($L285),$L285&lt;$J285),"Yes","No")))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OR($C285="",$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RANGE",IF(COUNTIF(nrES_RecID,$B285)&gt;1,"DUPLICATE RECORD",IF(AND($K285=2,COUNTIFS(nrES_PID,$D285,nrES_Code,$F285,nrES_Att,1)=0),"ATTEMPT 2 WITHOUT ATTEMPT 1",IF(AND($K285=2,$L285=""),"RETEST ROW HAS NO SCORE",IF(AND($H285="Final",$L285&lt;&gt;"",IFERROR(INDEX(nrCKfinalExamElig,MATCH($D285,rngCadetPIDs,0)),"")="No"),"FINAL EXAM AFTER FAILED FINAL PT (500.1.H)","OK")))))))</f>
        <v/>
      </c>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IF($C286="","",IF($K286="","",IF(COUNTIFS(nrES_PID,$D286,nrES_Code,$F286,nrES_Att,"&gt;"&amp;$K286,nrES_Raw,"&gt;=0")=0,"Yes","No")))</f>
        <v/>
      </c>
      <c r="Q286" s="17">
        <f>IF($C286="","",IF($L286="","",IF(AND($K286=1,ISNUMBER($L286),$L286&lt;$J286,COUNTIFS(nrES_PID,$D286,nrES_Code,$F286,nrES_Att,2,nrES_Raw,"&gt;=0")=0),"Yes","No")))</f>
        <v/>
      </c>
      <c r="R286" s="17">
        <f>IF($C286="","",IF($L286="","",IF(AND($K286=2,ISNUMBER($L286),$L286&lt;$J286),"Yes","No")))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OR($C286="",$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RANGE",IF(COUNTIF(nrES_RecID,$B286)&gt;1,"DUPLICATE RECORD",IF(AND($K286=2,COUNTIFS(nrES_PID,$D286,nrES_Code,$F286,nrES_Att,1)=0),"ATTEMPT 2 WITHOUT ATTEMPT 1",IF(AND($K286=2,$L286=""),"RETEST ROW HAS NO SCORE",IF(AND($H286="Final",$L286&lt;&gt;"",IFERROR(INDEX(nrCKfinalExamElig,MATCH($D286,rngCadetPIDs,0)),"")="No"),"FINAL EXAM AFTER FAILED FINAL PT (500.1.H)","OK")))))))</f>
        <v/>
      </c>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IF($C287="","",IF($K287="","",IF(COUNTIFS(nrES_PID,$D287,nrES_Code,$F287,nrES_Att,"&gt;"&amp;$K287,nrES_Raw,"&gt;=0")=0,"Yes","No")))</f>
        <v/>
      </c>
      <c r="Q287" s="17">
        <f>IF($C287="","",IF($L287="","",IF(AND($K287=1,ISNUMBER($L287),$L287&lt;$J287,COUNTIFS(nrES_PID,$D287,nrES_Code,$F287,nrES_Att,2,nrES_Raw,"&gt;=0")=0),"Yes","No")))</f>
        <v/>
      </c>
      <c r="R287" s="17">
        <f>IF($C287="","",IF($L287="","",IF(AND($K287=2,ISNUMBER($L287),$L287&lt;$J287),"Yes","No")))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OR($C287="",$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RANGE",IF(COUNTIF(nrES_RecID,$B287)&gt;1,"DUPLICATE RECORD",IF(AND($K287=2,COUNTIFS(nrES_PID,$D287,nrES_Code,$F287,nrES_Att,1)=0),"ATTEMPT 2 WITHOUT ATTEMPT 1",IF(AND($K287=2,$L287=""),"RETEST ROW HAS NO SCORE",IF(AND($H287="Final",$L287&lt;&gt;"",IFERROR(INDEX(nrCKfinalExamElig,MATCH($D287,rngCadetPIDs,0)),"")="No"),"FINAL EXAM AFTER FAILED FINAL PT (500.1.H)","OK")))))))</f>
        <v/>
      </c>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IF($C288="","",IF($K288="","",IF(COUNTIFS(nrES_PID,$D288,nrES_Code,$F288,nrES_Att,"&gt;"&amp;$K288,nrES_Raw,"&gt;=0")=0,"Yes","No")))</f>
        <v/>
      </c>
      <c r="Q288" s="17">
        <f>IF($C288="","",IF($L288="","",IF(AND($K288=1,ISNUMBER($L288),$L288&lt;$J288,COUNTIFS(nrES_PID,$D288,nrES_Code,$F288,nrES_Att,2,nrES_Raw,"&gt;=0")=0),"Yes","No")))</f>
        <v/>
      </c>
      <c r="R288" s="17">
        <f>IF($C288="","",IF($L288="","",IF(AND($K288=2,ISNUMBER($L288),$L288&lt;$J288),"Yes","No")))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OR($C288="",$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RANGE",IF(COUNTIF(nrES_RecID,$B288)&gt;1,"DUPLICATE RECORD",IF(AND($K288=2,COUNTIFS(nrES_PID,$D288,nrES_Code,$F288,nrES_Att,1)=0),"ATTEMPT 2 WITHOUT ATTEMPT 1",IF(AND($K288=2,$L288=""),"RETEST ROW HAS NO SCORE",IF(AND($H288="Final",$L288&lt;&gt;"",IFERROR(INDEX(nrCKfinalExamElig,MATCH($D288,rngCadetPIDs,0)),"")="No"),"FINAL EXAM AFTER FAILED FINAL PT (500.1.H)","OK")))))))</f>
        <v/>
      </c>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IF($C289="","",IF($K289="","",IF(COUNTIFS(nrES_PID,$D289,nrES_Code,$F289,nrES_Att,"&gt;"&amp;$K289,nrES_Raw,"&gt;=0")=0,"Yes","No")))</f>
        <v/>
      </c>
      <c r="Q289" s="17">
        <f>IF($C289="","",IF($L289="","",IF(AND($K289=1,ISNUMBER($L289),$L289&lt;$J289,COUNTIFS(nrES_PID,$D289,nrES_Code,$F289,nrES_Att,2,nrES_Raw,"&gt;=0")=0),"Yes","No")))</f>
        <v/>
      </c>
      <c r="R289" s="17">
        <f>IF($C289="","",IF($L289="","",IF(AND($K289=2,ISNUMBER($L289),$L289&lt;$J289),"Yes","No")))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OR($C289="",$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RANGE",IF(COUNTIF(nrES_RecID,$B289)&gt;1,"DUPLICATE RECORD",IF(AND($K289=2,COUNTIFS(nrES_PID,$D289,nrES_Code,$F289,nrES_Att,1)=0),"ATTEMPT 2 WITHOUT ATTEMPT 1",IF(AND($K289=2,$L289=""),"RETEST ROW HAS NO SCORE",IF(AND($H289="Final",$L289&lt;&gt;"",IFERROR(INDEX(nrCKfinalExamElig,MATCH($D289,rngCadetPIDs,0)),"")="No"),"FINAL EXAM AFTER FAILED FINAL PT (500.1.H)","OK")))))))</f>
        <v/>
      </c>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IF($C290="","",IF($K290="","",IF(COUNTIFS(nrES_PID,$D290,nrES_Code,$F290,nrES_Att,"&gt;"&amp;$K290,nrES_Raw,"&gt;=0")=0,"Yes","No")))</f>
        <v/>
      </c>
      <c r="Q290" s="17">
        <f>IF($C290="","",IF($L290="","",IF(AND($K290=1,ISNUMBER($L290),$L290&lt;$J290,COUNTIFS(nrES_PID,$D290,nrES_Code,$F290,nrES_Att,2,nrES_Raw,"&gt;=0")=0),"Yes","No")))</f>
        <v/>
      </c>
      <c r="R290" s="17">
        <f>IF($C290="","",IF($L290="","",IF(AND($K290=2,ISNUMBER($L290),$L290&lt;$J290),"Yes","No")))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OR($C290="",$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RANGE",IF(COUNTIF(nrES_RecID,$B290)&gt;1,"DUPLICATE RECORD",IF(AND($K290=2,COUNTIFS(nrES_PID,$D290,nrES_Code,$F290,nrES_Att,1)=0),"ATTEMPT 2 WITHOUT ATTEMPT 1",IF(AND($K290=2,$L290=""),"RETEST ROW HAS NO SCORE",IF(AND($H290="Final",$L290&lt;&gt;"",IFERROR(INDEX(nrCKfinalExamElig,MATCH($D290,rngCadetPIDs,0)),"")="No"),"FINAL EXAM AFTER FAILED FINAL PT (500.1.H)","OK")))))))</f>
        <v/>
      </c>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IF($C291="","",IF($K291="","",IF(COUNTIFS(nrES_PID,$D291,nrES_Code,$F291,nrES_Att,"&gt;"&amp;$K291,nrES_Raw,"&gt;=0")=0,"Yes","No")))</f>
        <v/>
      </c>
      <c r="Q291" s="17">
        <f>IF($C291="","",IF($L291="","",IF(AND($K291=1,ISNUMBER($L291),$L291&lt;$J291,COUNTIFS(nrES_PID,$D291,nrES_Code,$F291,nrES_Att,2,nrES_Raw,"&gt;=0")=0),"Yes","No")))</f>
        <v/>
      </c>
      <c r="R291" s="17">
        <f>IF($C291="","",IF($L291="","",IF(AND($K291=2,ISNUMBER($L291),$L291&lt;$J291),"Yes","No")))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OR($C291="",$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RANGE",IF(COUNTIF(nrES_RecID,$B291)&gt;1,"DUPLICATE RECORD",IF(AND($K291=2,COUNTIFS(nrES_PID,$D291,nrES_Code,$F291,nrES_Att,1)=0),"ATTEMPT 2 WITHOUT ATTEMPT 1",IF(AND($K291=2,$L291=""),"RETEST ROW HAS NO SCORE",IF(AND($H291="Final",$L291&lt;&gt;"",IFERROR(INDEX(nrCKfinalExamElig,MATCH($D291,rngCadetPIDs,0)),"")="No"),"FINAL EXAM AFTER FAILED FINAL PT (500.1.H)","OK")))))))</f>
        <v/>
      </c>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IF($C292="","",IF($K292="","",IF(COUNTIFS(nrES_PID,$D292,nrES_Code,$F292,nrES_Att,"&gt;"&amp;$K292,nrES_Raw,"&gt;=0")=0,"Yes","No")))</f>
        <v/>
      </c>
      <c r="Q292" s="17">
        <f>IF($C292="","",IF($L292="","",IF(AND($K292=1,ISNUMBER($L292),$L292&lt;$J292,COUNTIFS(nrES_PID,$D292,nrES_Code,$F292,nrES_Att,2,nrES_Raw,"&gt;=0")=0),"Yes","No")))</f>
        <v/>
      </c>
      <c r="R292" s="17">
        <f>IF($C292="","",IF($L292="","",IF(AND($K292=2,ISNUMBER($L292),$L292&lt;$J292),"Yes","No")))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OR($C292="",$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RANGE",IF(COUNTIF(nrES_RecID,$B292)&gt;1,"DUPLICATE RECORD",IF(AND($K292=2,COUNTIFS(nrES_PID,$D292,nrES_Code,$F292,nrES_Att,1)=0),"ATTEMPT 2 WITHOUT ATTEMPT 1",IF(AND($K292=2,$L292=""),"RETEST ROW HAS NO SCORE",IF(AND($H292="Final",$L292&lt;&gt;"",IFERROR(INDEX(nrCKfinalExamElig,MATCH($D292,rngCadetPIDs,0)),"")="No"),"FINAL EXAM AFTER FAILED FINAL PT (500.1.H)","OK")))))))</f>
        <v/>
      </c>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IF($C293="","",IF($K293="","",IF(COUNTIFS(nrES_PID,$D293,nrES_Code,$F293,nrES_Att,"&gt;"&amp;$K293,nrES_Raw,"&gt;=0")=0,"Yes","No")))</f>
        <v/>
      </c>
      <c r="Q293" s="17">
        <f>IF($C293="","",IF($L293="","",IF(AND($K293=1,ISNUMBER($L293),$L293&lt;$J293,COUNTIFS(nrES_PID,$D293,nrES_Code,$F293,nrES_Att,2,nrES_Raw,"&gt;=0")=0),"Yes","No")))</f>
        <v/>
      </c>
      <c r="R293" s="17">
        <f>IF($C293="","",IF($L293="","",IF(AND($K293=2,ISNUMBER($L293),$L293&lt;$J293),"Yes","No")))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OR($C293="",$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RANGE",IF(COUNTIF(nrES_RecID,$B293)&gt;1,"DUPLICATE RECORD",IF(AND($K293=2,COUNTIFS(nrES_PID,$D293,nrES_Code,$F293,nrES_Att,1)=0),"ATTEMPT 2 WITHOUT ATTEMPT 1",IF(AND($K293=2,$L293=""),"RETEST ROW HAS NO SCORE",IF(AND($H293="Final",$L293&lt;&gt;"",IFERROR(INDEX(nrCKfinalExamElig,MATCH($D293,rngCadetPIDs,0)),"")="No"),"FINAL EXAM AFTER FAILED FINAL PT (500.1.H)","OK")))))))</f>
        <v/>
      </c>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IF($C294="","",IF($K294="","",IF(COUNTIFS(nrES_PID,$D294,nrES_Code,$F294,nrES_Att,"&gt;"&amp;$K294,nrES_Raw,"&gt;=0")=0,"Yes","No")))</f>
        <v/>
      </c>
      <c r="Q294" s="17">
        <f>IF($C294="","",IF($L294="","",IF(AND($K294=1,ISNUMBER($L294),$L294&lt;$J294,COUNTIFS(nrES_PID,$D294,nrES_Code,$F294,nrES_Att,2,nrES_Raw,"&gt;=0")=0),"Yes","No")))</f>
        <v/>
      </c>
      <c r="R294" s="17">
        <f>IF($C294="","",IF($L294="","",IF(AND($K294=2,ISNUMBER($L294),$L294&lt;$J294),"Yes","No")))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OR($C294="",$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RANGE",IF(COUNTIF(nrES_RecID,$B294)&gt;1,"DUPLICATE RECORD",IF(AND($K294=2,COUNTIFS(nrES_PID,$D294,nrES_Code,$F294,nrES_Att,1)=0),"ATTEMPT 2 WITHOUT ATTEMPT 1",IF(AND($K294=2,$L294=""),"RETEST ROW HAS NO SCORE",IF(AND($H294="Final",$L294&lt;&gt;"",IFERROR(INDEX(nrCKfinalExamElig,MATCH($D294,rngCadetPIDs,0)),"")="No"),"FINAL EXAM AFTER FAILED FINAL PT (500.1.H)","OK")))))))</f>
        <v/>
      </c>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IF($C295="","",IF($K295="","",IF(COUNTIFS(nrES_PID,$D295,nrES_Code,$F295,nrES_Att,"&gt;"&amp;$K295,nrES_Raw,"&gt;=0")=0,"Yes","No")))</f>
        <v/>
      </c>
      <c r="Q295" s="17">
        <f>IF($C295="","",IF($L295="","",IF(AND($K295=1,ISNUMBER($L295),$L295&lt;$J295,COUNTIFS(nrES_PID,$D295,nrES_Code,$F295,nrES_Att,2,nrES_Raw,"&gt;=0")=0),"Yes","No")))</f>
        <v/>
      </c>
      <c r="R295" s="17">
        <f>IF($C295="","",IF($L295="","",IF(AND($K295=2,ISNUMBER($L295),$L295&lt;$J295),"Yes","No")))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OR($C295="",$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RANGE",IF(COUNTIF(nrES_RecID,$B295)&gt;1,"DUPLICATE RECORD",IF(AND($K295=2,COUNTIFS(nrES_PID,$D295,nrES_Code,$F295,nrES_Att,1)=0),"ATTEMPT 2 WITHOUT ATTEMPT 1",IF(AND($K295=2,$L295=""),"RETEST ROW HAS NO SCORE",IF(AND($H295="Final",$L295&lt;&gt;"",IFERROR(INDEX(nrCKfinalExamElig,MATCH($D295,rngCadetPIDs,0)),"")="No"),"FINAL EXAM AFTER FAILED FINAL PT (500.1.H)","OK")))))))</f>
        <v/>
      </c>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IF($C296="","",IF($K296="","",IF(COUNTIFS(nrES_PID,$D296,nrES_Code,$F296,nrES_Att,"&gt;"&amp;$K296,nrES_Raw,"&gt;=0")=0,"Yes","No")))</f>
        <v/>
      </c>
      <c r="Q296" s="17">
        <f>IF($C296="","",IF($L296="","",IF(AND($K296=1,ISNUMBER($L296),$L296&lt;$J296,COUNTIFS(nrES_PID,$D296,nrES_Code,$F296,nrES_Att,2,nrES_Raw,"&gt;=0")=0),"Yes","No")))</f>
        <v/>
      </c>
      <c r="R296" s="17">
        <f>IF($C296="","",IF($L296="","",IF(AND($K296=2,ISNUMBER($L296),$L296&lt;$J296),"Yes","No")))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OR($C296="",$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RANGE",IF(COUNTIF(nrES_RecID,$B296)&gt;1,"DUPLICATE RECORD",IF(AND($K296=2,COUNTIFS(nrES_PID,$D296,nrES_Code,$F296,nrES_Att,1)=0),"ATTEMPT 2 WITHOUT ATTEMPT 1",IF(AND($K296=2,$L296=""),"RETEST ROW HAS NO SCORE",IF(AND($H296="Final",$L296&lt;&gt;"",IFERROR(INDEX(nrCKfinalExamElig,MATCH($D296,rngCadetPIDs,0)),"")="No"),"FINAL EXAM AFTER FAILED FINAL PT (500.1.H)","OK")))))))</f>
        <v/>
      </c>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IF($C297="","",IF($K297="","",IF(COUNTIFS(nrES_PID,$D297,nrES_Code,$F297,nrES_Att,"&gt;"&amp;$K297,nrES_Raw,"&gt;=0")=0,"Yes","No")))</f>
        <v/>
      </c>
      <c r="Q297" s="17">
        <f>IF($C297="","",IF($L297="","",IF(AND($K297=1,ISNUMBER($L297),$L297&lt;$J297,COUNTIFS(nrES_PID,$D297,nrES_Code,$F297,nrES_Att,2,nrES_Raw,"&gt;=0")=0),"Yes","No")))</f>
        <v/>
      </c>
      <c r="R297" s="17">
        <f>IF($C297="","",IF($L297="","",IF(AND($K297=2,ISNUMBER($L297),$L297&lt;$J297),"Yes","No")))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OR($C297="",$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RANGE",IF(COUNTIF(nrES_RecID,$B297)&gt;1,"DUPLICATE RECORD",IF(AND($K297=2,COUNTIFS(nrES_PID,$D297,nrES_Code,$F297,nrES_Att,1)=0),"ATTEMPT 2 WITHOUT ATTEMPT 1",IF(AND($K297=2,$L297=""),"RETEST ROW HAS NO SCORE",IF(AND($H297="Final",$L297&lt;&gt;"",IFERROR(INDEX(nrCKfinalExamElig,MATCH($D297,rngCadetPIDs,0)),"")="No"),"FINAL EXAM AFTER FAILED FINAL PT (500.1.H)","OK")))))))</f>
        <v/>
      </c>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IF($C298="","",IF($K298="","",IF(COUNTIFS(nrES_PID,$D298,nrES_Code,$F298,nrES_Att,"&gt;"&amp;$K298,nrES_Raw,"&gt;=0")=0,"Yes","No")))</f>
        <v/>
      </c>
      <c r="Q298" s="17">
        <f>IF($C298="","",IF($L298="","",IF(AND($K298=1,ISNUMBER($L298),$L298&lt;$J298,COUNTIFS(nrES_PID,$D298,nrES_Code,$F298,nrES_Att,2,nrES_Raw,"&gt;=0")=0),"Yes","No")))</f>
        <v/>
      </c>
      <c r="R298" s="17">
        <f>IF($C298="","",IF($L298="","",IF(AND($K298=2,ISNUMBER($L298),$L298&lt;$J298),"Yes","No")))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OR($C298="",$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RANGE",IF(COUNTIF(nrES_RecID,$B298)&gt;1,"DUPLICATE RECORD",IF(AND($K298=2,COUNTIFS(nrES_PID,$D298,nrES_Code,$F298,nrES_Att,1)=0),"ATTEMPT 2 WITHOUT ATTEMPT 1",IF(AND($K298=2,$L298=""),"RETEST ROW HAS NO SCORE",IF(AND($H298="Final",$L298&lt;&gt;"",IFERROR(INDEX(nrCKfinalExamElig,MATCH($D298,rngCadetPIDs,0)),"")="No"),"FINAL EXAM AFTER FAILED FINAL PT (500.1.H)","OK")))))))</f>
        <v/>
      </c>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IF($C299="","",IF($K299="","",IF(COUNTIFS(nrES_PID,$D299,nrES_Code,$F299,nrES_Att,"&gt;"&amp;$K299,nrES_Raw,"&gt;=0")=0,"Yes","No")))</f>
        <v/>
      </c>
      <c r="Q299" s="17">
        <f>IF($C299="","",IF($L299="","",IF(AND($K299=1,ISNUMBER($L299),$L299&lt;$J299,COUNTIFS(nrES_PID,$D299,nrES_Code,$F299,nrES_Att,2,nrES_Raw,"&gt;=0")=0),"Yes","No")))</f>
        <v/>
      </c>
      <c r="R299" s="17">
        <f>IF($C299="","",IF($L299="","",IF(AND($K299=2,ISNUMBER($L299),$L299&lt;$J299),"Yes","No")))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OR($C299="",$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RANGE",IF(COUNTIF(nrES_RecID,$B299)&gt;1,"DUPLICATE RECORD",IF(AND($K299=2,COUNTIFS(nrES_PID,$D299,nrES_Code,$F299,nrES_Att,1)=0),"ATTEMPT 2 WITHOUT ATTEMPT 1",IF(AND($K299=2,$L299=""),"RETEST ROW HAS NO SCORE",IF(AND($H299="Final",$L299&lt;&gt;"",IFERROR(INDEX(nrCKfinalExamElig,MATCH($D299,rngCadetPIDs,0)),"")="No"),"FINAL EXAM AFTER FAILED FINAL PT (500.1.H)","OK")))))))</f>
        <v/>
      </c>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IF($C300="","",IF($K300="","",IF(COUNTIFS(nrES_PID,$D300,nrES_Code,$F300,nrES_Att,"&gt;"&amp;$K300,nrES_Raw,"&gt;=0")=0,"Yes","No")))</f>
        <v/>
      </c>
      <c r="Q300" s="17">
        <f>IF($C300="","",IF($L300="","",IF(AND($K300=1,ISNUMBER($L300),$L300&lt;$J300,COUNTIFS(nrES_PID,$D300,nrES_Code,$F300,nrES_Att,2,nrES_Raw,"&gt;=0")=0),"Yes","No")))</f>
        <v/>
      </c>
      <c r="R300" s="17">
        <f>IF($C300="","",IF($L300="","",IF(AND($K300=2,ISNUMBER($L300),$L300&lt;$J300),"Yes","No")))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OR($C300="",$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RANGE",IF(COUNTIF(nrES_RecID,$B300)&gt;1,"DUPLICATE RECORD",IF(AND($K300=2,COUNTIFS(nrES_PID,$D300,nrES_Code,$F300,nrES_Att,1)=0),"ATTEMPT 2 WITHOUT ATTEMPT 1",IF(AND($K300=2,$L300=""),"RETEST ROW HAS NO SCORE",IF(AND($H300="Final",$L300&lt;&gt;"",IFERROR(INDEX(nrCKfinalExamElig,MATCH($D300,rngCadetPIDs,0)),"")="No"),"FINAL EXAM AFTER FAILED FINAL PT (500.1.H)","OK")))))))</f>
        <v/>
      </c>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IF($C301="","",IF($K301="","",IF(COUNTIFS(nrES_PID,$D301,nrES_Code,$F301,nrES_Att,"&gt;"&amp;$K301,nrES_Raw,"&gt;=0")=0,"Yes","No")))</f>
        <v/>
      </c>
      <c r="Q301" s="17">
        <f>IF($C301="","",IF($L301="","",IF(AND($K301=1,ISNUMBER($L301),$L301&lt;$J301,COUNTIFS(nrES_PID,$D301,nrES_Code,$F301,nrES_Att,2,nrES_Raw,"&gt;=0")=0),"Yes","No")))</f>
        <v/>
      </c>
      <c r="R301" s="17">
        <f>IF($C301="","",IF($L301="","",IF(AND($K301=2,ISNUMBER($L301),$L301&lt;$J301),"Yes","No")))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OR($C301="",$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RANGE",IF(COUNTIF(nrES_RecID,$B301)&gt;1,"DUPLICATE RECORD",IF(AND($K301=2,COUNTIFS(nrES_PID,$D301,nrES_Code,$F301,nrES_Att,1)=0),"ATTEMPT 2 WITHOUT ATTEMPT 1",IF(AND($K301=2,$L301=""),"RETEST ROW HAS NO SCORE",IF(AND($H301="Final",$L301&lt;&gt;"",IFERROR(INDEX(nrCKfinalExamElig,MATCH($D301,rngCadetPIDs,0)),"")="No"),"FINAL EXAM AFTER FAILED FINAL PT (500.1.H)","OK")))))))</f>
        <v/>
      </c>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IF($C302="","",IF($K302="","",IF(COUNTIFS(nrES_PID,$D302,nrES_Code,$F302,nrES_Att,"&gt;"&amp;$K302,nrES_Raw,"&gt;=0")=0,"Yes","No")))</f>
        <v/>
      </c>
      <c r="Q302" s="17">
        <f>IF($C302="","",IF($L302="","",IF(AND($K302=1,ISNUMBER($L302),$L302&lt;$J302,COUNTIFS(nrES_PID,$D302,nrES_Code,$F302,nrES_Att,2,nrES_Raw,"&gt;=0")=0),"Yes","No")))</f>
        <v/>
      </c>
      <c r="R302" s="17">
        <f>IF($C302="","",IF($L302="","",IF(AND($K302=2,ISNUMBER($L302),$L302&lt;$J302),"Yes","No")))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OR($C302="",$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RANGE",IF(COUNTIF(nrES_RecID,$B302)&gt;1,"DUPLICATE RECORD",IF(AND($K302=2,COUNTIFS(nrES_PID,$D302,nrES_Code,$F302,nrES_Att,1)=0),"ATTEMPT 2 WITHOUT ATTEMPT 1",IF(AND($K302=2,$L302=""),"RETEST ROW HAS NO SCORE",IF(AND($H302="Final",$L302&lt;&gt;"",IFERROR(INDEX(nrCKfinalExamElig,MATCH($D302,rngCadetPIDs,0)),"")="No"),"FINAL EXAM AFTER FAILED FINAL PT (500.1.H)","OK")))))))</f>
        <v/>
      </c>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IF($C303="","",IF($K303="","",IF(COUNTIFS(nrES_PID,$D303,nrES_Code,$F303,nrES_Att,"&gt;"&amp;$K303,nrES_Raw,"&gt;=0")=0,"Yes","No")))</f>
        <v/>
      </c>
      <c r="Q303" s="17">
        <f>IF($C303="","",IF($L303="","",IF(AND($K303=1,ISNUMBER($L303),$L303&lt;$J303,COUNTIFS(nrES_PID,$D303,nrES_Code,$F303,nrES_Att,2,nrES_Raw,"&gt;=0")=0),"Yes","No")))</f>
        <v/>
      </c>
      <c r="R303" s="17">
        <f>IF($C303="","",IF($L303="","",IF(AND($K303=2,ISNUMBER($L303),$L303&lt;$J303),"Yes","No")))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OR($C303="",$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RANGE",IF(COUNTIF(nrES_RecID,$B303)&gt;1,"DUPLICATE RECORD",IF(AND($K303=2,COUNTIFS(nrES_PID,$D303,nrES_Code,$F303,nrES_Att,1)=0),"ATTEMPT 2 WITHOUT ATTEMPT 1",IF(AND($K303=2,$L303=""),"RETEST ROW HAS NO SCORE",IF(AND($H303="Final",$L303&lt;&gt;"",IFERROR(INDEX(nrCKfinalExamElig,MATCH($D303,rngCadetPIDs,0)),"")="No"),"FINAL EXAM AFTER FAILED FINAL PT (500.1.H)","OK")))))))</f>
        <v/>
      </c>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IF($C304="","",IF($K304="","",IF(COUNTIFS(nrES_PID,$D304,nrES_Code,$F304,nrES_Att,"&gt;"&amp;$K304,nrES_Raw,"&gt;=0")=0,"Yes","No")))</f>
        <v/>
      </c>
      <c r="Q304" s="17">
        <f>IF($C304="","",IF($L304="","",IF(AND($K304=1,ISNUMBER($L304),$L304&lt;$J304,COUNTIFS(nrES_PID,$D304,nrES_Code,$F304,nrES_Att,2,nrES_Raw,"&gt;=0")=0),"Yes","No")))</f>
        <v/>
      </c>
      <c r="R304" s="17">
        <f>IF($C304="","",IF($L304="","",IF(AND($K304=2,ISNUMBER($L304),$L304&lt;$J304),"Yes","No")))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OR($C304="",$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RANGE",IF(COUNTIF(nrES_RecID,$B304)&gt;1,"DUPLICATE RECORD",IF(AND($K304=2,COUNTIFS(nrES_PID,$D304,nrES_Code,$F304,nrES_Att,1)=0),"ATTEMPT 2 WITHOUT ATTEMPT 1",IF(AND($K304=2,$L304=""),"RETEST ROW HAS NO SCORE",IF(AND($H304="Final",$L304&lt;&gt;"",IFERROR(INDEX(nrCKfinalExamElig,MATCH($D304,rngCadetPIDs,0)),"")="No"),"FINAL EXAM AFTER FAILED FINAL PT (500.1.H)","OK")))))))</f>
        <v/>
      </c>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IF($C305="","",IF($K305="","",IF(COUNTIFS(nrES_PID,$D305,nrES_Code,$F305,nrES_Att,"&gt;"&amp;$K305,nrES_Raw,"&gt;=0")=0,"Yes","No")))</f>
        <v/>
      </c>
      <c r="Q305" s="17">
        <f>IF($C305="","",IF($L305="","",IF(AND($K305=1,ISNUMBER($L305),$L305&lt;$J305,COUNTIFS(nrES_PID,$D305,nrES_Code,$F305,nrES_Att,2,nrES_Raw,"&gt;=0")=0),"Yes","No")))</f>
        <v/>
      </c>
      <c r="R305" s="17">
        <f>IF($C305="","",IF($L305="","",IF(AND($K305=2,ISNUMBER($L305),$L305&lt;$J305),"Yes","No")))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OR($C305="",$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RANGE",IF(COUNTIF(nrES_RecID,$B305)&gt;1,"DUPLICATE RECORD",IF(AND($K305=2,COUNTIFS(nrES_PID,$D305,nrES_Code,$F305,nrES_Att,1)=0),"ATTEMPT 2 WITHOUT ATTEMPT 1",IF(AND($K305=2,$L305=""),"RETEST ROW HAS NO SCORE",IF(AND($H305="Final",$L305&lt;&gt;"",IFERROR(INDEX(nrCKfinalExamElig,MATCH($D305,rngCadetPIDs,0)),"")="No"),"FINAL EXAM AFTER FAILED FINAL PT (500.1.H)","OK")))))))</f>
        <v/>
      </c>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IF($C306="","",IF($K306="","",IF(COUNTIFS(nrES_PID,$D306,nrES_Code,$F306,nrES_Att,"&gt;"&amp;$K306,nrES_Raw,"&gt;=0")=0,"Yes","No")))</f>
        <v/>
      </c>
      <c r="Q306" s="17">
        <f>IF($C306="","",IF($L306="","",IF(AND($K306=1,ISNUMBER($L306),$L306&lt;$J306,COUNTIFS(nrES_PID,$D306,nrES_Code,$F306,nrES_Att,2,nrES_Raw,"&gt;=0")=0),"Yes","No")))</f>
        <v/>
      </c>
      <c r="R306" s="17">
        <f>IF($C306="","",IF($L306="","",IF(AND($K306=2,ISNUMBER($L306),$L306&lt;$J306),"Yes","No")))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OR($C306="",$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RANGE",IF(COUNTIF(nrES_RecID,$B306)&gt;1,"DUPLICATE RECORD",IF(AND($K306=2,COUNTIFS(nrES_PID,$D306,nrES_Code,$F306,nrES_Att,1)=0),"ATTEMPT 2 WITHOUT ATTEMPT 1",IF(AND($K306=2,$L306=""),"RETEST ROW HAS NO SCORE",IF(AND($H306="Final",$L306&lt;&gt;"",IFERROR(INDEX(nrCKfinalExamElig,MATCH($D306,rngCadetPIDs,0)),"")="No"),"FINAL EXAM AFTER FAILED FINAL PT (500.1.H)","OK")))))))</f>
        <v/>
      </c>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IF($C307="","",IF($K307="","",IF(COUNTIFS(nrES_PID,$D307,nrES_Code,$F307,nrES_Att,"&gt;"&amp;$K307,nrES_Raw,"&gt;=0")=0,"Yes","No")))</f>
        <v/>
      </c>
      <c r="Q307" s="17">
        <f>IF($C307="","",IF($L307="","",IF(AND($K307=1,ISNUMBER($L307),$L307&lt;$J307,COUNTIFS(nrES_PID,$D307,nrES_Code,$F307,nrES_Att,2,nrES_Raw,"&gt;=0")=0),"Yes","No")))</f>
        <v/>
      </c>
      <c r="R307" s="17">
        <f>IF($C307="","",IF($L307="","",IF(AND($K307=2,ISNUMBER($L307),$L307&lt;$J307),"Yes","No")))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OR($C307="",$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RANGE",IF(COUNTIF(nrES_RecID,$B307)&gt;1,"DUPLICATE RECORD",IF(AND($K307=2,COUNTIFS(nrES_PID,$D307,nrES_Code,$F307,nrES_Att,1)=0),"ATTEMPT 2 WITHOUT ATTEMPT 1",IF(AND($K307=2,$L307=""),"RETEST ROW HAS NO SCORE",IF(AND($H307="Final",$L307&lt;&gt;"",IFERROR(INDEX(nrCKfinalExamElig,MATCH($D307,rngCadetPIDs,0)),"")="No"),"FINAL EXAM AFTER FAILED FINAL PT (500.1.H)","OK")))))))</f>
        <v/>
      </c>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IF($C308="","",IF($K308="","",IF(COUNTIFS(nrES_PID,$D308,nrES_Code,$F308,nrES_Att,"&gt;"&amp;$K308,nrES_Raw,"&gt;=0")=0,"Yes","No")))</f>
        <v/>
      </c>
      <c r="Q308" s="17">
        <f>IF($C308="","",IF($L308="","",IF(AND($K308=1,ISNUMBER($L308),$L308&lt;$J308,COUNTIFS(nrES_PID,$D308,nrES_Code,$F308,nrES_Att,2,nrES_Raw,"&gt;=0")=0),"Yes","No")))</f>
        <v/>
      </c>
      <c r="R308" s="17">
        <f>IF($C308="","",IF($L308="","",IF(AND($K308=2,ISNUMBER($L308),$L308&lt;$J308),"Yes","No")))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OR($C308="",$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RANGE",IF(COUNTIF(nrES_RecID,$B308)&gt;1,"DUPLICATE RECORD",IF(AND($K308=2,COUNTIFS(nrES_PID,$D308,nrES_Code,$F308,nrES_Att,1)=0),"ATTEMPT 2 WITHOUT ATTEMPT 1",IF(AND($K308=2,$L308=""),"RETEST ROW HAS NO SCORE",IF(AND($H308="Final",$L308&lt;&gt;"",IFERROR(INDEX(nrCKfinalExamElig,MATCH($D308,rngCadetPIDs,0)),"")="No"),"FINAL EXAM AFTER FAILED FINAL PT (500.1.H)","OK")))))))</f>
        <v/>
      </c>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IF($C309="","",IF($K309="","",IF(COUNTIFS(nrES_PID,$D309,nrES_Code,$F309,nrES_Att,"&gt;"&amp;$K309,nrES_Raw,"&gt;=0")=0,"Yes","No")))</f>
        <v/>
      </c>
      <c r="Q309" s="17">
        <f>IF($C309="","",IF($L309="","",IF(AND($K309=1,ISNUMBER($L309),$L309&lt;$J309,COUNTIFS(nrES_PID,$D309,nrES_Code,$F309,nrES_Att,2,nrES_Raw,"&gt;=0")=0),"Yes","No")))</f>
        <v/>
      </c>
      <c r="R309" s="17">
        <f>IF($C309="","",IF($L309="","",IF(AND($K309=2,ISNUMBER($L309),$L309&lt;$J309),"Yes","No")))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OR($C309="",$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RANGE",IF(COUNTIF(nrES_RecID,$B309)&gt;1,"DUPLICATE RECORD",IF(AND($K309=2,COUNTIFS(nrES_PID,$D309,nrES_Code,$F309,nrES_Att,1)=0),"ATTEMPT 2 WITHOUT ATTEMPT 1",IF(AND($K309=2,$L309=""),"RETEST ROW HAS NO SCORE",IF(AND($H309="Final",$L309&lt;&gt;"",IFERROR(INDEX(nrCKfinalExamElig,MATCH($D309,rngCadetPIDs,0)),"")="No"),"FINAL EXAM AFTER FAILED FINAL PT (500.1.H)","OK")))))))</f>
        <v/>
      </c>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IF($C310="","",IF($K310="","",IF(COUNTIFS(nrES_PID,$D310,nrES_Code,$F310,nrES_Att,"&gt;"&amp;$K310,nrES_Raw,"&gt;=0")=0,"Yes","No")))</f>
        <v/>
      </c>
      <c r="Q310" s="17">
        <f>IF($C310="","",IF($L310="","",IF(AND($K310=1,ISNUMBER($L310),$L310&lt;$J310,COUNTIFS(nrES_PID,$D310,nrES_Code,$F310,nrES_Att,2,nrES_Raw,"&gt;=0")=0),"Yes","No")))</f>
        <v/>
      </c>
      <c r="R310" s="17">
        <f>IF($C310="","",IF($L310="","",IF(AND($K310=2,ISNUMBER($L310),$L310&lt;$J310),"Yes","No")))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OR($C310="",$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RANGE",IF(COUNTIF(nrES_RecID,$B310)&gt;1,"DUPLICATE RECORD",IF(AND($K310=2,COUNTIFS(nrES_PID,$D310,nrES_Code,$F310,nrES_Att,1)=0),"ATTEMPT 2 WITHOUT ATTEMPT 1",IF(AND($K310=2,$L310=""),"RETEST ROW HAS NO SCORE",IF(AND($H310="Final",$L310&lt;&gt;"",IFERROR(INDEX(nrCKfinalExamElig,MATCH($D310,rngCadetPIDs,0)),"")="No"),"FINAL EXAM AFTER FAILED FINAL PT (500.1.H)","OK")))))))</f>
        <v/>
      </c>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IF($C311="","",IF($K311="","",IF(COUNTIFS(nrES_PID,$D311,nrES_Code,$F311,nrES_Att,"&gt;"&amp;$K311,nrES_Raw,"&gt;=0")=0,"Yes","No")))</f>
        <v/>
      </c>
      <c r="Q311" s="17">
        <f>IF($C311="","",IF($L311="","",IF(AND($K311=1,ISNUMBER($L311),$L311&lt;$J311,COUNTIFS(nrES_PID,$D311,nrES_Code,$F311,nrES_Att,2,nrES_Raw,"&gt;=0")=0),"Yes","No")))</f>
        <v/>
      </c>
      <c r="R311" s="17">
        <f>IF($C311="","",IF($L311="","",IF(AND($K311=2,ISNUMBER($L311),$L311&lt;$J311),"Yes","No")))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OR($C311="",$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RANGE",IF(COUNTIF(nrES_RecID,$B311)&gt;1,"DUPLICATE RECORD",IF(AND($K311=2,COUNTIFS(nrES_PID,$D311,nrES_Code,$F311,nrES_Att,1)=0),"ATTEMPT 2 WITHOUT ATTEMPT 1",IF(AND($K311=2,$L311=""),"RETEST ROW HAS NO SCORE",IF(AND($H311="Final",$L311&lt;&gt;"",IFERROR(INDEX(nrCKfinalExamElig,MATCH($D311,rngCadetPIDs,0)),"")="No"),"FINAL EXAM AFTER FAILED FINAL PT (500.1.H)","OK")))))))</f>
        <v/>
      </c>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IF($C312="","",IF($K312="","",IF(COUNTIFS(nrES_PID,$D312,nrES_Code,$F312,nrES_Att,"&gt;"&amp;$K312,nrES_Raw,"&gt;=0")=0,"Yes","No")))</f>
        <v/>
      </c>
      <c r="Q312" s="17">
        <f>IF($C312="","",IF($L312="","",IF(AND($K312=1,ISNUMBER($L312),$L312&lt;$J312,COUNTIFS(nrES_PID,$D312,nrES_Code,$F312,nrES_Att,2,nrES_Raw,"&gt;=0")=0),"Yes","No")))</f>
        <v/>
      </c>
      <c r="R312" s="17">
        <f>IF($C312="","",IF($L312="","",IF(AND($K312=2,ISNUMBER($L312),$L312&lt;$J312),"Yes","No")))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OR($C312="",$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RANGE",IF(COUNTIF(nrES_RecID,$B312)&gt;1,"DUPLICATE RECORD",IF(AND($K312=2,COUNTIFS(nrES_PID,$D312,nrES_Code,$F312,nrES_Att,1)=0),"ATTEMPT 2 WITHOUT ATTEMPT 1",IF(AND($K312=2,$L312=""),"RETEST ROW HAS NO SCORE",IF(AND($H312="Final",$L312&lt;&gt;"",IFERROR(INDEX(nrCKfinalExamElig,MATCH($D312,rngCadetPIDs,0)),"")="No"),"FINAL EXAM AFTER FAILED FINAL PT (500.1.H)","OK")))))))</f>
        <v/>
      </c>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IF($C313="","",IF($K313="","",IF(COUNTIFS(nrES_PID,$D313,nrES_Code,$F313,nrES_Att,"&gt;"&amp;$K313,nrES_Raw,"&gt;=0")=0,"Yes","No")))</f>
        <v/>
      </c>
      <c r="Q313" s="17">
        <f>IF($C313="","",IF($L313="","",IF(AND($K313=1,ISNUMBER($L313),$L313&lt;$J313,COUNTIFS(nrES_PID,$D313,nrES_Code,$F313,nrES_Att,2,nrES_Raw,"&gt;=0")=0),"Yes","No")))</f>
        <v/>
      </c>
      <c r="R313" s="17">
        <f>IF($C313="","",IF($L313="","",IF(AND($K313=2,ISNUMBER($L313),$L313&lt;$J313),"Yes","No")))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OR($C313="",$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RANGE",IF(COUNTIF(nrES_RecID,$B313)&gt;1,"DUPLICATE RECORD",IF(AND($K313=2,COUNTIFS(nrES_PID,$D313,nrES_Code,$F313,nrES_Att,1)=0),"ATTEMPT 2 WITHOUT ATTEMPT 1",IF(AND($K313=2,$L313=""),"RETEST ROW HAS NO SCORE",IF(AND($H313="Final",$L313&lt;&gt;"",IFERROR(INDEX(nrCKfinalExamElig,MATCH($D313,rngCadetPIDs,0)),"")="No"),"FINAL EXAM AFTER FAILED FINAL PT (500.1.H)","OK")))))))</f>
        <v/>
      </c>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IF($C314="","",IF($K314="","",IF(COUNTIFS(nrES_PID,$D314,nrES_Code,$F314,nrES_Att,"&gt;"&amp;$K314,nrES_Raw,"&gt;=0")=0,"Yes","No")))</f>
        <v/>
      </c>
      <c r="Q314" s="17">
        <f>IF($C314="","",IF($L314="","",IF(AND($K314=1,ISNUMBER($L314),$L314&lt;$J314,COUNTIFS(nrES_PID,$D314,nrES_Code,$F314,nrES_Att,2,nrES_Raw,"&gt;=0")=0),"Yes","No")))</f>
        <v/>
      </c>
      <c r="R314" s="17">
        <f>IF($C314="","",IF($L314="","",IF(AND($K314=2,ISNUMBER($L314),$L314&lt;$J314),"Yes","No")))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OR($C314="",$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RANGE",IF(COUNTIF(nrES_RecID,$B314)&gt;1,"DUPLICATE RECORD",IF(AND($K314=2,COUNTIFS(nrES_PID,$D314,nrES_Code,$F314,nrES_Att,1)=0),"ATTEMPT 2 WITHOUT ATTEMPT 1",IF(AND($K314=2,$L314=""),"RETEST ROW HAS NO SCORE",IF(AND($H314="Final",$L314&lt;&gt;"",IFERROR(INDEX(nrCKfinalExamElig,MATCH($D314,rngCadetPIDs,0)),"")="No"),"FINAL EXAM AFTER FAILED FINAL PT (500.1.H)","OK")))))))</f>
        <v/>
      </c>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IF($C315="","",IF($K315="","",IF(COUNTIFS(nrES_PID,$D315,nrES_Code,$F315,nrES_Att,"&gt;"&amp;$K315,nrES_Raw,"&gt;=0")=0,"Yes","No")))</f>
        <v/>
      </c>
      <c r="Q315" s="17">
        <f>IF($C315="","",IF($L315="","",IF(AND($K315=1,ISNUMBER($L315),$L315&lt;$J315,COUNTIFS(nrES_PID,$D315,nrES_Code,$F315,nrES_Att,2,nrES_Raw,"&gt;=0")=0),"Yes","No")))</f>
        <v/>
      </c>
      <c r="R315" s="17">
        <f>IF($C315="","",IF($L315="","",IF(AND($K315=2,ISNUMBER($L315),$L315&lt;$J315),"Yes","No")))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OR($C315="",$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RANGE",IF(COUNTIF(nrES_RecID,$B315)&gt;1,"DUPLICATE RECORD",IF(AND($K315=2,COUNTIFS(nrES_PID,$D315,nrES_Code,$F315,nrES_Att,1)=0),"ATTEMPT 2 WITHOUT ATTEMPT 1",IF(AND($K315=2,$L315=""),"RETEST ROW HAS NO SCORE",IF(AND($H315="Final",$L315&lt;&gt;"",IFERROR(INDEX(nrCKfinalExamElig,MATCH($D315,rngCadetPIDs,0)),"")="No"),"FINAL EXAM AFTER FAILED FINAL PT (500.1.H)","OK")))))))</f>
        <v/>
      </c>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IF($C316="","",IF($K316="","",IF(COUNTIFS(nrES_PID,$D316,nrES_Code,$F316,nrES_Att,"&gt;"&amp;$K316,nrES_Raw,"&gt;=0")=0,"Yes","No")))</f>
        <v/>
      </c>
      <c r="Q316" s="17">
        <f>IF($C316="","",IF($L316="","",IF(AND($K316=1,ISNUMBER($L316),$L316&lt;$J316,COUNTIFS(nrES_PID,$D316,nrES_Code,$F316,nrES_Att,2,nrES_Raw,"&gt;=0")=0),"Yes","No")))</f>
        <v/>
      </c>
      <c r="R316" s="17">
        <f>IF($C316="","",IF($L316="","",IF(AND($K316=2,ISNUMBER($L316),$L316&lt;$J316),"Yes","No")))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OR($C316="",$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RANGE",IF(COUNTIF(nrES_RecID,$B316)&gt;1,"DUPLICATE RECORD",IF(AND($K316=2,COUNTIFS(nrES_PID,$D316,nrES_Code,$F316,nrES_Att,1)=0),"ATTEMPT 2 WITHOUT ATTEMPT 1",IF(AND($K316=2,$L316=""),"RETEST ROW HAS NO SCORE",IF(AND($H316="Final",$L316&lt;&gt;"",IFERROR(INDEX(nrCKfinalExamElig,MATCH($D316,rngCadetPIDs,0)),"")="No"),"FINAL EXAM AFTER FAILED FINAL PT (500.1.H)","OK")))))))</f>
        <v/>
      </c>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IF($C317="","",IF($K317="","",IF(COUNTIFS(nrES_PID,$D317,nrES_Code,$F317,nrES_Att,"&gt;"&amp;$K317,nrES_Raw,"&gt;=0")=0,"Yes","No")))</f>
        <v/>
      </c>
      <c r="Q317" s="17">
        <f>IF($C317="","",IF($L317="","",IF(AND($K317=1,ISNUMBER($L317),$L317&lt;$J317,COUNTIFS(nrES_PID,$D317,nrES_Code,$F317,nrES_Att,2,nrES_Raw,"&gt;=0")=0),"Yes","No")))</f>
        <v/>
      </c>
      <c r="R317" s="17">
        <f>IF($C317="","",IF($L317="","",IF(AND($K317=2,ISNUMBER($L317),$L317&lt;$J317),"Yes","No")))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OR($C317="",$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RANGE",IF(COUNTIF(nrES_RecID,$B317)&gt;1,"DUPLICATE RECORD",IF(AND($K317=2,COUNTIFS(nrES_PID,$D317,nrES_Code,$F317,nrES_Att,1)=0),"ATTEMPT 2 WITHOUT ATTEMPT 1",IF(AND($K317=2,$L317=""),"RETEST ROW HAS NO SCORE",IF(AND($H317="Final",$L317&lt;&gt;"",IFERROR(INDEX(nrCKfinalExamElig,MATCH($D317,rngCadetPIDs,0)),"")="No"),"FINAL EXAM AFTER FAILED FINAL PT (500.1.H)","OK")))))))</f>
        <v/>
      </c>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IF($C318="","",IF($K318="","",IF(COUNTIFS(nrES_PID,$D318,nrES_Code,$F318,nrES_Att,"&gt;"&amp;$K318,nrES_Raw,"&gt;=0")=0,"Yes","No")))</f>
        <v/>
      </c>
      <c r="Q318" s="17">
        <f>IF($C318="","",IF($L318="","",IF(AND($K318=1,ISNUMBER($L318),$L318&lt;$J318,COUNTIFS(nrES_PID,$D318,nrES_Code,$F318,nrES_Att,2,nrES_Raw,"&gt;=0")=0),"Yes","No")))</f>
        <v/>
      </c>
      <c r="R318" s="17">
        <f>IF($C318="","",IF($L318="","",IF(AND($K318=2,ISNUMBER($L318),$L318&lt;$J318),"Yes","No")))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OR($C318="",$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RANGE",IF(COUNTIF(nrES_RecID,$B318)&gt;1,"DUPLICATE RECORD",IF(AND($K318=2,COUNTIFS(nrES_PID,$D318,nrES_Code,$F318,nrES_Att,1)=0),"ATTEMPT 2 WITHOUT ATTEMPT 1",IF(AND($K318=2,$L318=""),"RETEST ROW HAS NO SCORE",IF(AND($H318="Final",$L318&lt;&gt;"",IFERROR(INDEX(nrCKfinalExamElig,MATCH($D318,rngCadetPIDs,0)),"")="No"),"FINAL EXAM AFTER FAILED FINAL PT (500.1.H)","OK")))))))</f>
        <v/>
      </c>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IF($C319="","",IF($K319="","",IF(COUNTIFS(nrES_PID,$D319,nrES_Code,$F319,nrES_Att,"&gt;"&amp;$K319,nrES_Raw,"&gt;=0")=0,"Yes","No")))</f>
        <v/>
      </c>
      <c r="Q319" s="17">
        <f>IF($C319="","",IF($L319="","",IF(AND($K319=1,ISNUMBER($L319),$L319&lt;$J319,COUNTIFS(nrES_PID,$D319,nrES_Code,$F319,nrES_Att,2,nrES_Raw,"&gt;=0")=0),"Yes","No")))</f>
        <v/>
      </c>
      <c r="R319" s="17">
        <f>IF($C319="","",IF($L319="","",IF(AND($K319=2,ISNUMBER($L319),$L319&lt;$J319),"Yes","No")))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OR($C319="",$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RANGE",IF(COUNTIF(nrES_RecID,$B319)&gt;1,"DUPLICATE RECORD",IF(AND($K319=2,COUNTIFS(nrES_PID,$D319,nrES_Code,$F319,nrES_Att,1)=0),"ATTEMPT 2 WITHOUT ATTEMPT 1",IF(AND($K319=2,$L319=""),"RETEST ROW HAS NO SCORE",IF(AND($H319="Final",$L319&lt;&gt;"",IFERROR(INDEX(nrCKfinalExamElig,MATCH($D319,rngCadetPIDs,0)),"")="No"),"FINAL EXAM AFTER FAILED FINAL PT (500.1.H)","OK")))))))</f>
        <v/>
      </c>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IF($C320="","",IF($K320="","",IF(COUNTIFS(nrES_PID,$D320,nrES_Code,$F320,nrES_Att,"&gt;"&amp;$K320,nrES_Raw,"&gt;=0")=0,"Yes","No")))</f>
        <v/>
      </c>
      <c r="Q320" s="17">
        <f>IF($C320="","",IF($L320="","",IF(AND($K320=1,ISNUMBER($L320),$L320&lt;$J320,COUNTIFS(nrES_PID,$D320,nrES_Code,$F320,nrES_Att,2,nrES_Raw,"&gt;=0")=0),"Yes","No")))</f>
        <v/>
      </c>
      <c r="R320" s="17">
        <f>IF($C320="","",IF($L320="","",IF(AND($K320=2,ISNUMBER($L320),$L320&lt;$J320),"Yes","No")))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OR($C320="",$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RANGE",IF(COUNTIF(nrES_RecID,$B320)&gt;1,"DUPLICATE RECORD",IF(AND($K320=2,COUNTIFS(nrES_PID,$D320,nrES_Code,$F320,nrES_Att,1)=0),"ATTEMPT 2 WITHOUT ATTEMPT 1",IF(AND($K320=2,$L320=""),"RETEST ROW HAS NO SCORE",IF(AND($H320="Final",$L320&lt;&gt;"",IFERROR(INDEX(nrCKfinalExamElig,MATCH($D320,rngCadetPIDs,0)),"")="No"),"FINAL EXAM AFTER FAILED FINAL PT (500.1.H)","OK")))))))</f>
        <v/>
      </c>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IF($C321="","",IF($K321="","",IF(COUNTIFS(nrES_PID,$D321,nrES_Code,$F321,nrES_Att,"&gt;"&amp;$K321,nrES_Raw,"&gt;=0")=0,"Yes","No")))</f>
        <v/>
      </c>
      <c r="Q321" s="17">
        <f>IF($C321="","",IF($L321="","",IF(AND($K321=1,ISNUMBER($L321),$L321&lt;$J321,COUNTIFS(nrES_PID,$D321,nrES_Code,$F321,nrES_Att,2,nrES_Raw,"&gt;=0")=0),"Yes","No")))</f>
        <v/>
      </c>
      <c r="R321" s="17">
        <f>IF($C321="","",IF($L321="","",IF(AND($K321=2,ISNUMBER($L321),$L321&lt;$J321),"Yes","No")))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OR($C321="",$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RANGE",IF(COUNTIF(nrES_RecID,$B321)&gt;1,"DUPLICATE RECORD",IF(AND($K321=2,COUNTIFS(nrES_PID,$D321,nrES_Code,$F321,nrES_Att,1)=0),"ATTEMPT 2 WITHOUT ATTEMPT 1",IF(AND($K321=2,$L321=""),"RETEST ROW HAS NO SCORE",IF(AND($H321="Final",$L321&lt;&gt;"",IFERROR(INDEX(nrCKfinalExamElig,MATCH($D321,rngCadetPIDs,0)),"")="No"),"FINAL EXAM AFTER FAILED FINAL PT (500.1.H)","OK")))))))</f>
        <v/>
      </c>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IF($C322="","",IF($K322="","",IF(COUNTIFS(nrES_PID,$D322,nrES_Code,$F322,nrES_Att,"&gt;"&amp;$K322,nrES_Raw,"&gt;=0")=0,"Yes","No")))</f>
        <v/>
      </c>
      <c r="Q322" s="17">
        <f>IF($C322="","",IF($L322="","",IF(AND($K322=1,ISNUMBER($L322),$L322&lt;$J322,COUNTIFS(nrES_PID,$D322,nrES_Code,$F322,nrES_Att,2,nrES_Raw,"&gt;=0")=0),"Yes","No")))</f>
        <v/>
      </c>
      <c r="R322" s="17">
        <f>IF($C322="","",IF($L322="","",IF(AND($K322=2,ISNUMBER($L322),$L322&lt;$J322),"Yes","No")))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OR($C322="",$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RANGE",IF(COUNTIF(nrES_RecID,$B322)&gt;1,"DUPLICATE RECORD",IF(AND($K322=2,COUNTIFS(nrES_PID,$D322,nrES_Code,$F322,nrES_Att,1)=0),"ATTEMPT 2 WITHOUT ATTEMPT 1",IF(AND($K322=2,$L322=""),"RETEST ROW HAS NO SCORE",IF(AND($H322="Final",$L322&lt;&gt;"",IFERROR(INDEX(nrCKfinalExamElig,MATCH($D322,rngCadetPIDs,0)),"")="No"),"FINAL EXAM AFTER FAILED FINAL PT (500.1.H)","OK")))))))</f>
        <v/>
      </c>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IF($C323="","",IF($K323="","",IF(COUNTIFS(nrES_PID,$D323,nrES_Code,$F323,nrES_Att,"&gt;"&amp;$K323,nrES_Raw,"&gt;=0")=0,"Yes","No")))</f>
        <v/>
      </c>
      <c r="Q323" s="17">
        <f>IF($C323="","",IF($L323="","",IF(AND($K323=1,ISNUMBER($L323),$L323&lt;$J323,COUNTIFS(nrES_PID,$D323,nrES_Code,$F323,nrES_Att,2,nrES_Raw,"&gt;=0")=0),"Yes","No")))</f>
        <v/>
      </c>
      <c r="R323" s="17">
        <f>IF($C323="","",IF($L323="","",IF(AND($K323=2,ISNUMBER($L323),$L323&lt;$J323),"Yes","No")))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OR($C323="",$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RANGE",IF(COUNTIF(nrES_RecID,$B323)&gt;1,"DUPLICATE RECORD",IF(AND($K323=2,COUNTIFS(nrES_PID,$D323,nrES_Code,$F323,nrES_Att,1)=0),"ATTEMPT 2 WITHOUT ATTEMPT 1",IF(AND($K323=2,$L323=""),"RETEST ROW HAS NO SCORE",IF(AND($H323="Final",$L323&lt;&gt;"",IFERROR(INDEX(nrCKfinalExamElig,MATCH($D323,rngCadetPIDs,0)),"")="No"),"FINAL EXAM AFTER FAILED FINAL PT (500.1.H)","OK")))))))</f>
        <v/>
      </c>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IF($C324="","",IF($K324="","",IF(COUNTIFS(nrES_PID,$D324,nrES_Code,$F324,nrES_Att,"&gt;"&amp;$K324,nrES_Raw,"&gt;=0")=0,"Yes","No")))</f>
        <v/>
      </c>
      <c r="Q324" s="17">
        <f>IF($C324="","",IF($L324="","",IF(AND($K324=1,ISNUMBER($L324),$L324&lt;$J324,COUNTIFS(nrES_PID,$D324,nrES_Code,$F324,nrES_Att,2,nrES_Raw,"&gt;=0")=0),"Yes","No")))</f>
        <v/>
      </c>
      <c r="R324" s="17">
        <f>IF($C324="","",IF($L324="","",IF(AND($K324=2,ISNUMBER($L324),$L324&lt;$J324),"Yes","No")))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OR($C324="",$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RANGE",IF(COUNTIF(nrES_RecID,$B324)&gt;1,"DUPLICATE RECORD",IF(AND($K324=2,COUNTIFS(nrES_PID,$D324,nrES_Code,$F324,nrES_Att,1)=0),"ATTEMPT 2 WITHOUT ATTEMPT 1",IF(AND($K324=2,$L324=""),"RETEST ROW HAS NO SCORE",IF(AND($H324="Final",$L324&lt;&gt;"",IFERROR(INDEX(nrCKfinalExamElig,MATCH($D324,rngCadetPIDs,0)),"")="No"),"FINAL EXAM AFTER FAILED FINAL PT (500.1.H)","OK")))))))</f>
        <v/>
      </c>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IF($C325="","",IF($K325="","",IF(COUNTIFS(nrES_PID,$D325,nrES_Code,$F325,nrES_Att,"&gt;"&amp;$K325,nrES_Raw,"&gt;=0")=0,"Yes","No")))</f>
        <v/>
      </c>
      <c r="Q325" s="17">
        <f>IF($C325="","",IF($L325="","",IF(AND($K325=1,ISNUMBER($L325),$L325&lt;$J325,COUNTIFS(nrES_PID,$D325,nrES_Code,$F325,nrES_Att,2,nrES_Raw,"&gt;=0")=0),"Yes","No")))</f>
        <v/>
      </c>
      <c r="R325" s="17">
        <f>IF($C325="","",IF($L325="","",IF(AND($K325=2,ISNUMBER($L325),$L325&lt;$J325),"Yes","No")))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OR($C325="",$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RANGE",IF(COUNTIF(nrES_RecID,$B325)&gt;1,"DUPLICATE RECORD",IF(AND($K325=2,COUNTIFS(nrES_PID,$D325,nrES_Code,$F325,nrES_Att,1)=0),"ATTEMPT 2 WITHOUT ATTEMPT 1",IF(AND($K325=2,$L325=""),"RETEST ROW HAS NO SCORE",IF(AND($H325="Final",$L325&lt;&gt;"",IFERROR(INDEX(nrCKfinalExamElig,MATCH($D325,rngCadetPIDs,0)),"")="No"),"FINAL EXAM AFTER FAILED FINAL PT (500.1.H)","OK")))))))</f>
        <v/>
      </c>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IF($C326="","",IF($K326="","",IF(COUNTIFS(nrES_PID,$D326,nrES_Code,$F326,nrES_Att,"&gt;"&amp;$K326,nrES_Raw,"&gt;=0")=0,"Yes","No")))</f>
        <v/>
      </c>
      <c r="Q326" s="17">
        <f>IF($C326="","",IF($L326="","",IF(AND($K326=1,ISNUMBER($L326),$L326&lt;$J326,COUNTIFS(nrES_PID,$D326,nrES_Code,$F326,nrES_Att,2,nrES_Raw,"&gt;=0")=0),"Yes","No")))</f>
        <v/>
      </c>
      <c r="R326" s="17">
        <f>IF($C326="","",IF($L326="","",IF(AND($K326=2,ISNUMBER($L326),$L326&lt;$J326),"Yes","No")))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OR($C326="",$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RANGE",IF(COUNTIF(nrES_RecID,$B326)&gt;1,"DUPLICATE RECORD",IF(AND($K326=2,COUNTIFS(nrES_PID,$D326,nrES_Code,$F326,nrES_Att,1)=0),"ATTEMPT 2 WITHOUT ATTEMPT 1",IF(AND($K326=2,$L326=""),"RETEST ROW HAS NO SCORE",IF(AND($H326="Final",$L326&lt;&gt;"",IFERROR(INDEX(nrCKfinalExamElig,MATCH($D326,rngCadetPIDs,0)),"")="No"),"FINAL EXAM AFTER FAILED FINAL PT (500.1.H)","OK")))))))</f>
        <v/>
      </c>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IF($C327="","",IF($K327="","",IF(COUNTIFS(nrES_PID,$D327,nrES_Code,$F327,nrES_Att,"&gt;"&amp;$K327,nrES_Raw,"&gt;=0")=0,"Yes","No")))</f>
        <v/>
      </c>
      <c r="Q327" s="17">
        <f>IF($C327="","",IF($L327="","",IF(AND($K327=1,ISNUMBER($L327),$L327&lt;$J327,COUNTIFS(nrES_PID,$D327,nrES_Code,$F327,nrES_Att,2,nrES_Raw,"&gt;=0")=0),"Yes","No")))</f>
        <v/>
      </c>
      <c r="R327" s="17">
        <f>IF($C327="","",IF($L327="","",IF(AND($K327=2,ISNUMBER($L327),$L327&lt;$J327),"Yes","No")))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OR($C327="",$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RANGE",IF(COUNTIF(nrES_RecID,$B327)&gt;1,"DUPLICATE RECORD",IF(AND($K327=2,COUNTIFS(nrES_PID,$D327,nrES_Code,$F327,nrES_Att,1)=0),"ATTEMPT 2 WITHOUT ATTEMPT 1",IF(AND($K327=2,$L327=""),"RETEST ROW HAS NO SCORE",IF(AND($H327="Final",$L327&lt;&gt;"",IFERROR(INDEX(nrCKfinalExamElig,MATCH($D327,rngCadetPIDs,0)),"")="No"),"FINAL EXAM AFTER FAILED FINAL PT (500.1.H)","OK")))))))</f>
        <v/>
      </c>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IF($C328="","",IF($K328="","",IF(COUNTIFS(nrES_PID,$D328,nrES_Code,$F328,nrES_Att,"&gt;"&amp;$K328,nrES_Raw,"&gt;=0")=0,"Yes","No")))</f>
        <v/>
      </c>
      <c r="Q328" s="17">
        <f>IF($C328="","",IF($L328="","",IF(AND($K328=1,ISNUMBER($L328),$L328&lt;$J328,COUNTIFS(nrES_PID,$D328,nrES_Code,$F328,nrES_Att,2,nrES_Raw,"&gt;=0")=0),"Yes","No")))</f>
        <v/>
      </c>
      <c r="R328" s="17">
        <f>IF($C328="","",IF($L328="","",IF(AND($K328=2,ISNUMBER($L328),$L328&lt;$J328),"Yes","No")))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OR($C328="",$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RANGE",IF(COUNTIF(nrES_RecID,$B328)&gt;1,"DUPLICATE RECORD",IF(AND($K328=2,COUNTIFS(nrES_PID,$D328,nrES_Code,$F328,nrES_Att,1)=0),"ATTEMPT 2 WITHOUT ATTEMPT 1",IF(AND($K328=2,$L328=""),"RETEST ROW HAS NO SCORE",IF(AND($H328="Final",$L328&lt;&gt;"",IFERROR(INDEX(nrCKfinalExamElig,MATCH($D328,rngCadetPIDs,0)),"")="No"),"FINAL EXAM AFTER FAILED FINAL PT (500.1.H)","OK")))))))</f>
        <v/>
      </c>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IF($C329="","",IF($K329="","",IF(COUNTIFS(nrES_PID,$D329,nrES_Code,$F329,nrES_Att,"&gt;"&amp;$K329,nrES_Raw,"&gt;=0")=0,"Yes","No")))</f>
        <v/>
      </c>
      <c r="Q329" s="17">
        <f>IF($C329="","",IF($L329="","",IF(AND($K329=1,ISNUMBER($L329),$L329&lt;$J329,COUNTIFS(nrES_PID,$D329,nrES_Code,$F329,nrES_Att,2,nrES_Raw,"&gt;=0")=0),"Yes","No")))</f>
        <v/>
      </c>
      <c r="R329" s="17">
        <f>IF($C329="","",IF($L329="","",IF(AND($K329=2,ISNUMBER($L329),$L329&lt;$J329),"Yes","No")))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OR($C329="",$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RANGE",IF(COUNTIF(nrES_RecID,$B329)&gt;1,"DUPLICATE RECORD",IF(AND($K329=2,COUNTIFS(nrES_PID,$D329,nrES_Code,$F329,nrES_Att,1)=0),"ATTEMPT 2 WITHOUT ATTEMPT 1",IF(AND($K329=2,$L329=""),"RETEST ROW HAS NO SCORE",IF(AND($H329="Final",$L329&lt;&gt;"",IFERROR(INDEX(nrCKfinalExamElig,MATCH($D329,rngCadetPIDs,0)),"")="No"),"FINAL EXAM AFTER FAILED FINAL PT (500.1.H)","OK")))))))</f>
        <v/>
      </c>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IF($C330="","",IF($K330="","",IF(COUNTIFS(nrES_PID,$D330,nrES_Code,$F330,nrES_Att,"&gt;"&amp;$K330,nrES_Raw,"&gt;=0")=0,"Yes","No")))</f>
        <v/>
      </c>
      <c r="Q330" s="17">
        <f>IF($C330="","",IF($L330="","",IF(AND($K330=1,ISNUMBER($L330),$L330&lt;$J330,COUNTIFS(nrES_PID,$D330,nrES_Code,$F330,nrES_Att,2,nrES_Raw,"&gt;=0")=0),"Yes","No")))</f>
        <v/>
      </c>
      <c r="R330" s="17">
        <f>IF($C330="","",IF($L330="","",IF(AND($K330=2,ISNUMBER($L330),$L330&lt;$J330),"Yes","No")))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OR($C330="",$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RANGE",IF(COUNTIF(nrES_RecID,$B330)&gt;1,"DUPLICATE RECORD",IF(AND($K330=2,COUNTIFS(nrES_PID,$D330,nrES_Code,$F330,nrES_Att,1)=0),"ATTEMPT 2 WITHOUT ATTEMPT 1",IF(AND($K330=2,$L330=""),"RETEST ROW HAS NO SCORE",IF(AND($H330="Final",$L330&lt;&gt;"",IFERROR(INDEX(nrCKfinalExamElig,MATCH($D330,rngCadetPIDs,0)),"")="No"),"FINAL EXAM AFTER FAILED FINAL PT (500.1.H)","OK")))))))</f>
        <v/>
      </c>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IF($C331="","",IF($K331="","",IF(COUNTIFS(nrES_PID,$D331,nrES_Code,$F331,nrES_Att,"&gt;"&amp;$K331,nrES_Raw,"&gt;=0")=0,"Yes","No")))</f>
        <v/>
      </c>
      <c r="Q331" s="17">
        <f>IF($C331="","",IF($L331="","",IF(AND($K331=1,ISNUMBER($L331),$L331&lt;$J331,COUNTIFS(nrES_PID,$D331,nrES_Code,$F331,nrES_Att,2,nrES_Raw,"&gt;=0")=0),"Yes","No")))</f>
        <v/>
      </c>
      <c r="R331" s="17">
        <f>IF($C331="","",IF($L331="","",IF(AND($K331=2,ISNUMBER($L331),$L331&lt;$J331),"Yes","No")))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OR($C331="",$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RANGE",IF(COUNTIF(nrES_RecID,$B331)&gt;1,"DUPLICATE RECORD",IF(AND($K331=2,COUNTIFS(nrES_PID,$D331,nrES_Code,$F331,nrES_Att,1)=0),"ATTEMPT 2 WITHOUT ATTEMPT 1",IF(AND($K331=2,$L331=""),"RETEST ROW HAS NO SCORE",IF(AND($H331="Final",$L331&lt;&gt;"",IFERROR(INDEX(nrCKfinalExamElig,MATCH($D331,rngCadetPIDs,0)),"")="No"),"FINAL EXAM AFTER FAILED FINAL PT (500.1.H)","OK")))))))</f>
        <v/>
      </c>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IF($C332="","",IF($K332="","",IF(COUNTIFS(nrES_PID,$D332,nrES_Code,$F332,nrES_Att,"&gt;"&amp;$K332,nrES_Raw,"&gt;=0")=0,"Yes","No")))</f>
        <v/>
      </c>
      <c r="Q332" s="17">
        <f>IF($C332="","",IF($L332="","",IF(AND($K332=1,ISNUMBER($L332),$L332&lt;$J332,COUNTIFS(nrES_PID,$D332,nrES_Code,$F332,nrES_Att,2,nrES_Raw,"&gt;=0")=0),"Yes","No")))</f>
        <v/>
      </c>
      <c r="R332" s="17">
        <f>IF($C332="","",IF($L332="","",IF(AND($K332=2,ISNUMBER($L332),$L332&lt;$J332),"Yes","No")))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OR($C332="",$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RANGE",IF(COUNTIF(nrES_RecID,$B332)&gt;1,"DUPLICATE RECORD",IF(AND($K332=2,COUNTIFS(nrES_PID,$D332,nrES_Code,$F332,nrES_Att,1)=0),"ATTEMPT 2 WITHOUT ATTEMPT 1",IF(AND($K332=2,$L332=""),"RETEST ROW HAS NO SCORE",IF(AND($H332="Final",$L332&lt;&gt;"",IFERROR(INDEX(nrCKfinalExamElig,MATCH($D332,rngCadetPIDs,0)),"")="No"),"FINAL EXAM AFTER FAILED FINAL PT (500.1.H)","OK")))))))</f>
        <v/>
      </c>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IF($C333="","",IF($K333="","",IF(COUNTIFS(nrES_PID,$D333,nrES_Code,$F333,nrES_Att,"&gt;"&amp;$K333,nrES_Raw,"&gt;=0")=0,"Yes","No")))</f>
        <v/>
      </c>
      <c r="Q333" s="17">
        <f>IF($C333="","",IF($L333="","",IF(AND($K333=1,ISNUMBER($L333),$L333&lt;$J333,COUNTIFS(nrES_PID,$D333,nrES_Code,$F333,nrES_Att,2,nrES_Raw,"&gt;=0")=0),"Yes","No")))</f>
        <v/>
      </c>
      <c r="R333" s="17">
        <f>IF($C333="","",IF($L333="","",IF(AND($K333=2,ISNUMBER($L333),$L333&lt;$J333),"Yes","No")))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OR($C333="",$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RANGE",IF(COUNTIF(nrES_RecID,$B333)&gt;1,"DUPLICATE RECORD",IF(AND($K333=2,COUNTIFS(nrES_PID,$D333,nrES_Code,$F333,nrES_Att,1)=0),"ATTEMPT 2 WITHOUT ATTEMPT 1",IF(AND($K333=2,$L333=""),"RETEST ROW HAS NO SCORE",IF(AND($H333="Final",$L333&lt;&gt;"",IFERROR(INDEX(nrCKfinalExamElig,MATCH($D333,rngCadetPIDs,0)),"")="No"),"FINAL EXAM AFTER FAILED FINAL PT (500.1.H)","OK")))))))</f>
        <v/>
      </c>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IF($C334="","",IF($K334="","",IF(COUNTIFS(nrES_PID,$D334,nrES_Code,$F334,nrES_Att,"&gt;"&amp;$K334,nrES_Raw,"&gt;=0")=0,"Yes","No")))</f>
        <v/>
      </c>
      <c r="Q334" s="17">
        <f>IF($C334="","",IF($L334="","",IF(AND($K334=1,ISNUMBER($L334),$L334&lt;$J334,COUNTIFS(nrES_PID,$D334,nrES_Code,$F334,nrES_Att,2,nrES_Raw,"&gt;=0")=0),"Yes","No")))</f>
        <v/>
      </c>
      <c r="R334" s="17">
        <f>IF($C334="","",IF($L334="","",IF(AND($K334=2,ISNUMBER($L334),$L334&lt;$J334),"Yes","No")))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OR($C334="",$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RANGE",IF(COUNTIF(nrES_RecID,$B334)&gt;1,"DUPLICATE RECORD",IF(AND($K334=2,COUNTIFS(nrES_PID,$D334,nrES_Code,$F334,nrES_Att,1)=0),"ATTEMPT 2 WITHOUT ATTEMPT 1",IF(AND($K334=2,$L334=""),"RETEST ROW HAS NO SCORE",IF(AND($H334="Final",$L334&lt;&gt;"",IFERROR(INDEX(nrCKfinalExamElig,MATCH($D334,rngCadetPIDs,0)),"")="No"),"FINAL EXAM AFTER FAILED FINAL PT (500.1.H)","OK")))))))</f>
        <v/>
      </c>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IF($C335="","",IF($K335="","",IF(COUNTIFS(nrES_PID,$D335,nrES_Code,$F335,nrES_Att,"&gt;"&amp;$K335,nrES_Raw,"&gt;=0")=0,"Yes","No")))</f>
        <v/>
      </c>
      <c r="Q335" s="17">
        <f>IF($C335="","",IF($L335="","",IF(AND($K335=1,ISNUMBER($L335),$L335&lt;$J335,COUNTIFS(nrES_PID,$D335,nrES_Code,$F335,nrES_Att,2,nrES_Raw,"&gt;=0")=0),"Yes","No")))</f>
        <v/>
      </c>
      <c r="R335" s="17">
        <f>IF($C335="","",IF($L335="","",IF(AND($K335=2,ISNUMBER($L335),$L335&lt;$J335),"Yes","No")))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OR($C335="",$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RANGE",IF(COUNTIF(nrES_RecID,$B335)&gt;1,"DUPLICATE RECORD",IF(AND($K335=2,COUNTIFS(nrES_PID,$D335,nrES_Code,$F335,nrES_Att,1)=0),"ATTEMPT 2 WITHOUT ATTEMPT 1",IF(AND($K335=2,$L335=""),"RETEST ROW HAS NO SCORE",IF(AND($H335="Final",$L335&lt;&gt;"",IFERROR(INDEX(nrCKfinalExamElig,MATCH($D335,rngCadetPIDs,0)),"")="No"),"FINAL EXAM AFTER FAILED FINAL PT (500.1.H)","OK")))))))</f>
        <v/>
      </c>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IF($C336="","",IF($K336="","",IF(COUNTIFS(nrES_PID,$D336,nrES_Code,$F336,nrES_Att,"&gt;"&amp;$K336,nrES_Raw,"&gt;=0")=0,"Yes","No")))</f>
        <v/>
      </c>
      <c r="Q336" s="17">
        <f>IF($C336="","",IF($L336="","",IF(AND($K336=1,ISNUMBER($L336),$L336&lt;$J336,COUNTIFS(nrES_PID,$D336,nrES_Code,$F336,nrES_Att,2,nrES_Raw,"&gt;=0")=0),"Yes","No")))</f>
        <v/>
      </c>
      <c r="R336" s="17">
        <f>IF($C336="","",IF($L336="","",IF(AND($K336=2,ISNUMBER($L336),$L336&lt;$J336),"Yes","No")))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OR($C336="",$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RANGE",IF(COUNTIF(nrES_RecID,$B336)&gt;1,"DUPLICATE RECORD",IF(AND($K336=2,COUNTIFS(nrES_PID,$D336,nrES_Code,$F336,nrES_Att,1)=0),"ATTEMPT 2 WITHOUT ATTEMPT 1",IF(AND($K336=2,$L336=""),"RETEST ROW HAS NO SCORE",IF(AND($H336="Final",$L336&lt;&gt;"",IFERROR(INDEX(nrCKfinalExamElig,MATCH($D336,rngCadetPIDs,0)),"")="No"),"FINAL EXAM AFTER FAILED FINAL PT (500.1.H)","OK")))))))</f>
        <v/>
      </c>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IF($C337="","",IF($K337="","",IF(COUNTIFS(nrES_PID,$D337,nrES_Code,$F337,nrES_Att,"&gt;"&amp;$K337,nrES_Raw,"&gt;=0")=0,"Yes","No")))</f>
        <v/>
      </c>
      <c r="Q337" s="17">
        <f>IF($C337="","",IF($L337="","",IF(AND($K337=1,ISNUMBER($L337),$L337&lt;$J337,COUNTIFS(nrES_PID,$D337,nrES_Code,$F337,nrES_Att,2,nrES_Raw,"&gt;=0")=0),"Yes","No")))</f>
        <v/>
      </c>
      <c r="R337" s="17">
        <f>IF($C337="","",IF($L337="","",IF(AND($K337=2,ISNUMBER($L337),$L337&lt;$J337),"Yes","No")))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OR($C337="",$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RANGE",IF(COUNTIF(nrES_RecID,$B337)&gt;1,"DUPLICATE RECORD",IF(AND($K337=2,COUNTIFS(nrES_PID,$D337,nrES_Code,$F337,nrES_Att,1)=0),"ATTEMPT 2 WITHOUT ATTEMPT 1",IF(AND($K337=2,$L337=""),"RETEST ROW HAS NO SCORE",IF(AND($H337="Final",$L337&lt;&gt;"",IFERROR(INDEX(nrCKfinalExamElig,MATCH($D337,rngCadetPIDs,0)),"")="No"),"FINAL EXAM AFTER FAILED FINAL PT (500.1.H)","OK")))))))</f>
        <v/>
      </c>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IF($C338="","",IF($K338="","",IF(COUNTIFS(nrES_PID,$D338,nrES_Code,$F338,nrES_Att,"&gt;"&amp;$K338,nrES_Raw,"&gt;=0")=0,"Yes","No")))</f>
        <v/>
      </c>
      <c r="Q338" s="17">
        <f>IF($C338="","",IF($L338="","",IF(AND($K338=1,ISNUMBER($L338),$L338&lt;$J338,COUNTIFS(nrES_PID,$D338,nrES_Code,$F338,nrES_Att,2,nrES_Raw,"&gt;=0")=0),"Yes","No")))</f>
        <v/>
      </c>
      <c r="R338" s="17">
        <f>IF($C338="","",IF($L338="","",IF(AND($K338=2,ISNUMBER($L338),$L338&lt;$J338),"Yes","No")))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OR($C338="",$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RANGE",IF(COUNTIF(nrES_RecID,$B338)&gt;1,"DUPLICATE RECORD",IF(AND($K338=2,COUNTIFS(nrES_PID,$D338,nrES_Code,$F338,nrES_Att,1)=0),"ATTEMPT 2 WITHOUT ATTEMPT 1",IF(AND($K338=2,$L338=""),"RETEST ROW HAS NO SCORE",IF(AND($H338="Final",$L338&lt;&gt;"",IFERROR(INDEX(nrCKfinalExamElig,MATCH($D338,rngCadetPIDs,0)),"")="No"),"FINAL EXAM AFTER FAILED FINAL PT (500.1.H)","OK")))))))</f>
        <v/>
      </c>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IF($C339="","",IF($K339="","",IF(COUNTIFS(nrES_PID,$D339,nrES_Code,$F339,nrES_Att,"&gt;"&amp;$K339,nrES_Raw,"&gt;=0")=0,"Yes","No")))</f>
        <v/>
      </c>
      <c r="Q339" s="17">
        <f>IF($C339="","",IF($L339="","",IF(AND($K339=1,ISNUMBER($L339),$L339&lt;$J339,COUNTIFS(nrES_PID,$D339,nrES_Code,$F339,nrES_Att,2,nrES_Raw,"&gt;=0")=0),"Yes","No")))</f>
        <v/>
      </c>
      <c r="R339" s="17">
        <f>IF($C339="","",IF($L339="","",IF(AND($K339=2,ISNUMBER($L339),$L339&lt;$J339),"Yes","No")))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OR($C339="",$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RANGE",IF(COUNTIF(nrES_RecID,$B339)&gt;1,"DUPLICATE RECORD",IF(AND($K339=2,COUNTIFS(nrES_PID,$D339,nrES_Code,$F339,nrES_Att,1)=0),"ATTEMPT 2 WITHOUT ATTEMPT 1",IF(AND($K339=2,$L339=""),"RETEST ROW HAS NO SCORE",IF(AND($H339="Final",$L339&lt;&gt;"",IFERROR(INDEX(nrCKfinalExamElig,MATCH($D339,rngCadetPIDs,0)),"")="No"),"FINAL EXAM AFTER FAILED FINAL PT (500.1.H)","OK")))))))</f>
        <v/>
      </c>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IF($C340="","",IF($K340="","",IF(COUNTIFS(nrES_PID,$D340,nrES_Code,$F340,nrES_Att,"&gt;"&amp;$K340,nrES_Raw,"&gt;=0")=0,"Yes","No")))</f>
        <v/>
      </c>
      <c r="Q340" s="17">
        <f>IF($C340="","",IF($L340="","",IF(AND($K340=1,ISNUMBER($L340),$L340&lt;$J340,COUNTIFS(nrES_PID,$D340,nrES_Code,$F340,nrES_Att,2,nrES_Raw,"&gt;=0")=0),"Yes","No")))</f>
        <v/>
      </c>
      <c r="R340" s="17">
        <f>IF($C340="","",IF($L340="","",IF(AND($K340=2,ISNUMBER($L340),$L340&lt;$J340),"Yes","No")))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OR($C340="",$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RANGE",IF(COUNTIF(nrES_RecID,$B340)&gt;1,"DUPLICATE RECORD",IF(AND($K340=2,COUNTIFS(nrES_PID,$D340,nrES_Code,$F340,nrES_Att,1)=0),"ATTEMPT 2 WITHOUT ATTEMPT 1",IF(AND($K340=2,$L340=""),"RETEST ROW HAS NO SCORE",IF(AND($H340="Final",$L340&lt;&gt;"",IFERROR(INDEX(nrCKfinalExamElig,MATCH($D340,rngCadetPIDs,0)),"")="No"),"FINAL EXAM AFTER FAILED FINAL PT (500.1.H)","OK")))))))</f>
        <v/>
      </c>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IF($C341="","",IF($K341="","",IF(COUNTIFS(nrES_PID,$D341,nrES_Code,$F341,nrES_Att,"&gt;"&amp;$K341,nrES_Raw,"&gt;=0")=0,"Yes","No")))</f>
        <v/>
      </c>
      <c r="Q341" s="17">
        <f>IF($C341="","",IF($L341="","",IF(AND($K341=1,ISNUMBER($L341),$L341&lt;$J341,COUNTIFS(nrES_PID,$D341,nrES_Code,$F341,nrES_Att,2,nrES_Raw,"&gt;=0")=0),"Yes","No")))</f>
        <v/>
      </c>
      <c r="R341" s="17">
        <f>IF($C341="","",IF($L341="","",IF(AND($K341=2,ISNUMBER($L341),$L341&lt;$J341),"Yes","No")))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OR($C341="",$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RANGE",IF(COUNTIF(nrES_RecID,$B341)&gt;1,"DUPLICATE RECORD",IF(AND($K341=2,COUNTIFS(nrES_PID,$D341,nrES_Code,$F341,nrES_Att,1)=0),"ATTEMPT 2 WITHOUT ATTEMPT 1",IF(AND($K341=2,$L341=""),"RETEST ROW HAS NO SCORE",IF(AND($H341="Final",$L341&lt;&gt;"",IFERROR(INDEX(nrCKfinalExamElig,MATCH($D341,rngCadetPIDs,0)),"")="No"),"FINAL EXAM AFTER FAILED FINAL PT (500.1.H)","OK")))))))</f>
        <v/>
      </c>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IF($C342="","",IF($K342="","",IF(COUNTIFS(nrES_PID,$D342,nrES_Code,$F342,nrES_Att,"&gt;"&amp;$K342,nrES_Raw,"&gt;=0")=0,"Yes","No")))</f>
        <v/>
      </c>
      <c r="Q342" s="17">
        <f>IF($C342="","",IF($L342="","",IF(AND($K342=1,ISNUMBER($L342),$L342&lt;$J342,COUNTIFS(nrES_PID,$D342,nrES_Code,$F342,nrES_Att,2,nrES_Raw,"&gt;=0")=0),"Yes","No")))</f>
        <v/>
      </c>
      <c r="R342" s="17">
        <f>IF($C342="","",IF($L342="","",IF(AND($K342=2,ISNUMBER($L342),$L342&lt;$J342),"Yes","No")))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OR($C342="",$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RANGE",IF(COUNTIF(nrES_RecID,$B342)&gt;1,"DUPLICATE RECORD",IF(AND($K342=2,COUNTIFS(nrES_PID,$D342,nrES_Code,$F342,nrES_Att,1)=0),"ATTEMPT 2 WITHOUT ATTEMPT 1",IF(AND($K342=2,$L342=""),"RETEST ROW HAS NO SCORE",IF(AND($H342="Final",$L342&lt;&gt;"",IFERROR(INDEX(nrCKfinalExamElig,MATCH($D342,rngCadetPIDs,0)),"")="No"),"FINAL EXAM AFTER FAILED FINAL PT (500.1.H)","OK")))))))</f>
        <v/>
      </c>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IF($C343="","",IF($K343="","",IF(COUNTIFS(nrES_PID,$D343,nrES_Code,$F343,nrES_Att,"&gt;"&amp;$K343,nrES_Raw,"&gt;=0")=0,"Yes","No")))</f>
        <v/>
      </c>
      <c r="Q343" s="17">
        <f>IF($C343="","",IF($L343="","",IF(AND($K343=1,ISNUMBER($L343),$L343&lt;$J343,COUNTIFS(nrES_PID,$D343,nrES_Code,$F343,nrES_Att,2,nrES_Raw,"&gt;=0")=0),"Yes","No")))</f>
        <v/>
      </c>
      <c r="R343" s="17">
        <f>IF($C343="","",IF($L343="","",IF(AND($K343=2,ISNUMBER($L343),$L343&lt;$J343),"Yes","No")))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OR($C343="",$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RANGE",IF(COUNTIF(nrES_RecID,$B343)&gt;1,"DUPLICATE RECORD",IF(AND($K343=2,COUNTIFS(nrES_PID,$D343,nrES_Code,$F343,nrES_Att,1)=0),"ATTEMPT 2 WITHOUT ATTEMPT 1",IF(AND($K343=2,$L343=""),"RETEST ROW HAS NO SCORE",IF(AND($H343="Final",$L343&lt;&gt;"",IFERROR(INDEX(nrCKfinalExamElig,MATCH($D343,rngCadetPIDs,0)),"")="No"),"FINAL EXAM AFTER FAILED FINAL PT (500.1.H)","OK")))))))</f>
        <v/>
      </c>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IF($C344="","",IF($K344="","",IF(COUNTIFS(nrES_PID,$D344,nrES_Code,$F344,nrES_Att,"&gt;"&amp;$K344,nrES_Raw,"&gt;=0")=0,"Yes","No")))</f>
        <v/>
      </c>
      <c r="Q344" s="17">
        <f>IF($C344="","",IF($L344="","",IF(AND($K344=1,ISNUMBER($L344),$L344&lt;$J344,COUNTIFS(nrES_PID,$D344,nrES_Code,$F344,nrES_Att,2,nrES_Raw,"&gt;=0")=0),"Yes","No")))</f>
        <v/>
      </c>
      <c r="R344" s="17">
        <f>IF($C344="","",IF($L344="","",IF(AND($K344=2,ISNUMBER($L344),$L344&lt;$J344),"Yes","No")))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OR($C344="",$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RANGE",IF(COUNTIF(nrES_RecID,$B344)&gt;1,"DUPLICATE RECORD",IF(AND($K344=2,COUNTIFS(nrES_PID,$D344,nrES_Code,$F344,nrES_Att,1)=0),"ATTEMPT 2 WITHOUT ATTEMPT 1",IF(AND($K344=2,$L344=""),"RETEST ROW HAS NO SCORE",IF(AND($H344="Final",$L344&lt;&gt;"",IFERROR(INDEX(nrCKfinalExamElig,MATCH($D344,rngCadetPIDs,0)),"")="No"),"FINAL EXAM AFTER FAILED FINAL PT (500.1.H)","OK")))))))</f>
        <v/>
      </c>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IF($C345="","",IF($K345="","",IF(COUNTIFS(nrES_PID,$D345,nrES_Code,$F345,nrES_Att,"&gt;"&amp;$K345,nrES_Raw,"&gt;=0")=0,"Yes","No")))</f>
        <v/>
      </c>
      <c r="Q345" s="17">
        <f>IF($C345="","",IF($L345="","",IF(AND($K345=1,ISNUMBER($L345),$L345&lt;$J345,COUNTIFS(nrES_PID,$D345,nrES_Code,$F345,nrES_Att,2,nrES_Raw,"&gt;=0")=0),"Yes","No")))</f>
        <v/>
      </c>
      <c r="R345" s="17">
        <f>IF($C345="","",IF($L345="","",IF(AND($K345=2,ISNUMBER($L345),$L345&lt;$J345),"Yes","No")))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OR($C345="",$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RANGE",IF(COUNTIF(nrES_RecID,$B345)&gt;1,"DUPLICATE RECORD",IF(AND($K345=2,COUNTIFS(nrES_PID,$D345,nrES_Code,$F345,nrES_Att,1)=0),"ATTEMPT 2 WITHOUT ATTEMPT 1",IF(AND($K345=2,$L345=""),"RETEST ROW HAS NO SCORE",IF(AND($H345="Final",$L345&lt;&gt;"",IFERROR(INDEX(nrCKfinalExamElig,MATCH($D345,rngCadetPIDs,0)),"")="No"),"FINAL EXAM AFTER FAILED FINAL PT (500.1.H)","OK")))))))</f>
        <v/>
      </c>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IF($C346="","",IF($K346="","",IF(COUNTIFS(nrES_PID,$D346,nrES_Code,$F346,nrES_Att,"&gt;"&amp;$K346,nrES_Raw,"&gt;=0")=0,"Yes","No")))</f>
        <v/>
      </c>
      <c r="Q346" s="17">
        <f>IF($C346="","",IF($L346="","",IF(AND($K346=1,ISNUMBER($L346),$L346&lt;$J346,COUNTIFS(nrES_PID,$D346,nrES_Code,$F346,nrES_Att,2,nrES_Raw,"&gt;=0")=0),"Yes","No")))</f>
        <v/>
      </c>
      <c r="R346" s="17">
        <f>IF($C346="","",IF($L346="","",IF(AND($K346=2,ISNUMBER($L346),$L346&lt;$J346),"Yes","No")))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OR($C346="",$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RANGE",IF(COUNTIF(nrES_RecID,$B346)&gt;1,"DUPLICATE RECORD",IF(AND($K346=2,COUNTIFS(nrES_PID,$D346,nrES_Code,$F346,nrES_Att,1)=0),"ATTEMPT 2 WITHOUT ATTEMPT 1",IF(AND($K346=2,$L346=""),"RETEST ROW HAS NO SCORE",IF(AND($H346="Final",$L346&lt;&gt;"",IFERROR(INDEX(nrCKfinalExamElig,MATCH($D346,rngCadetPIDs,0)),"")="No"),"FINAL EXAM AFTER FAILED FINAL PT (500.1.H)","OK")))))))</f>
        <v/>
      </c>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IF($C347="","",IF($K347="","",IF(COUNTIFS(nrES_PID,$D347,nrES_Code,$F347,nrES_Att,"&gt;"&amp;$K347,nrES_Raw,"&gt;=0")=0,"Yes","No")))</f>
        <v/>
      </c>
      <c r="Q347" s="17">
        <f>IF($C347="","",IF($L347="","",IF(AND($K347=1,ISNUMBER($L347),$L347&lt;$J347,COUNTIFS(nrES_PID,$D347,nrES_Code,$F347,nrES_Att,2,nrES_Raw,"&gt;=0")=0),"Yes","No")))</f>
        <v/>
      </c>
      <c r="R347" s="17">
        <f>IF($C347="","",IF($L347="","",IF(AND($K347=2,ISNUMBER($L347),$L347&lt;$J347),"Yes","No")))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OR($C347="",$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RANGE",IF(COUNTIF(nrES_RecID,$B347)&gt;1,"DUPLICATE RECORD",IF(AND($K347=2,COUNTIFS(nrES_PID,$D347,nrES_Code,$F347,nrES_Att,1)=0),"ATTEMPT 2 WITHOUT ATTEMPT 1",IF(AND($K347=2,$L347=""),"RETEST ROW HAS NO SCORE",IF(AND($H347="Final",$L347&lt;&gt;"",IFERROR(INDEX(nrCKfinalExamElig,MATCH($D347,rngCadetPIDs,0)),"")="No"),"FINAL EXAM AFTER FAILED FINAL PT (500.1.H)","OK")))))))</f>
        <v/>
      </c>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IF($C348="","",IF($K348="","",IF(COUNTIFS(nrES_PID,$D348,nrES_Code,$F348,nrES_Att,"&gt;"&amp;$K348,nrES_Raw,"&gt;=0")=0,"Yes","No")))</f>
        <v/>
      </c>
      <c r="Q348" s="17">
        <f>IF($C348="","",IF($L348="","",IF(AND($K348=1,ISNUMBER($L348),$L348&lt;$J348,COUNTIFS(nrES_PID,$D348,nrES_Code,$F348,nrES_Att,2,nrES_Raw,"&gt;=0")=0),"Yes","No")))</f>
        <v/>
      </c>
      <c r="R348" s="17">
        <f>IF($C348="","",IF($L348="","",IF(AND($K348=2,ISNUMBER($L348),$L348&lt;$J348),"Yes","No")))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OR($C348="",$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RANGE",IF(COUNTIF(nrES_RecID,$B348)&gt;1,"DUPLICATE RECORD",IF(AND($K348=2,COUNTIFS(nrES_PID,$D348,nrES_Code,$F348,nrES_Att,1)=0),"ATTEMPT 2 WITHOUT ATTEMPT 1",IF(AND($K348=2,$L348=""),"RETEST ROW HAS NO SCORE",IF(AND($H348="Final",$L348&lt;&gt;"",IFERROR(INDEX(nrCKfinalExamElig,MATCH($D348,rngCadetPIDs,0)),"")="No"),"FINAL EXAM AFTER FAILED FINAL PT (500.1.H)","OK")))))))</f>
        <v/>
      </c>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IF($C349="","",IF($K349="","",IF(COUNTIFS(nrES_PID,$D349,nrES_Code,$F349,nrES_Att,"&gt;"&amp;$K349,nrES_Raw,"&gt;=0")=0,"Yes","No")))</f>
        <v/>
      </c>
      <c r="Q349" s="17">
        <f>IF($C349="","",IF($L349="","",IF(AND($K349=1,ISNUMBER($L349),$L349&lt;$J349,COUNTIFS(nrES_PID,$D349,nrES_Code,$F349,nrES_Att,2,nrES_Raw,"&gt;=0")=0),"Yes","No")))</f>
        <v/>
      </c>
      <c r="R349" s="17">
        <f>IF($C349="","",IF($L349="","",IF(AND($K349=2,ISNUMBER($L349),$L349&lt;$J349),"Yes","No")))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OR($C349="",$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RANGE",IF(COUNTIF(nrES_RecID,$B349)&gt;1,"DUPLICATE RECORD",IF(AND($K349=2,COUNTIFS(nrES_PID,$D349,nrES_Code,$F349,nrES_Att,1)=0),"ATTEMPT 2 WITHOUT ATTEMPT 1",IF(AND($K349=2,$L349=""),"RETEST ROW HAS NO SCORE",IF(AND($H349="Final",$L349&lt;&gt;"",IFERROR(INDEX(nrCKfinalExamElig,MATCH($D349,rngCadetPIDs,0)),"")="No"),"FINAL EXAM AFTER FAILED FINAL PT (500.1.H)","OK")))))))</f>
        <v/>
      </c>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IF($C350="","",IF($K350="","",IF(COUNTIFS(nrES_PID,$D350,nrES_Code,$F350,nrES_Att,"&gt;"&amp;$K350,nrES_Raw,"&gt;=0")=0,"Yes","No")))</f>
        <v/>
      </c>
      <c r="Q350" s="17">
        <f>IF($C350="","",IF($L350="","",IF(AND($K350=1,ISNUMBER($L350),$L350&lt;$J350,COUNTIFS(nrES_PID,$D350,nrES_Code,$F350,nrES_Att,2,nrES_Raw,"&gt;=0")=0),"Yes","No")))</f>
        <v/>
      </c>
      <c r="R350" s="17">
        <f>IF($C350="","",IF($L350="","",IF(AND($K350=2,ISNUMBER($L350),$L350&lt;$J350),"Yes","No")))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OR($C350="",$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RANGE",IF(COUNTIF(nrES_RecID,$B350)&gt;1,"DUPLICATE RECORD",IF(AND($K350=2,COUNTIFS(nrES_PID,$D350,nrES_Code,$F350,nrES_Att,1)=0),"ATTEMPT 2 WITHOUT ATTEMPT 1",IF(AND($K350=2,$L350=""),"RETEST ROW HAS NO SCORE",IF(AND($H350="Final",$L350&lt;&gt;"",IFERROR(INDEX(nrCKfinalExamElig,MATCH($D350,rngCadetPIDs,0)),"")="No"),"FINAL EXAM AFTER FAILED FINAL PT (500.1.H)","OK")))))))</f>
        <v/>
      </c>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IF($C351="","",IF($K351="","",IF(COUNTIFS(nrES_PID,$D351,nrES_Code,$F351,nrES_Att,"&gt;"&amp;$K351,nrES_Raw,"&gt;=0")=0,"Yes","No")))</f>
        <v/>
      </c>
      <c r="Q351" s="17">
        <f>IF($C351="","",IF($L351="","",IF(AND($K351=1,ISNUMBER($L351),$L351&lt;$J351,COUNTIFS(nrES_PID,$D351,nrES_Code,$F351,nrES_Att,2,nrES_Raw,"&gt;=0")=0),"Yes","No")))</f>
        <v/>
      </c>
      <c r="R351" s="17">
        <f>IF($C351="","",IF($L351="","",IF(AND($K351=2,ISNUMBER($L351),$L351&lt;$J351),"Yes","No")))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OR($C351="",$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RANGE",IF(COUNTIF(nrES_RecID,$B351)&gt;1,"DUPLICATE RECORD",IF(AND($K351=2,COUNTIFS(nrES_PID,$D351,nrES_Code,$F351,nrES_Att,1)=0),"ATTEMPT 2 WITHOUT ATTEMPT 1",IF(AND($K351=2,$L351=""),"RETEST ROW HAS NO SCORE",IF(AND($H351="Final",$L351&lt;&gt;"",IFERROR(INDEX(nrCKfinalExamElig,MATCH($D351,rngCadetPIDs,0)),"")="No"),"FINAL EXAM AFTER FAILED FINAL PT (500.1.H)","OK")))))))</f>
        <v/>
      </c>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IF($C352="","",IF($K352="","",IF(COUNTIFS(nrES_PID,$D352,nrES_Code,$F352,nrES_Att,"&gt;"&amp;$K352,nrES_Raw,"&gt;=0")=0,"Yes","No")))</f>
        <v/>
      </c>
      <c r="Q352" s="17">
        <f>IF($C352="","",IF($L352="","",IF(AND($K352=1,ISNUMBER($L352),$L352&lt;$J352,COUNTIFS(nrES_PID,$D352,nrES_Code,$F352,nrES_Att,2,nrES_Raw,"&gt;=0")=0),"Yes","No")))</f>
        <v/>
      </c>
      <c r="R352" s="17">
        <f>IF($C352="","",IF($L352="","",IF(AND($K352=2,ISNUMBER($L352),$L352&lt;$J352),"Yes","No")))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OR($C352="",$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RANGE",IF(COUNTIF(nrES_RecID,$B352)&gt;1,"DUPLICATE RECORD",IF(AND($K352=2,COUNTIFS(nrES_PID,$D352,nrES_Code,$F352,nrES_Att,1)=0),"ATTEMPT 2 WITHOUT ATTEMPT 1",IF(AND($K352=2,$L352=""),"RETEST ROW HAS NO SCORE",IF(AND($H352="Final",$L352&lt;&gt;"",IFERROR(INDEX(nrCKfinalExamElig,MATCH($D352,rngCadetPIDs,0)),"")="No"),"FINAL EXAM AFTER FAILED FINAL PT (500.1.H)","OK")))))))</f>
        <v/>
      </c>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IF($C353="","",IF($K353="","",IF(COUNTIFS(nrES_PID,$D353,nrES_Code,$F353,nrES_Att,"&gt;"&amp;$K353,nrES_Raw,"&gt;=0")=0,"Yes","No")))</f>
        <v/>
      </c>
      <c r="Q353" s="17">
        <f>IF($C353="","",IF($L353="","",IF(AND($K353=1,ISNUMBER($L353),$L353&lt;$J353,COUNTIFS(nrES_PID,$D353,nrES_Code,$F353,nrES_Att,2,nrES_Raw,"&gt;=0")=0),"Yes","No")))</f>
        <v/>
      </c>
      <c r="R353" s="17">
        <f>IF($C353="","",IF($L353="","",IF(AND($K353=2,ISNUMBER($L353),$L353&lt;$J353),"Yes","No")))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OR($C353="",$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RANGE",IF(COUNTIF(nrES_RecID,$B353)&gt;1,"DUPLICATE RECORD",IF(AND($K353=2,COUNTIFS(nrES_PID,$D353,nrES_Code,$F353,nrES_Att,1)=0),"ATTEMPT 2 WITHOUT ATTEMPT 1",IF(AND($K353=2,$L353=""),"RETEST ROW HAS NO SCORE",IF(AND($H353="Final",$L353&lt;&gt;"",IFERROR(INDEX(nrCKfinalExamElig,MATCH($D353,rngCadetPIDs,0)),"")="No"),"FINAL EXAM AFTER FAILED FINAL PT (500.1.H)","OK")))))))</f>
        <v/>
      </c>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IF($C354="","",IF($K354="","",IF(COUNTIFS(nrES_PID,$D354,nrES_Code,$F354,nrES_Att,"&gt;"&amp;$K354,nrES_Raw,"&gt;=0")=0,"Yes","No")))</f>
        <v/>
      </c>
      <c r="Q354" s="17">
        <f>IF($C354="","",IF($L354="","",IF(AND($K354=1,ISNUMBER($L354),$L354&lt;$J354,COUNTIFS(nrES_PID,$D354,nrES_Code,$F354,nrES_Att,2,nrES_Raw,"&gt;=0")=0),"Yes","No")))</f>
        <v/>
      </c>
      <c r="R354" s="17">
        <f>IF($C354="","",IF($L354="","",IF(AND($K354=2,ISNUMBER($L354),$L354&lt;$J354),"Yes","No")))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OR($C354="",$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RANGE",IF(COUNTIF(nrES_RecID,$B354)&gt;1,"DUPLICATE RECORD",IF(AND($K354=2,COUNTIFS(nrES_PID,$D354,nrES_Code,$F354,nrES_Att,1)=0),"ATTEMPT 2 WITHOUT ATTEMPT 1",IF(AND($K354=2,$L354=""),"RETEST ROW HAS NO SCORE",IF(AND($H354="Final",$L354&lt;&gt;"",IFERROR(INDEX(nrCKfinalExamElig,MATCH($D354,rngCadetPIDs,0)),"")="No"),"FINAL EXAM AFTER FAILED FINAL PT (500.1.H)","OK")))))))</f>
        <v/>
      </c>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IF($C355="","",IF($K355="","",IF(COUNTIFS(nrES_PID,$D355,nrES_Code,$F355,nrES_Att,"&gt;"&amp;$K355,nrES_Raw,"&gt;=0")=0,"Yes","No")))</f>
        <v/>
      </c>
      <c r="Q355" s="17">
        <f>IF($C355="","",IF($L355="","",IF(AND($K355=1,ISNUMBER($L355),$L355&lt;$J355,COUNTIFS(nrES_PID,$D355,nrES_Code,$F355,nrES_Att,2,nrES_Raw,"&gt;=0")=0),"Yes","No")))</f>
        <v/>
      </c>
      <c r="R355" s="17">
        <f>IF($C355="","",IF($L355="","",IF(AND($K355=2,ISNUMBER($L355),$L355&lt;$J355),"Yes","No")))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OR($C355="",$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RANGE",IF(COUNTIF(nrES_RecID,$B355)&gt;1,"DUPLICATE RECORD",IF(AND($K355=2,COUNTIFS(nrES_PID,$D355,nrES_Code,$F355,nrES_Att,1)=0),"ATTEMPT 2 WITHOUT ATTEMPT 1",IF(AND($K355=2,$L355=""),"RETEST ROW HAS NO SCORE",IF(AND($H355="Final",$L355&lt;&gt;"",IFERROR(INDEX(nrCKfinalExamElig,MATCH($D355,rngCadetPIDs,0)),"")="No"),"FINAL EXAM AFTER FAILED FINAL PT (500.1.H)","OK")))))))</f>
        <v/>
      </c>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IF($C356="","",IF($K356="","",IF(COUNTIFS(nrES_PID,$D356,nrES_Code,$F356,nrES_Att,"&gt;"&amp;$K356,nrES_Raw,"&gt;=0")=0,"Yes","No")))</f>
        <v/>
      </c>
      <c r="Q356" s="17">
        <f>IF($C356="","",IF($L356="","",IF(AND($K356=1,ISNUMBER($L356),$L356&lt;$J356,COUNTIFS(nrES_PID,$D356,nrES_Code,$F356,nrES_Att,2,nrES_Raw,"&gt;=0")=0),"Yes","No")))</f>
        <v/>
      </c>
      <c r="R356" s="17">
        <f>IF($C356="","",IF($L356="","",IF(AND($K356=2,ISNUMBER($L356),$L356&lt;$J356),"Yes","No")))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OR($C356="",$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RANGE",IF(COUNTIF(nrES_RecID,$B356)&gt;1,"DUPLICATE RECORD",IF(AND($K356=2,COUNTIFS(nrES_PID,$D356,nrES_Code,$F356,nrES_Att,1)=0),"ATTEMPT 2 WITHOUT ATTEMPT 1",IF(AND($K356=2,$L356=""),"RETEST ROW HAS NO SCORE",IF(AND($H356="Final",$L356&lt;&gt;"",IFERROR(INDEX(nrCKfinalExamElig,MATCH($D356,rngCadetPIDs,0)),"")="No"),"FINAL EXAM AFTER FAILED FINAL PT (500.1.H)","OK")))))))</f>
        <v/>
      </c>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IF($C357="","",IF($K357="","",IF(COUNTIFS(nrES_PID,$D357,nrES_Code,$F357,nrES_Att,"&gt;"&amp;$K357,nrES_Raw,"&gt;=0")=0,"Yes","No")))</f>
        <v/>
      </c>
      <c r="Q357" s="17">
        <f>IF($C357="","",IF($L357="","",IF(AND($K357=1,ISNUMBER($L357),$L357&lt;$J357,COUNTIFS(nrES_PID,$D357,nrES_Code,$F357,nrES_Att,2,nrES_Raw,"&gt;=0")=0),"Yes","No")))</f>
        <v/>
      </c>
      <c r="R357" s="17">
        <f>IF($C357="","",IF($L357="","",IF(AND($K357=2,ISNUMBER($L357),$L357&lt;$J357),"Yes","No")))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OR($C357="",$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RANGE",IF(COUNTIF(nrES_RecID,$B357)&gt;1,"DUPLICATE RECORD",IF(AND($K357=2,COUNTIFS(nrES_PID,$D357,nrES_Code,$F357,nrES_Att,1)=0),"ATTEMPT 2 WITHOUT ATTEMPT 1",IF(AND($K357=2,$L357=""),"RETEST ROW HAS NO SCORE",IF(AND($H357="Final",$L357&lt;&gt;"",IFERROR(INDEX(nrCKfinalExamElig,MATCH($D357,rngCadetPIDs,0)),"")="No"),"FINAL EXAM AFTER FAILED FINAL PT (500.1.H)","OK")))))))</f>
        <v/>
      </c>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IF($C358="","",IF($K358="","",IF(COUNTIFS(nrES_PID,$D358,nrES_Code,$F358,nrES_Att,"&gt;"&amp;$K358,nrES_Raw,"&gt;=0")=0,"Yes","No")))</f>
        <v/>
      </c>
      <c r="Q358" s="17">
        <f>IF($C358="","",IF($L358="","",IF(AND($K358=1,ISNUMBER($L358),$L358&lt;$J358,COUNTIFS(nrES_PID,$D358,nrES_Code,$F358,nrES_Att,2,nrES_Raw,"&gt;=0")=0),"Yes","No")))</f>
        <v/>
      </c>
      <c r="R358" s="17">
        <f>IF($C358="","",IF($L358="","",IF(AND($K358=2,ISNUMBER($L358),$L358&lt;$J358),"Yes","No")))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OR($C358="",$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RANGE",IF(COUNTIF(nrES_RecID,$B358)&gt;1,"DUPLICATE RECORD",IF(AND($K358=2,COUNTIFS(nrES_PID,$D358,nrES_Code,$F358,nrES_Att,1)=0),"ATTEMPT 2 WITHOUT ATTEMPT 1",IF(AND($K358=2,$L358=""),"RETEST ROW HAS NO SCORE",IF(AND($H358="Final",$L358&lt;&gt;"",IFERROR(INDEX(nrCKfinalExamElig,MATCH($D358,rngCadetPIDs,0)),"")="No"),"FINAL EXAM AFTER FAILED FINAL PT (500.1.H)","OK")))))))</f>
        <v/>
      </c>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IF($C359="","",IF($K359="","",IF(COUNTIFS(nrES_PID,$D359,nrES_Code,$F359,nrES_Att,"&gt;"&amp;$K359,nrES_Raw,"&gt;=0")=0,"Yes","No")))</f>
        <v/>
      </c>
      <c r="Q359" s="17">
        <f>IF($C359="","",IF($L359="","",IF(AND($K359=1,ISNUMBER($L359),$L359&lt;$J359,COUNTIFS(nrES_PID,$D359,nrES_Code,$F359,nrES_Att,2,nrES_Raw,"&gt;=0")=0),"Yes","No")))</f>
        <v/>
      </c>
      <c r="R359" s="17">
        <f>IF($C359="","",IF($L359="","",IF(AND($K359=2,ISNUMBER($L359),$L359&lt;$J359),"Yes","No")))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OR($C359="",$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RANGE",IF(COUNTIF(nrES_RecID,$B359)&gt;1,"DUPLICATE RECORD",IF(AND($K359=2,COUNTIFS(nrES_PID,$D359,nrES_Code,$F359,nrES_Att,1)=0),"ATTEMPT 2 WITHOUT ATTEMPT 1",IF(AND($K359=2,$L359=""),"RETEST ROW HAS NO SCORE",IF(AND($H359="Final",$L359&lt;&gt;"",IFERROR(INDEX(nrCKfinalExamElig,MATCH($D359,rngCadetPIDs,0)),"")="No"),"FINAL EXAM AFTER FAILED FINAL PT (500.1.H)","OK")))))))</f>
        <v/>
      </c>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IF($C360="","",IF($K360="","",IF(COUNTIFS(nrES_PID,$D360,nrES_Code,$F360,nrES_Att,"&gt;"&amp;$K360,nrES_Raw,"&gt;=0")=0,"Yes","No")))</f>
        <v/>
      </c>
      <c r="Q360" s="17">
        <f>IF($C360="","",IF($L360="","",IF(AND($K360=1,ISNUMBER($L360),$L360&lt;$J360,COUNTIFS(nrES_PID,$D360,nrES_Code,$F360,nrES_Att,2,nrES_Raw,"&gt;=0")=0),"Yes","No")))</f>
        <v/>
      </c>
      <c r="R360" s="17">
        <f>IF($C360="","",IF($L360="","",IF(AND($K360=2,ISNUMBER($L360),$L360&lt;$J360),"Yes","No")))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OR($C360="",$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RANGE",IF(COUNTIF(nrES_RecID,$B360)&gt;1,"DUPLICATE RECORD",IF(AND($K360=2,COUNTIFS(nrES_PID,$D360,nrES_Code,$F360,nrES_Att,1)=0),"ATTEMPT 2 WITHOUT ATTEMPT 1",IF(AND($K360=2,$L360=""),"RETEST ROW HAS NO SCORE",IF(AND($H360="Final",$L360&lt;&gt;"",IFERROR(INDEX(nrCKfinalExamElig,MATCH($D360,rngCadetPIDs,0)),"")="No"),"FINAL EXAM AFTER FAILED FINAL PT (500.1.H)","OK")))))))</f>
        <v/>
      </c>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IF($C361="","",IF($K361="","",IF(COUNTIFS(nrES_PID,$D361,nrES_Code,$F361,nrES_Att,"&gt;"&amp;$K361,nrES_Raw,"&gt;=0")=0,"Yes","No")))</f>
        <v/>
      </c>
      <c r="Q361" s="17">
        <f>IF($C361="","",IF($L361="","",IF(AND($K361=1,ISNUMBER($L361),$L361&lt;$J361,COUNTIFS(nrES_PID,$D361,nrES_Code,$F361,nrES_Att,2,nrES_Raw,"&gt;=0")=0),"Yes","No")))</f>
        <v/>
      </c>
      <c r="R361" s="17">
        <f>IF($C361="","",IF($L361="","",IF(AND($K361=2,ISNUMBER($L361),$L361&lt;$J361),"Yes","No")))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OR($C361="",$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RANGE",IF(COUNTIF(nrES_RecID,$B361)&gt;1,"DUPLICATE RECORD",IF(AND($K361=2,COUNTIFS(nrES_PID,$D361,nrES_Code,$F361,nrES_Att,1)=0),"ATTEMPT 2 WITHOUT ATTEMPT 1",IF(AND($K361=2,$L361=""),"RETEST ROW HAS NO SCORE",IF(AND($H361="Final",$L361&lt;&gt;"",IFERROR(INDEX(nrCKfinalExamElig,MATCH($D361,rngCadetPIDs,0)),"")="No"),"FINAL EXAM AFTER FAILED FINAL PT (500.1.H)","OK")))))))</f>
        <v/>
      </c>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IF($C362="","",IF($K362="","",IF(COUNTIFS(nrES_PID,$D362,nrES_Code,$F362,nrES_Att,"&gt;"&amp;$K362,nrES_Raw,"&gt;=0")=0,"Yes","No")))</f>
        <v/>
      </c>
      <c r="Q362" s="17">
        <f>IF($C362="","",IF($L362="","",IF(AND($K362=1,ISNUMBER($L362),$L362&lt;$J362,COUNTIFS(nrES_PID,$D362,nrES_Code,$F362,nrES_Att,2,nrES_Raw,"&gt;=0")=0),"Yes","No")))</f>
        <v/>
      </c>
      <c r="R362" s="17">
        <f>IF($C362="","",IF($L362="","",IF(AND($K362=2,ISNUMBER($L362),$L362&lt;$J362),"Yes","No")))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OR($C362="",$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RANGE",IF(COUNTIF(nrES_RecID,$B362)&gt;1,"DUPLICATE RECORD",IF(AND($K362=2,COUNTIFS(nrES_PID,$D362,nrES_Code,$F362,nrES_Att,1)=0),"ATTEMPT 2 WITHOUT ATTEMPT 1",IF(AND($K362=2,$L362=""),"RETEST ROW HAS NO SCORE",IF(AND($H362="Final",$L362&lt;&gt;"",IFERROR(INDEX(nrCKfinalExamElig,MATCH($D362,rngCadetPIDs,0)),"")="No"),"FINAL EXAM AFTER FAILED FINAL PT (500.1.H)","OK")))))))</f>
        <v/>
      </c>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IF($C363="","",IF($K363="","",IF(COUNTIFS(nrES_PID,$D363,nrES_Code,$F363,nrES_Att,"&gt;"&amp;$K363,nrES_Raw,"&gt;=0")=0,"Yes","No")))</f>
        <v/>
      </c>
      <c r="Q363" s="17">
        <f>IF($C363="","",IF($L363="","",IF(AND($K363=1,ISNUMBER($L363),$L363&lt;$J363,COUNTIFS(nrES_PID,$D363,nrES_Code,$F363,nrES_Att,2,nrES_Raw,"&gt;=0")=0),"Yes","No")))</f>
        <v/>
      </c>
      <c r="R363" s="17">
        <f>IF($C363="","",IF($L363="","",IF(AND($K363=2,ISNUMBER($L363),$L363&lt;$J363),"Yes","No")))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OR($C363="",$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RANGE",IF(COUNTIF(nrES_RecID,$B363)&gt;1,"DUPLICATE RECORD",IF(AND($K363=2,COUNTIFS(nrES_PID,$D363,nrES_Code,$F363,nrES_Att,1)=0),"ATTEMPT 2 WITHOUT ATTEMPT 1",IF(AND($K363=2,$L363=""),"RETEST ROW HAS NO SCORE",IF(AND($H363="Final",$L363&lt;&gt;"",IFERROR(INDEX(nrCKfinalExamElig,MATCH($D363,rngCadetPIDs,0)),"")="No"),"FINAL EXAM AFTER FAILED FINAL PT (500.1.H)","OK")))))))</f>
        <v/>
      </c>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IF($C364="","",IF($K364="","",IF(COUNTIFS(nrES_PID,$D364,nrES_Code,$F364,nrES_Att,"&gt;"&amp;$K364,nrES_Raw,"&gt;=0")=0,"Yes","No")))</f>
        <v/>
      </c>
      <c r="Q364" s="17">
        <f>IF($C364="","",IF($L364="","",IF(AND($K364=1,ISNUMBER($L364),$L364&lt;$J364,COUNTIFS(nrES_PID,$D364,nrES_Code,$F364,nrES_Att,2,nrES_Raw,"&gt;=0")=0),"Yes","No")))</f>
        <v/>
      </c>
      <c r="R364" s="17">
        <f>IF($C364="","",IF($L364="","",IF(AND($K364=2,ISNUMBER($L364),$L364&lt;$J364),"Yes","No")))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OR($C364="",$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RANGE",IF(COUNTIF(nrES_RecID,$B364)&gt;1,"DUPLICATE RECORD",IF(AND($K364=2,COUNTIFS(nrES_PID,$D364,nrES_Code,$F364,nrES_Att,1)=0),"ATTEMPT 2 WITHOUT ATTEMPT 1",IF(AND($K364=2,$L364=""),"RETEST ROW HAS NO SCORE",IF(AND($H364="Final",$L364&lt;&gt;"",IFERROR(INDEX(nrCKfinalExamElig,MATCH($D364,rngCadetPIDs,0)),"")="No"),"FINAL EXAM AFTER FAILED FINAL PT (500.1.H)","OK")))))))</f>
        <v/>
      </c>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IF($C365="","",IF($K365="","",IF(COUNTIFS(nrES_PID,$D365,nrES_Code,$F365,nrES_Att,"&gt;"&amp;$K365,nrES_Raw,"&gt;=0")=0,"Yes","No")))</f>
        <v/>
      </c>
      <c r="Q365" s="17">
        <f>IF($C365="","",IF($L365="","",IF(AND($K365=1,ISNUMBER($L365),$L365&lt;$J365,COUNTIFS(nrES_PID,$D365,nrES_Code,$F365,nrES_Att,2,nrES_Raw,"&gt;=0")=0),"Yes","No")))</f>
        <v/>
      </c>
      <c r="R365" s="17">
        <f>IF($C365="","",IF($L365="","",IF(AND($K365=2,ISNUMBER($L365),$L365&lt;$J365),"Yes","No")))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OR($C365="",$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RANGE",IF(COUNTIF(nrES_RecID,$B365)&gt;1,"DUPLICATE RECORD",IF(AND($K365=2,COUNTIFS(nrES_PID,$D365,nrES_Code,$F365,nrES_Att,1)=0),"ATTEMPT 2 WITHOUT ATTEMPT 1",IF(AND($K365=2,$L365=""),"RETEST ROW HAS NO SCORE",IF(AND($H365="Final",$L365&lt;&gt;"",IFERROR(INDEX(nrCKfinalExamElig,MATCH($D365,rngCadetPIDs,0)),"")="No"),"FINAL EXAM AFTER FAILED FINAL PT (500.1.H)","OK")))))))</f>
        <v/>
      </c>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IF($C366="","",IF($K366="","",IF(COUNTIFS(nrES_PID,$D366,nrES_Code,$F366,nrES_Att,"&gt;"&amp;$K366,nrES_Raw,"&gt;=0")=0,"Yes","No")))</f>
        <v/>
      </c>
      <c r="Q366" s="17">
        <f>IF($C366="","",IF($L366="","",IF(AND($K366=1,ISNUMBER($L366),$L366&lt;$J366,COUNTIFS(nrES_PID,$D366,nrES_Code,$F366,nrES_Att,2,nrES_Raw,"&gt;=0")=0),"Yes","No")))</f>
        <v/>
      </c>
      <c r="R366" s="17">
        <f>IF($C366="","",IF($L366="","",IF(AND($K366=2,ISNUMBER($L366),$L366&lt;$J366),"Yes","No")))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OR($C366="",$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RANGE",IF(COUNTIF(nrES_RecID,$B366)&gt;1,"DUPLICATE RECORD",IF(AND($K366=2,COUNTIFS(nrES_PID,$D366,nrES_Code,$F366,nrES_Att,1)=0),"ATTEMPT 2 WITHOUT ATTEMPT 1",IF(AND($K366=2,$L366=""),"RETEST ROW HAS NO SCORE",IF(AND($H366="Final",$L366&lt;&gt;"",IFERROR(INDEX(nrCKfinalExamElig,MATCH($D366,rngCadetPIDs,0)),"")="No"),"FINAL EXAM AFTER FAILED FINAL PT (500.1.H)","OK")))))))</f>
        <v/>
      </c>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IF($C367="","",IF($K367="","",IF(COUNTIFS(nrES_PID,$D367,nrES_Code,$F367,nrES_Att,"&gt;"&amp;$K367,nrES_Raw,"&gt;=0")=0,"Yes","No")))</f>
        <v/>
      </c>
      <c r="Q367" s="17">
        <f>IF($C367="","",IF($L367="","",IF(AND($K367=1,ISNUMBER($L367),$L367&lt;$J367,COUNTIFS(nrES_PID,$D367,nrES_Code,$F367,nrES_Att,2,nrES_Raw,"&gt;=0")=0),"Yes","No")))</f>
        <v/>
      </c>
      <c r="R367" s="17">
        <f>IF($C367="","",IF($L367="","",IF(AND($K367=2,ISNUMBER($L367),$L367&lt;$J367),"Yes","No")))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OR($C367="",$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RANGE",IF(COUNTIF(nrES_RecID,$B367)&gt;1,"DUPLICATE RECORD",IF(AND($K367=2,COUNTIFS(nrES_PID,$D367,nrES_Code,$F367,nrES_Att,1)=0),"ATTEMPT 2 WITHOUT ATTEMPT 1",IF(AND($K367=2,$L367=""),"RETEST ROW HAS NO SCORE",IF(AND($H367="Final",$L367&lt;&gt;"",IFERROR(INDEX(nrCKfinalExamElig,MATCH($D367,rngCadetPIDs,0)),"")="No"),"FINAL EXAM AFTER FAILED FINAL PT (500.1.H)","OK")))))))</f>
        <v/>
      </c>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IF($C368="","",IF($K368="","",IF(COUNTIFS(nrES_PID,$D368,nrES_Code,$F368,nrES_Att,"&gt;"&amp;$K368,nrES_Raw,"&gt;=0")=0,"Yes","No")))</f>
        <v/>
      </c>
      <c r="Q368" s="17">
        <f>IF($C368="","",IF($L368="","",IF(AND($K368=1,ISNUMBER($L368),$L368&lt;$J368,COUNTIFS(nrES_PID,$D368,nrES_Code,$F368,nrES_Att,2,nrES_Raw,"&gt;=0")=0),"Yes","No")))</f>
        <v/>
      </c>
      <c r="R368" s="17">
        <f>IF($C368="","",IF($L368="","",IF(AND($K368=2,ISNUMBER($L368),$L368&lt;$J368),"Yes","No")))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OR($C368="",$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RANGE",IF(COUNTIF(nrES_RecID,$B368)&gt;1,"DUPLICATE RECORD",IF(AND($K368=2,COUNTIFS(nrES_PID,$D368,nrES_Code,$F368,nrES_Att,1)=0),"ATTEMPT 2 WITHOUT ATTEMPT 1",IF(AND($K368=2,$L368=""),"RETEST ROW HAS NO SCORE",IF(AND($H368="Final",$L368&lt;&gt;"",IFERROR(INDEX(nrCKfinalExamElig,MATCH($D368,rngCadetPIDs,0)),"")="No"),"FINAL EXAM AFTER FAILED FINAL PT (500.1.H)","OK")))))))</f>
        <v/>
      </c>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IF($C369="","",IF($K369="","",IF(COUNTIFS(nrES_PID,$D369,nrES_Code,$F369,nrES_Att,"&gt;"&amp;$K369,nrES_Raw,"&gt;=0")=0,"Yes","No")))</f>
        <v/>
      </c>
      <c r="Q369" s="17">
        <f>IF($C369="","",IF($L369="","",IF(AND($K369=1,ISNUMBER($L369),$L369&lt;$J369,COUNTIFS(nrES_PID,$D369,nrES_Code,$F369,nrES_Att,2,nrES_Raw,"&gt;=0")=0),"Yes","No")))</f>
        <v/>
      </c>
      <c r="R369" s="17">
        <f>IF($C369="","",IF($L369="","",IF(AND($K369=2,ISNUMBER($L369),$L369&lt;$J369),"Yes","No")))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OR($C369="",$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RANGE",IF(COUNTIF(nrES_RecID,$B369)&gt;1,"DUPLICATE RECORD",IF(AND($K369=2,COUNTIFS(nrES_PID,$D369,nrES_Code,$F369,nrES_Att,1)=0),"ATTEMPT 2 WITHOUT ATTEMPT 1",IF(AND($K369=2,$L369=""),"RETEST ROW HAS NO SCORE",IF(AND($H369="Final",$L369&lt;&gt;"",IFERROR(INDEX(nrCKfinalExamElig,MATCH($D369,rngCadetPIDs,0)),"")="No"),"FINAL EXAM AFTER FAILED FINAL PT (500.1.H)","OK")))))))</f>
        <v/>
      </c>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IF($C370="","",IF($K370="","",IF(COUNTIFS(nrES_PID,$D370,nrES_Code,$F370,nrES_Att,"&gt;"&amp;$K370,nrES_Raw,"&gt;=0")=0,"Yes","No")))</f>
        <v/>
      </c>
      <c r="Q370" s="17">
        <f>IF($C370="","",IF($L370="","",IF(AND($K370=1,ISNUMBER($L370),$L370&lt;$J370,COUNTIFS(nrES_PID,$D370,nrES_Code,$F370,nrES_Att,2,nrES_Raw,"&gt;=0")=0),"Yes","No")))</f>
        <v/>
      </c>
      <c r="R370" s="17">
        <f>IF($C370="","",IF($L370="","",IF(AND($K370=2,ISNUMBER($L370),$L370&lt;$J370),"Yes","No")))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OR($C370="",$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RANGE",IF(COUNTIF(nrES_RecID,$B370)&gt;1,"DUPLICATE RECORD",IF(AND($K370=2,COUNTIFS(nrES_PID,$D370,nrES_Code,$F370,nrES_Att,1)=0),"ATTEMPT 2 WITHOUT ATTEMPT 1",IF(AND($K370=2,$L370=""),"RETEST ROW HAS NO SCORE",IF(AND($H370="Final",$L370&lt;&gt;"",IFERROR(INDEX(nrCKfinalExamElig,MATCH($D370,rngCadetPIDs,0)),"")="No"),"FINAL EXAM AFTER FAILED FINAL PT (500.1.H)","OK")))))))</f>
        <v/>
      </c>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IF($C371="","",IF($K371="","",IF(COUNTIFS(nrES_PID,$D371,nrES_Code,$F371,nrES_Att,"&gt;"&amp;$K371,nrES_Raw,"&gt;=0")=0,"Yes","No")))</f>
        <v/>
      </c>
      <c r="Q371" s="17">
        <f>IF($C371="","",IF($L371="","",IF(AND($K371=1,ISNUMBER($L371),$L371&lt;$J371,COUNTIFS(nrES_PID,$D371,nrES_Code,$F371,nrES_Att,2,nrES_Raw,"&gt;=0")=0),"Yes","No")))</f>
        <v/>
      </c>
      <c r="R371" s="17">
        <f>IF($C371="","",IF($L371="","",IF(AND($K371=2,ISNUMBER($L371),$L371&lt;$J371),"Yes","No")))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OR($C371="",$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RANGE",IF(COUNTIF(nrES_RecID,$B371)&gt;1,"DUPLICATE RECORD",IF(AND($K371=2,COUNTIFS(nrES_PID,$D371,nrES_Code,$F371,nrES_Att,1)=0),"ATTEMPT 2 WITHOUT ATTEMPT 1",IF(AND($K371=2,$L371=""),"RETEST ROW HAS NO SCORE",IF(AND($H371="Final",$L371&lt;&gt;"",IFERROR(INDEX(nrCKfinalExamElig,MATCH($D371,rngCadetPIDs,0)),"")="No"),"FINAL EXAM AFTER FAILED FINAL PT (500.1.H)","OK")))))))</f>
        <v/>
      </c>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IF($C372="","",IF($K372="","",IF(COUNTIFS(nrES_PID,$D372,nrES_Code,$F372,nrES_Att,"&gt;"&amp;$K372,nrES_Raw,"&gt;=0")=0,"Yes","No")))</f>
        <v/>
      </c>
      <c r="Q372" s="17">
        <f>IF($C372="","",IF($L372="","",IF(AND($K372=1,ISNUMBER($L372),$L372&lt;$J372,COUNTIFS(nrES_PID,$D372,nrES_Code,$F372,nrES_Att,2,nrES_Raw,"&gt;=0")=0),"Yes","No")))</f>
        <v/>
      </c>
      <c r="R372" s="17">
        <f>IF($C372="","",IF($L372="","",IF(AND($K372=2,ISNUMBER($L372),$L372&lt;$J372),"Yes","No")))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OR($C372="",$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RANGE",IF(COUNTIF(nrES_RecID,$B372)&gt;1,"DUPLICATE RECORD",IF(AND($K372=2,COUNTIFS(nrES_PID,$D372,nrES_Code,$F372,nrES_Att,1)=0),"ATTEMPT 2 WITHOUT ATTEMPT 1",IF(AND($K372=2,$L372=""),"RETEST ROW HAS NO SCORE",IF(AND($H372="Final",$L372&lt;&gt;"",IFERROR(INDEX(nrCKfinalExamElig,MATCH($D372,rngCadetPIDs,0)),"")="No"),"FINAL EXAM AFTER FAILED FINAL PT (500.1.H)","OK")))))))</f>
        <v/>
      </c>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IF($C373="","",IF($K373="","",IF(COUNTIFS(nrES_PID,$D373,nrES_Code,$F373,nrES_Att,"&gt;"&amp;$K373,nrES_Raw,"&gt;=0")=0,"Yes","No")))</f>
        <v/>
      </c>
      <c r="Q373" s="17">
        <f>IF($C373="","",IF($L373="","",IF(AND($K373=1,ISNUMBER($L373),$L373&lt;$J373,COUNTIFS(nrES_PID,$D373,nrES_Code,$F373,nrES_Att,2,nrES_Raw,"&gt;=0")=0),"Yes","No")))</f>
        <v/>
      </c>
      <c r="R373" s="17">
        <f>IF($C373="","",IF($L373="","",IF(AND($K373=2,ISNUMBER($L373),$L373&lt;$J373),"Yes","No")))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OR($C373="",$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RANGE",IF(COUNTIF(nrES_RecID,$B373)&gt;1,"DUPLICATE RECORD",IF(AND($K373=2,COUNTIFS(nrES_PID,$D373,nrES_Code,$F373,nrES_Att,1)=0),"ATTEMPT 2 WITHOUT ATTEMPT 1",IF(AND($K373=2,$L373=""),"RETEST ROW HAS NO SCORE",IF(AND($H373="Final",$L373&lt;&gt;"",IFERROR(INDEX(nrCKfinalExamElig,MATCH($D373,rngCadetPIDs,0)),"")="No"),"FINAL EXAM AFTER FAILED FINAL PT (500.1.H)","OK")))))))</f>
        <v/>
      </c>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IF($C374="","",IF($K374="","",IF(COUNTIFS(nrES_PID,$D374,nrES_Code,$F374,nrES_Att,"&gt;"&amp;$K374,nrES_Raw,"&gt;=0")=0,"Yes","No")))</f>
        <v/>
      </c>
      <c r="Q374" s="17">
        <f>IF($C374="","",IF($L374="","",IF(AND($K374=1,ISNUMBER($L374),$L374&lt;$J374,COUNTIFS(nrES_PID,$D374,nrES_Code,$F374,nrES_Att,2,nrES_Raw,"&gt;=0")=0),"Yes","No")))</f>
        <v/>
      </c>
      <c r="R374" s="17">
        <f>IF($C374="","",IF($L374="","",IF(AND($K374=2,ISNUMBER($L374),$L374&lt;$J374),"Yes","No")))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OR($C374="",$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RANGE",IF(COUNTIF(nrES_RecID,$B374)&gt;1,"DUPLICATE RECORD",IF(AND($K374=2,COUNTIFS(nrES_PID,$D374,nrES_Code,$F374,nrES_Att,1)=0),"ATTEMPT 2 WITHOUT ATTEMPT 1",IF(AND($K374=2,$L374=""),"RETEST ROW HAS NO SCORE",IF(AND($H374="Final",$L374&lt;&gt;"",IFERROR(INDEX(nrCKfinalExamElig,MATCH($D374,rngCadetPIDs,0)),"")="No"),"FINAL EXAM AFTER FAILED FINAL PT (500.1.H)","OK")))))))</f>
        <v/>
      </c>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IF($C375="","",IF($K375="","",IF(COUNTIFS(nrES_PID,$D375,nrES_Code,$F375,nrES_Att,"&gt;"&amp;$K375,nrES_Raw,"&gt;=0")=0,"Yes","No")))</f>
        <v/>
      </c>
      <c r="Q375" s="17">
        <f>IF($C375="","",IF($L375="","",IF(AND($K375=1,ISNUMBER($L375),$L375&lt;$J375,COUNTIFS(nrES_PID,$D375,nrES_Code,$F375,nrES_Att,2,nrES_Raw,"&gt;=0")=0),"Yes","No")))</f>
        <v/>
      </c>
      <c r="R375" s="17">
        <f>IF($C375="","",IF($L375="","",IF(AND($K375=2,ISNUMBER($L375),$L375&lt;$J375),"Yes","No")))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OR($C375="",$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RANGE",IF(COUNTIF(nrES_RecID,$B375)&gt;1,"DUPLICATE RECORD",IF(AND($K375=2,COUNTIFS(nrES_PID,$D375,nrES_Code,$F375,nrES_Att,1)=0),"ATTEMPT 2 WITHOUT ATTEMPT 1",IF(AND($K375=2,$L375=""),"RETEST ROW HAS NO SCORE",IF(AND($H375="Final",$L375&lt;&gt;"",IFERROR(INDEX(nrCKfinalExamElig,MATCH($D375,rngCadetPIDs,0)),"")="No"),"FINAL EXAM AFTER FAILED FINAL PT (500.1.H)","OK")))))))</f>
        <v/>
      </c>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IF($C376="","",IF($K376="","",IF(COUNTIFS(nrES_PID,$D376,nrES_Code,$F376,nrES_Att,"&gt;"&amp;$K376,nrES_Raw,"&gt;=0")=0,"Yes","No")))</f>
        <v/>
      </c>
      <c r="Q376" s="17">
        <f>IF($C376="","",IF($L376="","",IF(AND($K376=1,ISNUMBER($L376),$L376&lt;$J376,COUNTIFS(nrES_PID,$D376,nrES_Code,$F376,nrES_Att,2,nrES_Raw,"&gt;=0")=0),"Yes","No")))</f>
        <v/>
      </c>
      <c r="R376" s="17">
        <f>IF($C376="","",IF($L376="","",IF(AND($K376=2,ISNUMBER($L376),$L376&lt;$J376),"Yes","No")))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OR($C376="",$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RANGE",IF(COUNTIF(nrES_RecID,$B376)&gt;1,"DUPLICATE RECORD",IF(AND($K376=2,COUNTIFS(nrES_PID,$D376,nrES_Code,$F376,nrES_Att,1)=0),"ATTEMPT 2 WITHOUT ATTEMPT 1",IF(AND($K376=2,$L376=""),"RETEST ROW HAS NO SCORE",IF(AND($H376="Final",$L376&lt;&gt;"",IFERROR(INDEX(nrCKfinalExamElig,MATCH($D376,rngCadetPIDs,0)),"")="No"),"FINAL EXAM AFTER FAILED FINAL PT (500.1.H)","OK")))))))</f>
        <v/>
      </c>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IF($C377="","",IF($K377="","",IF(COUNTIFS(nrES_PID,$D377,nrES_Code,$F377,nrES_Att,"&gt;"&amp;$K377,nrES_Raw,"&gt;=0")=0,"Yes","No")))</f>
        <v/>
      </c>
      <c r="Q377" s="17">
        <f>IF($C377="","",IF($L377="","",IF(AND($K377=1,ISNUMBER($L377),$L377&lt;$J377,COUNTIFS(nrES_PID,$D377,nrES_Code,$F377,nrES_Att,2,nrES_Raw,"&gt;=0")=0),"Yes","No")))</f>
        <v/>
      </c>
      <c r="R377" s="17">
        <f>IF($C377="","",IF($L377="","",IF(AND($K377=2,ISNUMBER($L377),$L377&lt;$J377),"Yes","No")))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OR($C377="",$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RANGE",IF(COUNTIF(nrES_RecID,$B377)&gt;1,"DUPLICATE RECORD",IF(AND($K377=2,COUNTIFS(nrES_PID,$D377,nrES_Code,$F377,nrES_Att,1)=0),"ATTEMPT 2 WITHOUT ATTEMPT 1",IF(AND($K377=2,$L377=""),"RETEST ROW HAS NO SCORE",IF(AND($H377="Final",$L377&lt;&gt;"",IFERROR(INDEX(nrCKfinalExamElig,MATCH($D377,rngCadetPIDs,0)),"")="No"),"FINAL EXAM AFTER FAILED FINAL PT (500.1.H)","OK")))))))</f>
        <v/>
      </c>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IF($C378="","",IF($K378="","",IF(COUNTIFS(nrES_PID,$D378,nrES_Code,$F378,nrES_Att,"&gt;"&amp;$K378,nrES_Raw,"&gt;=0")=0,"Yes","No")))</f>
        <v/>
      </c>
      <c r="Q378" s="17">
        <f>IF($C378="","",IF($L378="","",IF(AND($K378=1,ISNUMBER($L378),$L378&lt;$J378,COUNTIFS(nrES_PID,$D378,nrES_Code,$F378,nrES_Att,2,nrES_Raw,"&gt;=0")=0),"Yes","No")))</f>
        <v/>
      </c>
      <c r="R378" s="17">
        <f>IF($C378="","",IF($L378="","",IF(AND($K378=2,ISNUMBER($L378),$L378&lt;$J378),"Yes","No")))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OR($C378="",$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RANGE",IF(COUNTIF(nrES_RecID,$B378)&gt;1,"DUPLICATE RECORD",IF(AND($K378=2,COUNTIFS(nrES_PID,$D378,nrES_Code,$F378,nrES_Att,1)=0),"ATTEMPT 2 WITHOUT ATTEMPT 1",IF(AND($K378=2,$L378=""),"RETEST ROW HAS NO SCORE",IF(AND($H378="Final",$L378&lt;&gt;"",IFERROR(INDEX(nrCKfinalExamElig,MATCH($D378,rngCadetPIDs,0)),"")="No"),"FINAL EXAM AFTER FAILED FINAL PT (500.1.H)","OK")))))))</f>
        <v/>
      </c>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IF($C379="","",IF($K379="","",IF(COUNTIFS(nrES_PID,$D379,nrES_Code,$F379,nrES_Att,"&gt;"&amp;$K379,nrES_Raw,"&gt;=0")=0,"Yes","No")))</f>
        <v/>
      </c>
      <c r="Q379" s="17">
        <f>IF($C379="","",IF($L379="","",IF(AND($K379=1,ISNUMBER($L379),$L379&lt;$J379,COUNTIFS(nrES_PID,$D379,nrES_Code,$F379,nrES_Att,2,nrES_Raw,"&gt;=0")=0),"Yes","No")))</f>
        <v/>
      </c>
      <c r="R379" s="17">
        <f>IF($C379="","",IF($L379="","",IF(AND($K379=2,ISNUMBER($L379),$L379&lt;$J379),"Yes","No")))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OR($C379="",$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RANGE",IF(COUNTIF(nrES_RecID,$B379)&gt;1,"DUPLICATE RECORD",IF(AND($K379=2,COUNTIFS(nrES_PID,$D379,nrES_Code,$F379,nrES_Att,1)=0),"ATTEMPT 2 WITHOUT ATTEMPT 1",IF(AND($K379=2,$L379=""),"RETEST ROW HAS NO SCORE",IF(AND($H379="Final",$L379&lt;&gt;"",IFERROR(INDEX(nrCKfinalExamElig,MATCH($D379,rngCadetPIDs,0)),"")="No"),"FINAL EXAM AFTER FAILED FINAL PT (500.1.H)","OK")))))))</f>
        <v/>
      </c>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IF($C380="","",IF($K380="","",IF(COUNTIFS(nrES_PID,$D380,nrES_Code,$F380,nrES_Att,"&gt;"&amp;$K380,nrES_Raw,"&gt;=0")=0,"Yes","No")))</f>
        <v/>
      </c>
      <c r="Q380" s="17">
        <f>IF($C380="","",IF($L380="","",IF(AND($K380=1,ISNUMBER($L380),$L380&lt;$J380,COUNTIFS(nrES_PID,$D380,nrES_Code,$F380,nrES_Att,2,nrES_Raw,"&gt;=0")=0),"Yes","No")))</f>
        <v/>
      </c>
      <c r="R380" s="17">
        <f>IF($C380="","",IF($L380="","",IF(AND($K380=2,ISNUMBER($L380),$L380&lt;$J380),"Yes","No")))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OR($C380="",$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RANGE",IF(COUNTIF(nrES_RecID,$B380)&gt;1,"DUPLICATE RECORD",IF(AND($K380=2,COUNTIFS(nrES_PID,$D380,nrES_Code,$F380,nrES_Att,1)=0),"ATTEMPT 2 WITHOUT ATTEMPT 1",IF(AND($K380=2,$L380=""),"RETEST ROW HAS NO SCORE",IF(AND($H380="Final",$L380&lt;&gt;"",IFERROR(INDEX(nrCKfinalExamElig,MATCH($D380,rngCadetPIDs,0)),"")="No"),"FINAL EXAM AFTER FAILED FINAL PT (500.1.H)","OK")))))))</f>
        <v/>
      </c>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IF($C381="","",IF($K381="","",IF(COUNTIFS(nrES_PID,$D381,nrES_Code,$F381,nrES_Att,"&gt;"&amp;$K381,nrES_Raw,"&gt;=0")=0,"Yes","No")))</f>
        <v/>
      </c>
      <c r="Q381" s="17">
        <f>IF($C381="","",IF($L381="","",IF(AND($K381=1,ISNUMBER($L381),$L381&lt;$J381,COUNTIFS(nrES_PID,$D381,nrES_Code,$F381,nrES_Att,2,nrES_Raw,"&gt;=0")=0),"Yes","No")))</f>
        <v/>
      </c>
      <c r="R381" s="17">
        <f>IF($C381="","",IF($L381="","",IF(AND($K381=2,ISNUMBER($L381),$L381&lt;$J381),"Yes","No")))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OR($C381="",$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RANGE",IF(COUNTIF(nrES_RecID,$B381)&gt;1,"DUPLICATE RECORD",IF(AND($K381=2,COUNTIFS(nrES_PID,$D381,nrES_Code,$F381,nrES_Att,1)=0),"ATTEMPT 2 WITHOUT ATTEMPT 1",IF(AND($K381=2,$L381=""),"RETEST ROW HAS NO SCORE",IF(AND($H381="Final",$L381&lt;&gt;"",IFERROR(INDEX(nrCKfinalExamElig,MATCH($D381,rngCadetPIDs,0)),"")="No"),"FINAL EXAM AFTER FAILED FINAL PT (500.1.H)","OK")))))))</f>
        <v/>
      </c>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IF($C382="","",IF($K382="","",IF(COUNTIFS(nrES_PID,$D382,nrES_Code,$F382,nrES_Att,"&gt;"&amp;$K382,nrES_Raw,"&gt;=0")=0,"Yes","No")))</f>
        <v/>
      </c>
      <c r="Q382" s="17">
        <f>IF($C382="","",IF($L382="","",IF(AND($K382=1,ISNUMBER($L382),$L382&lt;$J382,COUNTIFS(nrES_PID,$D382,nrES_Code,$F382,nrES_Att,2,nrES_Raw,"&gt;=0")=0),"Yes","No")))</f>
        <v/>
      </c>
      <c r="R382" s="17">
        <f>IF($C382="","",IF($L382="","",IF(AND($K382=2,ISNUMBER($L382),$L382&lt;$J382),"Yes","No")))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OR($C382="",$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RANGE",IF(COUNTIF(nrES_RecID,$B382)&gt;1,"DUPLICATE RECORD",IF(AND($K382=2,COUNTIFS(nrES_PID,$D382,nrES_Code,$F382,nrES_Att,1)=0),"ATTEMPT 2 WITHOUT ATTEMPT 1",IF(AND($K382=2,$L382=""),"RETEST ROW HAS NO SCORE",IF(AND($H382="Final",$L382&lt;&gt;"",IFERROR(INDEX(nrCKfinalExamElig,MATCH($D382,rngCadetPIDs,0)),"")="No"),"FINAL EXAM AFTER FAILED FINAL PT (500.1.H)","OK")))))))</f>
        <v/>
      </c>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IF($C383="","",IF($K383="","",IF(COUNTIFS(nrES_PID,$D383,nrES_Code,$F383,nrES_Att,"&gt;"&amp;$K383,nrES_Raw,"&gt;=0")=0,"Yes","No")))</f>
        <v/>
      </c>
      <c r="Q383" s="17">
        <f>IF($C383="","",IF($L383="","",IF(AND($K383=1,ISNUMBER($L383),$L383&lt;$J383,COUNTIFS(nrES_PID,$D383,nrES_Code,$F383,nrES_Att,2,nrES_Raw,"&gt;=0")=0),"Yes","No")))</f>
        <v/>
      </c>
      <c r="R383" s="17">
        <f>IF($C383="","",IF($L383="","",IF(AND($K383=2,ISNUMBER($L383),$L383&lt;$J383),"Yes","No")))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OR($C383="",$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RANGE",IF(COUNTIF(nrES_RecID,$B383)&gt;1,"DUPLICATE RECORD",IF(AND($K383=2,COUNTIFS(nrES_PID,$D383,nrES_Code,$F383,nrES_Att,1)=0),"ATTEMPT 2 WITHOUT ATTEMPT 1",IF(AND($K383=2,$L383=""),"RETEST ROW HAS NO SCORE",IF(AND($H383="Final",$L383&lt;&gt;"",IFERROR(INDEX(nrCKfinalExamElig,MATCH($D383,rngCadetPIDs,0)),"")="No"),"FINAL EXAM AFTER FAILED FINAL PT (500.1.H)","OK")))))))</f>
        <v/>
      </c>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IF($C384="","",IF($K384="","",IF(COUNTIFS(nrES_PID,$D384,nrES_Code,$F384,nrES_Att,"&gt;"&amp;$K384,nrES_Raw,"&gt;=0")=0,"Yes","No")))</f>
        <v/>
      </c>
      <c r="Q384" s="17">
        <f>IF($C384="","",IF($L384="","",IF(AND($K384=1,ISNUMBER($L384),$L384&lt;$J384,COUNTIFS(nrES_PID,$D384,nrES_Code,$F384,nrES_Att,2,nrES_Raw,"&gt;=0")=0),"Yes","No")))</f>
        <v/>
      </c>
      <c r="R384" s="17">
        <f>IF($C384="","",IF($L384="","",IF(AND($K384=2,ISNUMBER($L384),$L384&lt;$J384),"Yes","No")))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OR($C384="",$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RANGE",IF(COUNTIF(nrES_RecID,$B384)&gt;1,"DUPLICATE RECORD",IF(AND($K384=2,COUNTIFS(nrES_PID,$D384,nrES_Code,$F384,nrES_Att,1)=0),"ATTEMPT 2 WITHOUT ATTEMPT 1",IF(AND($K384=2,$L384=""),"RETEST ROW HAS NO SCORE",IF(AND($H384="Final",$L384&lt;&gt;"",IFERROR(INDEX(nrCKfinalExamElig,MATCH($D384,rngCadetPIDs,0)),"")="No"),"FINAL EXAM AFTER FAILED FINAL PT (500.1.H)","OK")))))))</f>
        <v/>
      </c>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IF($C385="","",IF($K385="","",IF(COUNTIFS(nrES_PID,$D385,nrES_Code,$F385,nrES_Att,"&gt;"&amp;$K385,nrES_Raw,"&gt;=0")=0,"Yes","No")))</f>
        <v/>
      </c>
      <c r="Q385" s="17">
        <f>IF($C385="","",IF($L385="","",IF(AND($K385=1,ISNUMBER($L385),$L385&lt;$J385,COUNTIFS(nrES_PID,$D385,nrES_Code,$F385,nrES_Att,2,nrES_Raw,"&gt;=0")=0),"Yes","No")))</f>
        <v/>
      </c>
      <c r="R385" s="17">
        <f>IF($C385="","",IF($L385="","",IF(AND($K385=2,ISNUMBER($L385),$L385&lt;$J385),"Yes","No")))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OR($C385="",$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RANGE",IF(COUNTIF(nrES_RecID,$B385)&gt;1,"DUPLICATE RECORD",IF(AND($K385=2,COUNTIFS(nrES_PID,$D385,nrES_Code,$F385,nrES_Att,1)=0),"ATTEMPT 2 WITHOUT ATTEMPT 1",IF(AND($K385=2,$L385=""),"RETEST ROW HAS NO SCORE",IF(AND($H385="Final",$L385&lt;&gt;"",IFERROR(INDEX(nrCKfinalExamElig,MATCH($D385,rngCadetPIDs,0)),"")="No"),"FINAL EXAM AFTER FAILED FINAL PT (500.1.H)","OK")))))))</f>
        <v/>
      </c>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IF($C386="","",IF($K386="","",IF(COUNTIFS(nrES_PID,$D386,nrES_Code,$F386,nrES_Att,"&gt;"&amp;$K386,nrES_Raw,"&gt;=0")=0,"Yes","No")))</f>
        <v/>
      </c>
      <c r="Q386" s="17">
        <f>IF($C386="","",IF($L386="","",IF(AND($K386=1,ISNUMBER($L386),$L386&lt;$J386,COUNTIFS(nrES_PID,$D386,nrES_Code,$F386,nrES_Att,2,nrES_Raw,"&gt;=0")=0),"Yes","No")))</f>
        <v/>
      </c>
      <c r="R386" s="17">
        <f>IF($C386="","",IF($L386="","",IF(AND($K386=2,ISNUMBER($L386),$L386&lt;$J386),"Yes","No")))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OR($C386="",$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RANGE",IF(COUNTIF(nrES_RecID,$B386)&gt;1,"DUPLICATE RECORD",IF(AND($K386=2,COUNTIFS(nrES_PID,$D386,nrES_Code,$F386,nrES_Att,1)=0),"ATTEMPT 2 WITHOUT ATTEMPT 1",IF(AND($K386=2,$L386=""),"RETEST ROW HAS NO SCORE",IF(AND($H386="Final",$L386&lt;&gt;"",IFERROR(INDEX(nrCKfinalExamElig,MATCH($D386,rngCadetPIDs,0)),"")="No"),"FINAL EXAM AFTER FAILED FINAL PT (500.1.H)","OK")))))))</f>
        <v/>
      </c>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IF($C387="","",IF($K387="","",IF(COUNTIFS(nrES_PID,$D387,nrES_Code,$F387,nrES_Att,"&gt;"&amp;$K387,nrES_Raw,"&gt;=0")=0,"Yes","No")))</f>
        <v/>
      </c>
      <c r="Q387" s="17">
        <f>IF($C387="","",IF($L387="","",IF(AND($K387=1,ISNUMBER($L387),$L387&lt;$J387,COUNTIFS(nrES_PID,$D387,nrES_Code,$F387,nrES_Att,2,nrES_Raw,"&gt;=0")=0),"Yes","No")))</f>
        <v/>
      </c>
      <c r="R387" s="17">
        <f>IF($C387="","",IF($L387="","",IF(AND($K387=2,ISNUMBER($L387),$L387&lt;$J387),"Yes","No")))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OR($C387="",$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RANGE",IF(COUNTIF(nrES_RecID,$B387)&gt;1,"DUPLICATE RECORD",IF(AND($K387=2,COUNTIFS(nrES_PID,$D387,nrES_Code,$F387,nrES_Att,1)=0),"ATTEMPT 2 WITHOUT ATTEMPT 1",IF(AND($K387=2,$L387=""),"RETEST ROW HAS NO SCORE",IF(AND($H387="Final",$L387&lt;&gt;"",IFERROR(INDEX(nrCKfinalExamElig,MATCH($D387,rngCadetPIDs,0)),"")="No"),"FINAL EXAM AFTER FAILED FINAL PT (500.1.H)","OK")))))))</f>
        <v/>
      </c>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IF($C388="","",IF($K388="","",IF(COUNTIFS(nrES_PID,$D388,nrES_Code,$F388,nrES_Att,"&gt;"&amp;$K388,nrES_Raw,"&gt;=0")=0,"Yes","No")))</f>
        <v/>
      </c>
      <c r="Q388" s="17">
        <f>IF($C388="","",IF($L388="","",IF(AND($K388=1,ISNUMBER($L388),$L388&lt;$J388,COUNTIFS(nrES_PID,$D388,nrES_Code,$F388,nrES_Att,2,nrES_Raw,"&gt;=0")=0),"Yes","No")))</f>
        <v/>
      </c>
      <c r="R388" s="17">
        <f>IF($C388="","",IF($L388="","",IF(AND($K388=2,ISNUMBER($L388),$L388&lt;$J388),"Yes","No")))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OR($C388="",$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RANGE",IF(COUNTIF(nrES_RecID,$B388)&gt;1,"DUPLICATE RECORD",IF(AND($K388=2,COUNTIFS(nrES_PID,$D388,nrES_Code,$F388,nrES_Att,1)=0),"ATTEMPT 2 WITHOUT ATTEMPT 1",IF(AND($K388=2,$L388=""),"RETEST ROW HAS NO SCORE",IF(AND($H388="Final",$L388&lt;&gt;"",IFERROR(INDEX(nrCKfinalExamElig,MATCH($D388,rngCadetPIDs,0)),"")="No"),"FINAL EXAM AFTER FAILED FINAL PT (500.1.H)","OK")))))))</f>
        <v/>
      </c>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IF($C389="","",IF($K389="","",IF(COUNTIFS(nrES_PID,$D389,nrES_Code,$F389,nrES_Att,"&gt;"&amp;$K389,nrES_Raw,"&gt;=0")=0,"Yes","No")))</f>
        <v/>
      </c>
      <c r="Q389" s="17">
        <f>IF($C389="","",IF($L389="","",IF(AND($K389=1,ISNUMBER($L389),$L389&lt;$J389,COUNTIFS(nrES_PID,$D389,nrES_Code,$F389,nrES_Att,2,nrES_Raw,"&gt;=0")=0),"Yes","No")))</f>
        <v/>
      </c>
      <c r="R389" s="17">
        <f>IF($C389="","",IF($L389="","",IF(AND($K389=2,ISNUMBER($L389),$L389&lt;$J389),"Yes","No")))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OR($C389="",$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RANGE",IF(COUNTIF(nrES_RecID,$B389)&gt;1,"DUPLICATE RECORD",IF(AND($K389=2,COUNTIFS(nrES_PID,$D389,nrES_Code,$F389,nrES_Att,1)=0),"ATTEMPT 2 WITHOUT ATTEMPT 1",IF(AND($K389=2,$L389=""),"RETEST ROW HAS NO SCORE",IF(AND($H389="Final",$L389&lt;&gt;"",IFERROR(INDEX(nrCKfinalExamElig,MATCH($D389,rngCadetPIDs,0)),"")="No"),"FINAL EXAM AFTER FAILED FINAL PT (500.1.H)","OK")))))))</f>
        <v/>
      </c>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IF($C390="","",IF($K390="","",IF(COUNTIFS(nrES_PID,$D390,nrES_Code,$F390,nrES_Att,"&gt;"&amp;$K390,nrES_Raw,"&gt;=0")=0,"Yes","No")))</f>
        <v/>
      </c>
      <c r="Q390" s="17">
        <f>IF($C390="","",IF($L390="","",IF(AND($K390=1,ISNUMBER($L390),$L390&lt;$J390,COUNTIFS(nrES_PID,$D390,nrES_Code,$F390,nrES_Att,2,nrES_Raw,"&gt;=0")=0),"Yes","No")))</f>
        <v/>
      </c>
      <c r="R390" s="17">
        <f>IF($C390="","",IF($L390="","",IF(AND($K390=2,ISNUMBER($L390),$L390&lt;$J390),"Yes","No")))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OR($C390="",$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RANGE",IF(COUNTIF(nrES_RecID,$B390)&gt;1,"DUPLICATE RECORD",IF(AND($K390=2,COUNTIFS(nrES_PID,$D390,nrES_Code,$F390,nrES_Att,1)=0),"ATTEMPT 2 WITHOUT ATTEMPT 1",IF(AND($K390=2,$L390=""),"RETEST ROW HAS NO SCORE",IF(AND($H390="Final",$L390&lt;&gt;"",IFERROR(INDEX(nrCKfinalExamElig,MATCH($D390,rngCadetPIDs,0)),"")="No"),"FINAL EXAM AFTER FAILED FINAL PT (500.1.H)","OK")))))))</f>
        <v/>
      </c>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IF($C391="","",IF($K391="","",IF(COUNTIFS(nrES_PID,$D391,nrES_Code,$F391,nrES_Att,"&gt;"&amp;$K391,nrES_Raw,"&gt;=0")=0,"Yes","No")))</f>
        <v/>
      </c>
      <c r="Q391" s="17">
        <f>IF($C391="","",IF($L391="","",IF(AND($K391=1,ISNUMBER($L391),$L391&lt;$J391,COUNTIFS(nrES_PID,$D391,nrES_Code,$F391,nrES_Att,2,nrES_Raw,"&gt;=0")=0),"Yes","No")))</f>
        <v/>
      </c>
      <c r="R391" s="17">
        <f>IF($C391="","",IF($L391="","",IF(AND($K391=2,ISNUMBER($L391),$L391&lt;$J391),"Yes","No")))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OR($C391="",$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RANGE",IF(COUNTIF(nrES_RecID,$B391)&gt;1,"DUPLICATE RECORD",IF(AND($K391=2,COUNTIFS(nrES_PID,$D391,nrES_Code,$F391,nrES_Att,1)=0),"ATTEMPT 2 WITHOUT ATTEMPT 1",IF(AND($K391=2,$L391=""),"RETEST ROW HAS NO SCORE",IF(AND($H391="Final",$L391&lt;&gt;"",IFERROR(INDEX(nrCKfinalExamElig,MATCH($D391,rngCadetPIDs,0)),"")="No"),"FINAL EXAM AFTER FAILED FINAL PT (500.1.H)","OK")))))))</f>
        <v/>
      </c>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IF($C392="","",IF($K392="","",IF(COUNTIFS(nrES_PID,$D392,nrES_Code,$F392,nrES_Att,"&gt;"&amp;$K392,nrES_Raw,"&gt;=0")=0,"Yes","No")))</f>
        <v/>
      </c>
      <c r="Q392" s="17">
        <f>IF($C392="","",IF($L392="","",IF(AND($K392=1,ISNUMBER($L392),$L392&lt;$J392,COUNTIFS(nrES_PID,$D392,nrES_Code,$F392,nrES_Att,2,nrES_Raw,"&gt;=0")=0),"Yes","No")))</f>
        <v/>
      </c>
      <c r="R392" s="17">
        <f>IF($C392="","",IF($L392="","",IF(AND($K392=2,ISNUMBER($L392),$L392&lt;$J392),"Yes","No")))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OR($C392="",$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RANGE",IF(COUNTIF(nrES_RecID,$B392)&gt;1,"DUPLICATE RECORD",IF(AND($K392=2,COUNTIFS(nrES_PID,$D392,nrES_Code,$F392,nrES_Att,1)=0),"ATTEMPT 2 WITHOUT ATTEMPT 1",IF(AND($K392=2,$L392=""),"RETEST ROW HAS NO SCORE",IF(AND($H392="Final",$L392&lt;&gt;"",IFERROR(INDEX(nrCKfinalExamElig,MATCH($D392,rngCadetPIDs,0)),"")="No"),"FINAL EXAM AFTER FAILED FINAL PT (500.1.H)","OK")))))))</f>
        <v/>
      </c>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IF($C393="","",IF($K393="","",IF(COUNTIFS(nrES_PID,$D393,nrES_Code,$F393,nrES_Att,"&gt;"&amp;$K393,nrES_Raw,"&gt;=0")=0,"Yes","No")))</f>
        <v/>
      </c>
      <c r="Q393" s="17">
        <f>IF($C393="","",IF($L393="","",IF(AND($K393=1,ISNUMBER($L393),$L393&lt;$J393,COUNTIFS(nrES_PID,$D393,nrES_Code,$F393,nrES_Att,2,nrES_Raw,"&gt;=0")=0),"Yes","No")))</f>
        <v/>
      </c>
      <c r="R393" s="17">
        <f>IF($C393="","",IF($L393="","",IF(AND($K393=2,ISNUMBER($L393),$L393&lt;$J393),"Yes","No")))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OR($C393="",$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RANGE",IF(COUNTIF(nrES_RecID,$B393)&gt;1,"DUPLICATE RECORD",IF(AND($K393=2,COUNTIFS(nrES_PID,$D393,nrES_Code,$F393,nrES_Att,1)=0),"ATTEMPT 2 WITHOUT ATTEMPT 1",IF(AND($K393=2,$L393=""),"RETEST ROW HAS NO SCORE",IF(AND($H393="Final",$L393&lt;&gt;"",IFERROR(INDEX(nrCKfinalExamElig,MATCH($D393,rngCadetPIDs,0)),"")="No"),"FINAL EXAM AFTER FAILED FINAL PT (500.1.H)","OK")))))))</f>
        <v/>
      </c>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IF($C394="","",IF($K394="","",IF(COUNTIFS(nrES_PID,$D394,nrES_Code,$F394,nrES_Att,"&gt;"&amp;$K394,nrES_Raw,"&gt;=0")=0,"Yes","No")))</f>
        <v/>
      </c>
      <c r="Q394" s="17">
        <f>IF($C394="","",IF($L394="","",IF(AND($K394=1,ISNUMBER($L394),$L394&lt;$J394,COUNTIFS(nrES_PID,$D394,nrES_Code,$F394,nrES_Att,2,nrES_Raw,"&gt;=0")=0),"Yes","No")))</f>
        <v/>
      </c>
      <c r="R394" s="17">
        <f>IF($C394="","",IF($L394="","",IF(AND($K394=2,ISNUMBER($L394),$L394&lt;$J394),"Yes","No")))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OR($C394="",$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RANGE",IF(COUNTIF(nrES_RecID,$B394)&gt;1,"DUPLICATE RECORD",IF(AND($K394=2,COUNTIFS(nrES_PID,$D394,nrES_Code,$F394,nrES_Att,1)=0),"ATTEMPT 2 WITHOUT ATTEMPT 1",IF(AND($K394=2,$L394=""),"RETEST ROW HAS NO SCORE",IF(AND($H394="Final",$L394&lt;&gt;"",IFERROR(INDEX(nrCKfinalExamElig,MATCH($D394,rngCadetPIDs,0)),"")="No"),"FINAL EXAM AFTER FAILED FINAL PT (500.1.H)","OK")))))))</f>
        <v/>
      </c>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IF($C395="","",IF($K395="","",IF(COUNTIFS(nrES_PID,$D395,nrES_Code,$F395,nrES_Att,"&gt;"&amp;$K395,nrES_Raw,"&gt;=0")=0,"Yes","No")))</f>
        <v/>
      </c>
      <c r="Q395" s="17">
        <f>IF($C395="","",IF($L395="","",IF(AND($K395=1,ISNUMBER($L395),$L395&lt;$J395,COUNTIFS(nrES_PID,$D395,nrES_Code,$F395,nrES_Att,2,nrES_Raw,"&gt;=0")=0),"Yes","No")))</f>
        <v/>
      </c>
      <c r="R395" s="17">
        <f>IF($C395="","",IF($L395="","",IF(AND($K395=2,ISNUMBER($L395),$L395&lt;$J395),"Yes","No")))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OR($C395="",$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RANGE",IF(COUNTIF(nrES_RecID,$B395)&gt;1,"DUPLICATE RECORD",IF(AND($K395=2,COUNTIFS(nrES_PID,$D395,nrES_Code,$F395,nrES_Att,1)=0),"ATTEMPT 2 WITHOUT ATTEMPT 1",IF(AND($K395=2,$L395=""),"RETEST ROW HAS NO SCORE",IF(AND($H395="Final",$L395&lt;&gt;"",IFERROR(INDEX(nrCKfinalExamElig,MATCH($D395,rngCadetPIDs,0)),"")="No"),"FINAL EXAM AFTER FAILED FINAL PT (500.1.H)","OK")))))))</f>
        <v/>
      </c>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IF($C396="","",IF($K396="","",IF(COUNTIFS(nrES_PID,$D396,nrES_Code,$F396,nrES_Att,"&gt;"&amp;$K396,nrES_Raw,"&gt;=0")=0,"Yes","No")))</f>
        <v/>
      </c>
      <c r="Q396" s="17">
        <f>IF($C396="","",IF($L396="","",IF(AND($K396=1,ISNUMBER($L396),$L396&lt;$J396,COUNTIFS(nrES_PID,$D396,nrES_Code,$F396,nrES_Att,2,nrES_Raw,"&gt;=0")=0),"Yes","No")))</f>
        <v/>
      </c>
      <c r="R396" s="17">
        <f>IF($C396="","",IF($L396="","",IF(AND($K396=2,ISNUMBER($L396),$L396&lt;$J396),"Yes","No")))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OR($C396="",$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RANGE",IF(COUNTIF(nrES_RecID,$B396)&gt;1,"DUPLICATE RECORD",IF(AND($K396=2,COUNTIFS(nrES_PID,$D396,nrES_Code,$F396,nrES_Att,1)=0),"ATTEMPT 2 WITHOUT ATTEMPT 1",IF(AND($K396=2,$L396=""),"RETEST ROW HAS NO SCORE",IF(AND($H396="Final",$L396&lt;&gt;"",IFERROR(INDEX(nrCKfinalExamElig,MATCH($D396,rngCadetPIDs,0)),"")="No"),"FINAL EXAM AFTER FAILED FINAL PT (500.1.H)","OK")))))))</f>
        <v/>
      </c>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IF($C397="","",IF($K397="","",IF(COUNTIFS(nrES_PID,$D397,nrES_Code,$F397,nrES_Att,"&gt;"&amp;$K397,nrES_Raw,"&gt;=0")=0,"Yes","No")))</f>
        <v/>
      </c>
      <c r="Q397" s="17">
        <f>IF($C397="","",IF($L397="","",IF(AND($K397=1,ISNUMBER($L397),$L397&lt;$J397,COUNTIFS(nrES_PID,$D397,nrES_Code,$F397,nrES_Att,2,nrES_Raw,"&gt;=0")=0),"Yes","No")))</f>
        <v/>
      </c>
      <c r="R397" s="17">
        <f>IF($C397="","",IF($L397="","",IF(AND($K397=2,ISNUMBER($L397),$L397&lt;$J397),"Yes","No")))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OR($C397="",$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RANGE",IF(COUNTIF(nrES_RecID,$B397)&gt;1,"DUPLICATE RECORD",IF(AND($K397=2,COUNTIFS(nrES_PID,$D397,nrES_Code,$F397,nrES_Att,1)=0),"ATTEMPT 2 WITHOUT ATTEMPT 1",IF(AND($K397=2,$L397=""),"RETEST ROW HAS NO SCORE",IF(AND($H397="Final",$L397&lt;&gt;"",IFERROR(INDEX(nrCKfinalExamElig,MATCH($D397,rngCadetPIDs,0)),"")="No"),"FINAL EXAM AFTER FAILED FINAL PT (500.1.H)","OK")))))))</f>
        <v/>
      </c>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IF($C398="","",IF($K398="","",IF(COUNTIFS(nrES_PID,$D398,nrES_Code,$F398,nrES_Att,"&gt;"&amp;$K398,nrES_Raw,"&gt;=0")=0,"Yes","No")))</f>
        <v/>
      </c>
      <c r="Q398" s="17">
        <f>IF($C398="","",IF($L398="","",IF(AND($K398=1,ISNUMBER($L398),$L398&lt;$J398,COUNTIFS(nrES_PID,$D398,nrES_Code,$F398,nrES_Att,2,nrES_Raw,"&gt;=0")=0),"Yes","No")))</f>
        <v/>
      </c>
      <c r="R398" s="17">
        <f>IF($C398="","",IF($L398="","",IF(AND($K398=2,ISNUMBER($L398),$L398&lt;$J398),"Yes","No")))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OR($C398="",$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RANGE",IF(COUNTIF(nrES_RecID,$B398)&gt;1,"DUPLICATE RECORD",IF(AND($K398=2,COUNTIFS(nrES_PID,$D398,nrES_Code,$F398,nrES_Att,1)=0),"ATTEMPT 2 WITHOUT ATTEMPT 1",IF(AND($K398=2,$L398=""),"RETEST ROW HAS NO SCORE",IF(AND($H398="Final",$L398&lt;&gt;"",IFERROR(INDEX(nrCKfinalExamElig,MATCH($D398,rngCadetPIDs,0)),"")="No"),"FINAL EXAM AFTER FAILED FINAL PT (500.1.H)","OK")))))))</f>
        <v/>
      </c>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IF($C399="","",IF($K399="","",IF(COUNTIFS(nrES_PID,$D399,nrES_Code,$F399,nrES_Att,"&gt;"&amp;$K399,nrES_Raw,"&gt;=0")=0,"Yes","No")))</f>
        <v/>
      </c>
      <c r="Q399" s="17">
        <f>IF($C399="","",IF($L399="","",IF(AND($K399=1,ISNUMBER($L399),$L399&lt;$J399,COUNTIFS(nrES_PID,$D399,nrES_Code,$F399,nrES_Att,2,nrES_Raw,"&gt;=0")=0),"Yes","No")))</f>
        <v/>
      </c>
      <c r="R399" s="17">
        <f>IF($C399="","",IF($L399="","",IF(AND($K399=2,ISNUMBER($L399),$L399&lt;$J399),"Yes","No")))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OR($C399="",$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RANGE",IF(COUNTIF(nrES_RecID,$B399)&gt;1,"DUPLICATE RECORD",IF(AND($K399=2,COUNTIFS(nrES_PID,$D399,nrES_Code,$F399,nrES_Att,1)=0),"ATTEMPT 2 WITHOUT ATTEMPT 1",IF(AND($K399=2,$L399=""),"RETEST ROW HAS NO SCORE",IF(AND($H399="Final",$L399&lt;&gt;"",IFERROR(INDEX(nrCKfinalExamElig,MATCH($D399,rngCadetPIDs,0)),"")="No"),"FINAL EXAM AFTER FAILED FINAL PT (500.1.H)","OK")))))))</f>
        <v/>
      </c>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IF($C400="","",IF($K400="","",IF(COUNTIFS(nrES_PID,$D400,nrES_Code,$F400,nrES_Att,"&gt;"&amp;$K400,nrES_Raw,"&gt;=0")=0,"Yes","No")))</f>
        <v/>
      </c>
      <c r="Q400" s="17">
        <f>IF($C400="","",IF($L400="","",IF(AND($K400=1,ISNUMBER($L400),$L400&lt;$J400,COUNTIFS(nrES_PID,$D400,nrES_Code,$F400,nrES_Att,2,nrES_Raw,"&gt;=0")=0),"Yes","No")))</f>
        <v/>
      </c>
      <c r="R400" s="17">
        <f>IF($C400="","",IF($L400="","",IF(AND($K400=2,ISNUMBER($L400),$L400&lt;$J400),"Yes","No")))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OR($C400="",$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RANGE",IF(COUNTIF(nrES_RecID,$B400)&gt;1,"DUPLICATE RECORD",IF(AND($K400=2,COUNTIFS(nrES_PID,$D400,nrES_Code,$F400,nrES_Att,1)=0),"ATTEMPT 2 WITHOUT ATTEMPT 1",IF(AND($K400=2,$L400=""),"RETEST ROW HAS NO SCORE",IF(AND($H400="Final",$L400&lt;&gt;"",IFERROR(INDEX(nrCKfinalExamElig,MATCH($D400,rngCadetPIDs,0)),"")="No"),"FINAL EXAM AFTER FAILED FINAL PT (500.1.H)","OK")))))))</f>
        <v/>
      </c>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IF($C401="","",IF($K401="","",IF(COUNTIFS(nrES_PID,$D401,nrES_Code,$F401,nrES_Att,"&gt;"&amp;$K401,nrES_Raw,"&gt;=0")=0,"Yes","No")))</f>
        <v/>
      </c>
      <c r="Q401" s="17">
        <f>IF($C401="","",IF($L401="","",IF(AND($K401=1,ISNUMBER($L401),$L401&lt;$J401,COUNTIFS(nrES_PID,$D401,nrES_Code,$F401,nrES_Att,2,nrES_Raw,"&gt;=0")=0),"Yes","No")))</f>
        <v/>
      </c>
      <c r="R401" s="17">
        <f>IF($C401="","",IF($L401="","",IF(AND($K401=2,ISNUMBER($L401),$L401&lt;$J401),"Yes","No")))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OR($C401="",$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RANGE",IF(COUNTIF(nrES_RecID,$B401)&gt;1,"DUPLICATE RECORD",IF(AND($K401=2,COUNTIFS(nrES_PID,$D401,nrES_Code,$F401,nrES_Att,1)=0),"ATTEMPT 2 WITHOUT ATTEMPT 1",IF(AND($K401=2,$L401=""),"RETEST ROW HAS NO SCORE",IF(AND($H401="Final",$L401&lt;&gt;"",IFERROR(INDEX(nrCKfinalExamElig,MATCH($D401,rngCadetPIDs,0)),"")="No"),"FINAL EXAM AFTER FAILED FINAL PT (500.1.H)","OK")))))))</f>
        <v/>
      </c>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IF($C402="","",IF($K402="","",IF(COUNTIFS(nrES_PID,$D402,nrES_Code,$F402,nrES_Att,"&gt;"&amp;$K402,nrES_Raw,"&gt;=0")=0,"Yes","No")))</f>
        <v/>
      </c>
      <c r="Q402" s="17">
        <f>IF($C402="","",IF($L402="","",IF(AND($K402=1,ISNUMBER($L402),$L402&lt;$J402,COUNTIFS(nrES_PID,$D402,nrES_Code,$F402,nrES_Att,2,nrES_Raw,"&gt;=0")=0),"Yes","No")))</f>
        <v/>
      </c>
      <c r="R402" s="17">
        <f>IF($C402="","",IF($L402="","",IF(AND($K402=2,ISNUMBER($L402),$L402&lt;$J402),"Yes","No")))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OR($C402="",$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RANGE",IF(COUNTIF(nrES_RecID,$B402)&gt;1,"DUPLICATE RECORD",IF(AND($K402=2,COUNTIFS(nrES_PID,$D402,nrES_Code,$F402,nrES_Att,1)=0),"ATTEMPT 2 WITHOUT ATTEMPT 1",IF(AND($K402=2,$L402=""),"RETEST ROW HAS NO SCORE",IF(AND($H402="Final",$L402&lt;&gt;"",IFERROR(INDEX(nrCKfinalExamElig,MATCH($D402,rngCadetPIDs,0)),"")="No"),"FINAL EXAM AFTER FAILED FINAL PT (500.1.H)","OK")))))))</f>
        <v/>
      </c>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IF($C403="","",IF($K403="","",IF(COUNTIFS(nrES_PID,$D403,nrES_Code,$F403,nrES_Att,"&gt;"&amp;$K403,nrES_Raw,"&gt;=0")=0,"Yes","No")))</f>
        <v/>
      </c>
      <c r="Q403" s="17">
        <f>IF($C403="","",IF($L403="","",IF(AND($K403=1,ISNUMBER($L403),$L403&lt;$J403,COUNTIFS(nrES_PID,$D403,nrES_Code,$F403,nrES_Att,2,nrES_Raw,"&gt;=0")=0),"Yes","No")))</f>
        <v/>
      </c>
      <c r="R403" s="17">
        <f>IF($C403="","",IF($L403="","",IF(AND($K403=2,ISNUMBER($L403),$L403&lt;$J403),"Yes","No")))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OR($C403="",$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RANGE",IF(COUNTIF(nrES_RecID,$B403)&gt;1,"DUPLICATE RECORD",IF(AND($K403=2,COUNTIFS(nrES_PID,$D403,nrES_Code,$F403,nrES_Att,1)=0),"ATTEMPT 2 WITHOUT ATTEMPT 1",IF(AND($K403=2,$L403=""),"RETEST ROW HAS NO SCORE",IF(AND($H403="Final",$L403&lt;&gt;"",IFERROR(INDEX(nrCKfinalExamElig,MATCH($D403,rngCadetPIDs,0)),"")="No"),"FINAL EXAM AFTER FAILED FINAL PT (500.1.H)","OK")))))))</f>
        <v/>
      </c>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IF($C404="","",IF($K404="","",IF(COUNTIFS(nrES_PID,$D404,nrES_Code,$F404,nrES_Att,"&gt;"&amp;$K404,nrES_Raw,"&gt;=0")=0,"Yes","No")))</f>
        <v/>
      </c>
      <c r="Q404" s="17">
        <f>IF($C404="","",IF($L404="","",IF(AND($K404=1,ISNUMBER($L404),$L404&lt;$J404,COUNTIFS(nrES_PID,$D404,nrES_Code,$F404,nrES_Att,2,nrES_Raw,"&gt;=0")=0),"Yes","No")))</f>
        <v/>
      </c>
      <c r="R404" s="17">
        <f>IF($C404="","",IF($L404="","",IF(AND($K404=2,ISNUMBER($L404),$L404&lt;$J404),"Yes","No")))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OR($C404="",$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RANGE",IF(COUNTIF(nrES_RecID,$B404)&gt;1,"DUPLICATE RECORD",IF(AND($K404=2,COUNTIFS(nrES_PID,$D404,nrES_Code,$F404,nrES_Att,1)=0),"ATTEMPT 2 WITHOUT ATTEMPT 1",IF(AND($K404=2,$L404=""),"RETEST ROW HAS NO SCORE",IF(AND($H404="Final",$L404&lt;&gt;"",IFERROR(INDEX(nrCKfinalExamElig,MATCH($D404,rngCadetPIDs,0)),"")="No"),"FINAL EXAM AFTER FAILED FINAL PT (500.1.H)","OK")))))))</f>
        <v/>
      </c>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IF($C405="","",IF($K405="","",IF(COUNTIFS(nrES_PID,$D405,nrES_Code,$F405,nrES_Att,"&gt;"&amp;$K405,nrES_Raw,"&gt;=0")=0,"Yes","No")))</f>
        <v/>
      </c>
      <c r="Q405" s="17">
        <f>IF($C405="","",IF($L405="","",IF(AND($K405=1,ISNUMBER($L405),$L405&lt;$J405,COUNTIFS(nrES_PID,$D405,nrES_Code,$F405,nrES_Att,2,nrES_Raw,"&gt;=0")=0),"Yes","No")))</f>
        <v/>
      </c>
      <c r="R405" s="17">
        <f>IF($C405="","",IF($L405="","",IF(AND($K405=2,ISNUMBER($L405),$L405&lt;$J405),"Yes","No")))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OR($C405="",$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RANGE",IF(COUNTIF(nrES_RecID,$B405)&gt;1,"DUPLICATE RECORD",IF(AND($K405=2,COUNTIFS(nrES_PID,$D405,nrES_Code,$F405,nrES_Att,1)=0),"ATTEMPT 2 WITHOUT ATTEMPT 1",IF(AND($K405=2,$L405=""),"RETEST ROW HAS NO SCORE",IF(AND($H405="Final",$L405&lt;&gt;"",IFERROR(INDEX(nrCKfinalExamElig,MATCH($D405,rngCadetPIDs,0)),"")="No"),"FINAL EXAM AFTER FAILED FINAL PT (500.1.H)","OK")))))))</f>
        <v/>
      </c>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IF($C406="","",IF($K406="","",IF(COUNTIFS(nrES_PID,$D406,nrES_Code,$F406,nrES_Att,"&gt;"&amp;$K406,nrES_Raw,"&gt;=0")=0,"Yes","No")))</f>
        <v/>
      </c>
      <c r="Q406" s="17">
        <f>IF($C406="","",IF($L406="","",IF(AND($K406=1,ISNUMBER($L406),$L406&lt;$J406,COUNTIFS(nrES_PID,$D406,nrES_Code,$F406,nrES_Att,2,nrES_Raw,"&gt;=0")=0),"Yes","No")))</f>
        <v/>
      </c>
      <c r="R406" s="17">
        <f>IF($C406="","",IF($L406="","",IF(AND($K406=2,ISNUMBER($L406),$L406&lt;$J406),"Yes","No")))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OR($C406="",$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RANGE",IF(COUNTIF(nrES_RecID,$B406)&gt;1,"DUPLICATE RECORD",IF(AND($K406=2,COUNTIFS(nrES_PID,$D406,nrES_Code,$F406,nrES_Att,1)=0),"ATTEMPT 2 WITHOUT ATTEMPT 1",IF(AND($K406=2,$L406=""),"RETEST ROW HAS NO SCORE",IF(AND($H406="Final",$L406&lt;&gt;"",IFERROR(INDEX(nrCKfinalExamElig,MATCH($D406,rngCadetPIDs,0)),"")="No"),"FINAL EXAM AFTER FAILED FINAL PT (500.1.H)","OK")))))))</f>
        <v/>
      </c>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IF($C407="","",IF($K407="","",IF(COUNTIFS(nrES_PID,$D407,nrES_Code,$F407,nrES_Att,"&gt;"&amp;$K407,nrES_Raw,"&gt;=0")=0,"Yes","No")))</f>
        <v/>
      </c>
      <c r="Q407" s="17">
        <f>IF($C407="","",IF($L407="","",IF(AND($K407=1,ISNUMBER($L407),$L407&lt;$J407,COUNTIFS(nrES_PID,$D407,nrES_Code,$F407,nrES_Att,2,nrES_Raw,"&gt;=0")=0),"Yes","No")))</f>
        <v/>
      </c>
      <c r="R407" s="17">
        <f>IF($C407="","",IF($L407="","",IF(AND($K407=2,ISNUMBER($L407),$L407&lt;$J407),"Yes","No")))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OR($C407="",$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RANGE",IF(COUNTIF(nrES_RecID,$B407)&gt;1,"DUPLICATE RECORD",IF(AND($K407=2,COUNTIFS(nrES_PID,$D407,nrES_Code,$F407,nrES_Att,1)=0),"ATTEMPT 2 WITHOUT ATTEMPT 1",IF(AND($K407=2,$L407=""),"RETEST ROW HAS NO SCORE",IF(AND($H407="Final",$L407&lt;&gt;"",IFERROR(INDEX(nrCKfinalExamElig,MATCH($D407,rngCadetPIDs,0)),"")="No"),"FINAL EXAM AFTER FAILED FINAL PT (500.1.H)","OK")))))))</f>
        <v/>
      </c>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IF($C408="","",IF($K408="","",IF(COUNTIFS(nrES_PID,$D408,nrES_Code,$F408,nrES_Att,"&gt;"&amp;$K408,nrES_Raw,"&gt;=0")=0,"Yes","No")))</f>
        <v/>
      </c>
      <c r="Q408" s="17">
        <f>IF($C408="","",IF($L408="","",IF(AND($K408=1,ISNUMBER($L408),$L408&lt;$J408,COUNTIFS(nrES_PID,$D408,nrES_Code,$F408,nrES_Att,2,nrES_Raw,"&gt;=0")=0),"Yes","No")))</f>
        <v/>
      </c>
      <c r="R408" s="17">
        <f>IF($C408="","",IF($L408="","",IF(AND($K408=2,ISNUMBER($L408),$L408&lt;$J408),"Yes","No")))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OR($C408="",$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RANGE",IF(COUNTIF(nrES_RecID,$B408)&gt;1,"DUPLICATE RECORD",IF(AND($K408=2,COUNTIFS(nrES_PID,$D408,nrES_Code,$F408,nrES_Att,1)=0),"ATTEMPT 2 WITHOUT ATTEMPT 1",IF(AND($K408=2,$L408=""),"RETEST ROW HAS NO SCORE",IF(AND($H408="Final",$L408&lt;&gt;"",IFERROR(INDEX(nrCKfinalExamElig,MATCH($D408,rngCadetPIDs,0)),"")="No"),"FINAL EXAM AFTER FAILED FINAL PT (500.1.H)","OK")))))))</f>
        <v/>
      </c>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IF($C409="","",IF($K409="","",IF(COUNTIFS(nrES_PID,$D409,nrES_Code,$F409,nrES_Att,"&gt;"&amp;$K409,nrES_Raw,"&gt;=0")=0,"Yes","No")))</f>
        <v/>
      </c>
      <c r="Q409" s="17">
        <f>IF($C409="","",IF($L409="","",IF(AND($K409=1,ISNUMBER($L409),$L409&lt;$J409,COUNTIFS(nrES_PID,$D409,nrES_Code,$F409,nrES_Att,2,nrES_Raw,"&gt;=0")=0),"Yes","No")))</f>
        <v/>
      </c>
      <c r="R409" s="17">
        <f>IF($C409="","",IF($L409="","",IF(AND($K409=2,ISNUMBER($L409),$L409&lt;$J409),"Yes","No")))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OR($C409="",$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RANGE",IF(COUNTIF(nrES_RecID,$B409)&gt;1,"DUPLICATE RECORD",IF(AND($K409=2,COUNTIFS(nrES_PID,$D409,nrES_Code,$F409,nrES_Att,1)=0),"ATTEMPT 2 WITHOUT ATTEMPT 1",IF(AND($K409=2,$L409=""),"RETEST ROW HAS NO SCORE",IF(AND($H409="Final",$L409&lt;&gt;"",IFERROR(INDEX(nrCKfinalExamElig,MATCH($D409,rngCadetPIDs,0)),"")="No"),"FINAL EXAM AFTER FAILED FINAL PT (500.1.H)","OK")))))))</f>
        <v/>
      </c>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IF($C410="","",IF($K410="","",IF(COUNTIFS(nrES_PID,$D410,nrES_Code,$F410,nrES_Att,"&gt;"&amp;$K410,nrES_Raw,"&gt;=0")=0,"Yes","No")))</f>
        <v/>
      </c>
      <c r="Q410" s="17">
        <f>IF($C410="","",IF($L410="","",IF(AND($K410=1,ISNUMBER($L410),$L410&lt;$J410,COUNTIFS(nrES_PID,$D410,nrES_Code,$F410,nrES_Att,2,nrES_Raw,"&gt;=0")=0),"Yes","No")))</f>
        <v/>
      </c>
      <c r="R410" s="17">
        <f>IF($C410="","",IF($L410="","",IF(AND($K410=2,ISNUMBER($L410),$L410&lt;$J410),"Yes","No")))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OR($C410="",$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RANGE",IF(COUNTIF(nrES_RecID,$B410)&gt;1,"DUPLICATE RECORD",IF(AND($K410=2,COUNTIFS(nrES_PID,$D410,nrES_Code,$F410,nrES_Att,1)=0),"ATTEMPT 2 WITHOUT ATTEMPT 1",IF(AND($K410=2,$L410=""),"RETEST ROW HAS NO SCORE",IF(AND($H410="Final",$L410&lt;&gt;"",IFERROR(INDEX(nrCKfinalExamElig,MATCH($D410,rngCadetPIDs,0)),"")="No"),"FINAL EXAM AFTER FAILED FINAL PT (500.1.H)","OK")))))))</f>
        <v/>
      </c>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IF($C411="","",IF($K411="","",IF(COUNTIFS(nrES_PID,$D411,nrES_Code,$F411,nrES_Att,"&gt;"&amp;$K411,nrES_Raw,"&gt;=0")=0,"Yes","No")))</f>
        <v/>
      </c>
      <c r="Q411" s="17">
        <f>IF($C411="","",IF($L411="","",IF(AND($K411=1,ISNUMBER($L411),$L411&lt;$J411,COUNTIFS(nrES_PID,$D411,nrES_Code,$F411,nrES_Att,2,nrES_Raw,"&gt;=0")=0),"Yes","No")))</f>
        <v/>
      </c>
      <c r="R411" s="17">
        <f>IF($C411="","",IF($L411="","",IF(AND($K411=2,ISNUMBER($L411),$L411&lt;$J411),"Yes","No")))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OR($C411="",$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RANGE",IF(COUNTIF(nrES_RecID,$B411)&gt;1,"DUPLICATE RECORD",IF(AND($K411=2,COUNTIFS(nrES_PID,$D411,nrES_Code,$F411,nrES_Att,1)=0),"ATTEMPT 2 WITHOUT ATTEMPT 1",IF(AND($K411=2,$L411=""),"RETEST ROW HAS NO SCORE",IF(AND($H411="Final",$L411&lt;&gt;"",IFERROR(INDEX(nrCKfinalExamElig,MATCH($D411,rngCadetPIDs,0)),"")="No"),"FINAL EXAM AFTER FAILED FINAL PT (500.1.H)","OK")))))))</f>
        <v/>
      </c>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IF($C412="","",IF($K412="","",IF(COUNTIFS(nrES_PID,$D412,nrES_Code,$F412,nrES_Att,"&gt;"&amp;$K412,nrES_Raw,"&gt;=0")=0,"Yes","No")))</f>
        <v/>
      </c>
      <c r="Q412" s="17">
        <f>IF($C412="","",IF($L412="","",IF(AND($K412=1,ISNUMBER($L412),$L412&lt;$J412,COUNTIFS(nrES_PID,$D412,nrES_Code,$F412,nrES_Att,2,nrES_Raw,"&gt;=0")=0),"Yes","No")))</f>
        <v/>
      </c>
      <c r="R412" s="17">
        <f>IF($C412="","",IF($L412="","",IF(AND($K412=2,ISNUMBER($L412),$L412&lt;$J412),"Yes","No")))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OR($C412="",$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RANGE",IF(COUNTIF(nrES_RecID,$B412)&gt;1,"DUPLICATE RECORD",IF(AND($K412=2,COUNTIFS(nrES_PID,$D412,nrES_Code,$F412,nrES_Att,1)=0),"ATTEMPT 2 WITHOUT ATTEMPT 1",IF(AND($K412=2,$L412=""),"RETEST ROW HAS NO SCORE",IF(AND($H412="Final",$L412&lt;&gt;"",IFERROR(INDEX(nrCKfinalExamElig,MATCH($D412,rngCadetPIDs,0)),"")="No"),"FINAL EXAM AFTER FAILED FINAL PT (500.1.H)","OK")))))))</f>
        <v/>
      </c>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IF($C413="","",IF($K413="","",IF(COUNTIFS(nrES_PID,$D413,nrES_Code,$F413,nrES_Att,"&gt;"&amp;$K413,nrES_Raw,"&gt;=0")=0,"Yes","No")))</f>
        <v/>
      </c>
      <c r="Q413" s="17">
        <f>IF($C413="","",IF($L413="","",IF(AND($K413=1,ISNUMBER($L413),$L413&lt;$J413,COUNTIFS(nrES_PID,$D413,nrES_Code,$F413,nrES_Att,2,nrES_Raw,"&gt;=0")=0),"Yes","No")))</f>
        <v/>
      </c>
      <c r="R413" s="17">
        <f>IF($C413="","",IF($L413="","",IF(AND($K413=2,ISNUMBER($L413),$L413&lt;$J413),"Yes","No")))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OR($C413="",$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RANGE",IF(COUNTIF(nrES_RecID,$B413)&gt;1,"DUPLICATE RECORD",IF(AND($K413=2,COUNTIFS(nrES_PID,$D413,nrES_Code,$F413,nrES_Att,1)=0),"ATTEMPT 2 WITHOUT ATTEMPT 1",IF(AND($K413=2,$L413=""),"RETEST ROW HAS NO SCORE",IF(AND($H413="Final",$L413&lt;&gt;"",IFERROR(INDEX(nrCKfinalExamElig,MATCH($D413,rngCadetPIDs,0)),"")="No"),"FINAL EXAM AFTER FAILED FINAL PT (500.1.H)","OK")))))))</f>
        <v/>
      </c>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IF($C414="","",IF($K414="","",IF(COUNTIFS(nrES_PID,$D414,nrES_Code,$F414,nrES_Att,"&gt;"&amp;$K414,nrES_Raw,"&gt;=0")=0,"Yes","No")))</f>
        <v/>
      </c>
      <c r="Q414" s="17">
        <f>IF($C414="","",IF($L414="","",IF(AND($K414=1,ISNUMBER($L414),$L414&lt;$J414,COUNTIFS(nrES_PID,$D414,nrES_Code,$F414,nrES_Att,2,nrES_Raw,"&gt;=0")=0),"Yes","No")))</f>
        <v/>
      </c>
      <c r="R414" s="17">
        <f>IF($C414="","",IF($L414="","",IF(AND($K414=2,ISNUMBER($L414),$L414&lt;$J414),"Yes","No")))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OR($C414="",$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RANGE",IF(COUNTIF(nrES_RecID,$B414)&gt;1,"DUPLICATE RECORD",IF(AND($K414=2,COUNTIFS(nrES_PID,$D414,nrES_Code,$F414,nrES_Att,1)=0),"ATTEMPT 2 WITHOUT ATTEMPT 1",IF(AND($K414=2,$L414=""),"RETEST ROW HAS NO SCORE",IF(AND($H414="Final",$L414&lt;&gt;"",IFERROR(INDEX(nrCKfinalExamElig,MATCH($D414,rngCadetPIDs,0)),"")="No"),"FINAL EXAM AFTER FAILED FINAL PT (500.1.H)","OK")))))))</f>
        <v/>
      </c>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IF($C415="","",IF($K415="","",IF(COUNTIFS(nrES_PID,$D415,nrES_Code,$F415,nrES_Att,"&gt;"&amp;$K415,nrES_Raw,"&gt;=0")=0,"Yes","No")))</f>
        <v/>
      </c>
      <c r="Q415" s="17">
        <f>IF($C415="","",IF($L415="","",IF(AND($K415=1,ISNUMBER($L415),$L415&lt;$J415,COUNTIFS(nrES_PID,$D415,nrES_Code,$F415,nrES_Att,2,nrES_Raw,"&gt;=0")=0),"Yes","No")))</f>
        <v/>
      </c>
      <c r="R415" s="17">
        <f>IF($C415="","",IF($L415="","",IF(AND($K415=2,ISNUMBER($L415),$L415&lt;$J415),"Yes","No")))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OR($C415="",$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RANGE",IF(COUNTIF(nrES_RecID,$B415)&gt;1,"DUPLICATE RECORD",IF(AND($K415=2,COUNTIFS(nrES_PID,$D415,nrES_Code,$F415,nrES_Att,1)=0),"ATTEMPT 2 WITHOUT ATTEMPT 1",IF(AND($K415=2,$L415=""),"RETEST ROW HAS NO SCORE",IF(AND($H415="Final",$L415&lt;&gt;"",IFERROR(INDEX(nrCKfinalExamElig,MATCH($D415,rngCadetPIDs,0)),"")="No"),"FINAL EXAM AFTER FAILED FINAL PT (500.1.H)","OK")))))))</f>
        <v/>
      </c>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IF($C416="","",IF($K416="","",IF(COUNTIFS(nrES_PID,$D416,nrES_Code,$F416,nrES_Att,"&gt;"&amp;$K416,nrES_Raw,"&gt;=0")=0,"Yes","No")))</f>
        <v/>
      </c>
      <c r="Q416" s="17">
        <f>IF($C416="","",IF($L416="","",IF(AND($K416=1,ISNUMBER($L416),$L416&lt;$J416,COUNTIFS(nrES_PID,$D416,nrES_Code,$F416,nrES_Att,2,nrES_Raw,"&gt;=0")=0),"Yes","No")))</f>
        <v/>
      </c>
      <c r="R416" s="17">
        <f>IF($C416="","",IF($L416="","",IF(AND($K416=2,ISNUMBER($L416),$L416&lt;$J416),"Yes","No")))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OR($C416="",$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RANGE",IF(COUNTIF(nrES_RecID,$B416)&gt;1,"DUPLICATE RECORD",IF(AND($K416=2,COUNTIFS(nrES_PID,$D416,nrES_Code,$F416,nrES_Att,1)=0),"ATTEMPT 2 WITHOUT ATTEMPT 1",IF(AND($K416=2,$L416=""),"RETEST ROW HAS NO SCORE",IF(AND($H416="Final",$L416&lt;&gt;"",IFERROR(INDEX(nrCKfinalExamElig,MATCH($D416,rngCadetPIDs,0)),"")="No"),"FINAL EXAM AFTER FAILED FINAL PT (500.1.H)","OK")))))))</f>
        <v/>
      </c>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IF($C417="","",IF($K417="","",IF(COUNTIFS(nrES_PID,$D417,nrES_Code,$F417,nrES_Att,"&gt;"&amp;$K417,nrES_Raw,"&gt;=0")=0,"Yes","No")))</f>
        <v/>
      </c>
      <c r="Q417" s="17">
        <f>IF($C417="","",IF($L417="","",IF(AND($K417=1,ISNUMBER($L417),$L417&lt;$J417,COUNTIFS(nrES_PID,$D417,nrES_Code,$F417,nrES_Att,2,nrES_Raw,"&gt;=0")=0),"Yes","No")))</f>
        <v/>
      </c>
      <c r="R417" s="17">
        <f>IF($C417="","",IF($L417="","",IF(AND($K417=2,ISNUMBER($L417),$L417&lt;$J417),"Yes","No")))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OR($C417="",$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RANGE",IF(COUNTIF(nrES_RecID,$B417)&gt;1,"DUPLICATE RECORD",IF(AND($K417=2,COUNTIFS(nrES_PID,$D417,nrES_Code,$F417,nrES_Att,1)=0),"ATTEMPT 2 WITHOUT ATTEMPT 1",IF(AND($K417=2,$L417=""),"RETEST ROW HAS NO SCORE",IF(AND($H417="Final",$L417&lt;&gt;"",IFERROR(INDEX(nrCKfinalExamElig,MATCH($D417,rngCadetPIDs,0)),"")="No"),"FINAL EXAM AFTER FAILED FINAL PT (500.1.H)","OK")))))))</f>
        <v/>
      </c>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IF($C418="","",IF($K418="","",IF(COUNTIFS(nrES_PID,$D418,nrES_Code,$F418,nrES_Att,"&gt;"&amp;$K418,nrES_Raw,"&gt;=0")=0,"Yes","No")))</f>
        <v/>
      </c>
      <c r="Q418" s="17">
        <f>IF($C418="","",IF($L418="","",IF(AND($K418=1,ISNUMBER($L418),$L418&lt;$J418,COUNTIFS(nrES_PID,$D418,nrES_Code,$F418,nrES_Att,2,nrES_Raw,"&gt;=0")=0),"Yes","No")))</f>
        <v/>
      </c>
      <c r="R418" s="17">
        <f>IF($C418="","",IF($L418="","",IF(AND($K418=2,ISNUMBER($L418),$L418&lt;$J418),"Yes","No")))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OR($C418="",$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RANGE",IF(COUNTIF(nrES_RecID,$B418)&gt;1,"DUPLICATE RECORD",IF(AND($K418=2,COUNTIFS(nrES_PID,$D418,nrES_Code,$F418,nrES_Att,1)=0),"ATTEMPT 2 WITHOUT ATTEMPT 1",IF(AND($K418=2,$L418=""),"RETEST ROW HAS NO SCORE",IF(AND($H418="Final",$L418&lt;&gt;"",IFERROR(INDEX(nrCKfinalExamElig,MATCH($D418,rngCadetPIDs,0)),"")="No"),"FINAL EXAM AFTER FAILED FINAL PT (500.1.H)","OK")))))))</f>
        <v/>
      </c>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IF($C419="","",IF($K419="","",IF(COUNTIFS(nrES_PID,$D419,nrES_Code,$F419,nrES_Att,"&gt;"&amp;$K419,nrES_Raw,"&gt;=0")=0,"Yes","No")))</f>
        <v/>
      </c>
      <c r="Q419" s="17">
        <f>IF($C419="","",IF($L419="","",IF(AND($K419=1,ISNUMBER($L419),$L419&lt;$J419,COUNTIFS(nrES_PID,$D419,nrES_Code,$F419,nrES_Att,2,nrES_Raw,"&gt;=0")=0),"Yes","No")))</f>
        <v/>
      </c>
      <c r="R419" s="17">
        <f>IF($C419="","",IF($L419="","",IF(AND($K419=2,ISNUMBER($L419),$L419&lt;$J419),"Yes","No")))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OR($C419="",$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RANGE",IF(COUNTIF(nrES_RecID,$B419)&gt;1,"DUPLICATE RECORD",IF(AND($K419=2,COUNTIFS(nrES_PID,$D419,nrES_Code,$F419,nrES_Att,1)=0),"ATTEMPT 2 WITHOUT ATTEMPT 1",IF(AND($K419=2,$L419=""),"RETEST ROW HAS NO SCORE",IF(AND($H419="Final",$L419&lt;&gt;"",IFERROR(INDEX(nrCKfinalExamElig,MATCH($D419,rngCadetPIDs,0)),"")="No"),"FINAL EXAM AFTER FAILED FINAL PT (500.1.H)","OK")))))))</f>
        <v/>
      </c>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IF($C420="","",IF($K420="","",IF(COUNTIFS(nrES_PID,$D420,nrES_Code,$F420,nrES_Att,"&gt;"&amp;$K420,nrES_Raw,"&gt;=0")=0,"Yes","No")))</f>
        <v/>
      </c>
      <c r="Q420" s="17">
        <f>IF($C420="","",IF($L420="","",IF(AND($K420=1,ISNUMBER($L420),$L420&lt;$J420,COUNTIFS(nrES_PID,$D420,nrES_Code,$F420,nrES_Att,2,nrES_Raw,"&gt;=0")=0),"Yes","No")))</f>
        <v/>
      </c>
      <c r="R420" s="17">
        <f>IF($C420="","",IF($L420="","",IF(AND($K420=2,ISNUMBER($L420),$L420&lt;$J420),"Yes","No")))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OR($C420="",$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RANGE",IF(COUNTIF(nrES_RecID,$B420)&gt;1,"DUPLICATE RECORD",IF(AND($K420=2,COUNTIFS(nrES_PID,$D420,nrES_Code,$F420,nrES_Att,1)=0),"ATTEMPT 2 WITHOUT ATTEMPT 1",IF(AND($K420=2,$L420=""),"RETEST ROW HAS NO SCORE",IF(AND($H420="Final",$L420&lt;&gt;"",IFERROR(INDEX(nrCKfinalExamElig,MATCH($D420,rngCadetPIDs,0)),"")="No"),"FINAL EXAM AFTER FAILED FINAL PT (500.1.H)","OK")))))))</f>
        <v/>
      </c>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IF($C421="","",IF($K421="","",IF(COUNTIFS(nrES_PID,$D421,nrES_Code,$F421,nrES_Att,"&gt;"&amp;$K421,nrES_Raw,"&gt;=0")=0,"Yes","No")))</f>
        <v/>
      </c>
      <c r="Q421" s="17">
        <f>IF($C421="","",IF($L421="","",IF(AND($K421=1,ISNUMBER($L421),$L421&lt;$J421,COUNTIFS(nrES_PID,$D421,nrES_Code,$F421,nrES_Att,2,nrES_Raw,"&gt;=0")=0),"Yes","No")))</f>
        <v/>
      </c>
      <c r="R421" s="17">
        <f>IF($C421="","",IF($L421="","",IF(AND($K421=2,ISNUMBER($L421),$L421&lt;$J421),"Yes","No")))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OR($C421="",$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RANGE",IF(COUNTIF(nrES_RecID,$B421)&gt;1,"DUPLICATE RECORD",IF(AND($K421=2,COUNTIFS(nrES_PID,$D421,nrES_Code,$F421,nrES_Att,1)=0),"ATTEMPT 2 WITHOUT ATTEMPT 1",IF(AND($K421=2,$L421=""),"RETEST ROW HAS NO SCORE",IF(AND($H421="Final",$L421&lt;&gt;"",IFERROR(INDEX(nrCKfinalExamElig,MATCH($D421,rngCadetPIDs,0)),"")="No"),"FINAL EXAM AFTER FAILED FINAL PT (500.1.H)","OK")))))))</f>
        <v/>
      </c>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IF($C422="","",IF($K422="","",IF(COUNTIFS(nrES_PID,$D422,nrES_Code,$F422,nrES_Att,"&gt;"&amp;$K422,nrES_Raw,"&gt;=0")=0,"Yes","No")))</f>
        <v/>
      </c>
      <c r="Q422" s="17">
        <f>IF($C422="","",IF($L422="","",IF(AND($K422=1,ISNUMBER($L422),$L422&lt;$J422,COUNTIFS(nrES_PID,$D422,nrES_Code,$F422,nrES_Att,2,nrES_Raw,"&gt;=0")=0),"Yes","No")))</f>
        <v/>
      </c>
      <c r="R422" s="17">
        <f>IF($C422="","",IF($L422="","",IF(AND($K422=2,ISNUMBER($L422),$L422&lt;$J422),"Yes","No")))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OR($C422="",$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RANGE",IF(COUNTIF(nrES_RecID,$B422)&gt;1,"DUPLICATE RECORD",IF(AND($K422=2,COUNTIFS(nrES_PID,$D422,nrES_Code,$F422,nrES_Att,1)=0),"ATTEMPT 2 WITHOUT ATTEMPT 1",IF(AND($K422=2,$L422=""),"RETEST ROW HAS NO SCORE",IF(AND($H422="Final",$L422&lt;&gt;"",IFERROR(INDEX(nrCKfinalExamElig,MATCH($D422,rngCadetPIDs,0)),"")="No"),"FINAL EXAM AFTER FAILED FINAL PT (500.1.H)","OK")))))))</f>
        <v/>
      </c>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IF($C423="","",IF($K423="","",IF(COUNTIFS(nrES_PID,$D423,nrES_Code,$F423,nrES_Att,"&gt;"&amp;$K423,nrES_Raw,"&gt;=0")=0,"Yes","No")))</f>
        <v/>
      </c>
      <c r="Q423" s="17">
        <f>IF($C423="","",IF($L423="","",IF(AND($K423=1,ISNUMBER($L423),$L423&lt;$J423,COUNTIFS(nrES_PID,$D423,nrES_Code,$F423,nrES_Att,2,nrES_Raw,"&gt;=0")=0),"Yes","No")))</f>
        <v/>
      </c>
      <c r="R423" s="17">
        <f>IF($C423="","",IF($L423="","",IF(AND($K423=2,ISNUMBER($L423),$L423&lt;$J423),"Yes","No")))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OR($C423="",$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RANGE",IF(COUNTIF(nrES_RecID,$B423)&gt;1,"DUPLICATE RECORD",IF(AND($K423=2,COUNTIFS(nrES_PID,$D423,nrES_Code,$F423,nrES_Att,1)=0),"ATTEMPT 2 WITHOUT ATTEMPT 1",IF(AND($K423=2,$L423=""),"RETEST ROW HAS NO SCORE",IF(AND($H423="Final",$L423&lt;&gt;"",IFERROR(INDEX(nrCKfinalExamElig,MATCH($D423,rngCadetPIDs,0)),"")="No"),"FINAL EXAM AFTER FAILED FINAL PT (500.1.H)","OK")))))))</f>
        <v/>
      </c>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IF($C424="","",IF($K424="","",IF(COUNTIFS(nrES_PID,$D424,nrES_Code,$F424,nrES_Att,"&gt;"&amp;$K424,nrES_Raw,"&gt;=0")=0,"Yes","No")))</f>
        <v/>
      </c>
      <c r="Q424" s="17">
        <f>IF($C424="","",IF($L424="","",IF(AND($K424=1,ISNUMBER($L424),$L424&lt;$J424,COUNTIFS(nrES_PID,$D424,nrES_Code,$F424,nrES_Att,2,nrES_Raw,"&gt;=0")=0),"Yes","No")))</f>
        <v/>
      </c>
      <c r="R424" s="17">
        <f>IF($C424="","",IF($L424="","",IF(AND($K424=2,ISNUMBER($L424),$L424&lt;$J424),"Yes","No")))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OR($C424="",$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RANGE",IF(COUNTIF(nrES_RecID,$B424)&gt;1,"DUPLICATE RECORD",IF(AND($K424=2,COUNTIFS(nrES_PID,$D424,nrES_Code,$F424,nrES_Att,1)=0),"ATTEMPT 2 WITHOUT ATTEMPT 1",IF(AND($K424=2,$L424=""),"RETEST ROW HAS NO SCORE",IF(AND($H424="Final",$L424&lt;&gt;"",IFERROR(INDEX(nrCKfinalExamElig,MATCH($D424,rngCadetPIDs,0)),"")="No"),"FINAL EXAM AFTER FAILED FINAL PT (500.1.H)","OK")))))))</f>
        <v/>
      </c>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IF($C425="","",IF($K425="","",IF(COUNTIFS(nrES_PID,$D425,nrES_Code,$F425,nrES_Att,"&gt;"&amp;$K425,nrES_Raw,"&gt;=0")=0,"Yes","No")))</f>
        <v/>
      </c>
      <c r="Q425" s="17">
        <f>IF($C425="","",IF($L425="","",IF(AND($K425=1,ISNUMBER($L425),$L425&lt;$J425,COUNTIFS(nrES_PID,$D425,nrES_Code,$F425,nrES_Att,2,nrES_Raw,"&gt;=0")=0),"Yes","No")))</f>
        <v/>
      </c>
      <c r="R425" s="17">
        <f>IF($C425="","",IF($L425="","",IF(AND($K425=2,ISNUMBER($L425),$L425&lt;$J425),"Yes","No")))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OR($C425="",$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RANGE",IF(COUNTIF(nrES_RecID,$B425)&gt;1,"DUPLICATE RECORD",IF(AND($K425=2,COUNTIFS(nrES_PID,$D425,nrES_Code,$F425,nrES_Att,1)=0),"ATTEMPT 2 WITHOUT ATTEMPT 1",IF(AND($K425=2,$L425=""),"RETEST ROW HAS NO SCORE",IF(AND($H425="Final",$L425&lt;&gt;"",IFERROR(INDEX(nrCKfinalExamElig,MATCH($D425,rngCadetPIDs,0)),"")="No"),"FINAL EXAM AFTER FAILED FINAL PT (500.1.H)","OK")))))))</f>
        <v/>
      </c>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IF($C426="","",IF($K426="","",IF(COUNTIFS(nrES_PID,$D426,nrES_Code,$F426,nrES_Att,"&gt;"&amp;$K426,nrES_Raw,"&gt;=0")=0,"Yes","No")))</f>
        <v/>
      </c>
      <c r="Q426" s="17">
        <f>IF($C426="","",IF($L426="","",IF(AND($K426=1,ISNUMBER($L426),$L426&lt;$J426,COUNTIFS(nrES_PID,$D426,nrES_Code,$F426,nrES_Att,2,nrES_Raw,"&gt;=0")=0),"Yes","No")))</f>
        <v/>
      </c>
      <c r="R426" s="17">
        <f>IF($C426="","",IF($L426="","",IF(AND($K426=2,ISNUMBER($L426),$L426&lt;$J426),"Yes","No")))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OR($C426="",$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RANGE",IF(COUNTIF(nrES_RecID,$B426)&gt;1,"DUPLICATE RECORD",IF(AND($K426=2,COUNTIFS(nrES_PID,$D426,nrES_Code,$F426,nrES_Att,1)=0),"ATTEMPT 2 WITHOUT ATTEMPT 1",IF(AND($K426=2,$L426=""),"RETEST ROW HAS NO SCORE",IF(AND($H426="Final",$L426&lt;&gt;"",IFERROR(INDEX(nrCKfinalExamElig,MATCH($D426,rngCadetPIDs,0)),"")="No"),"FINAL EXAM AFTER FAILED FINAL PT (500.1.H)","OK")))))))</f>
        <v/>
      </c>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IF($C427="","",IF($K427="","",IF(COUNTIFS(nrES_PID,$D427,nrES_Code,$F427,nrES_Att,"&gt;"&amp;$K427,nrES_Raw,"&gt;=0")=0,"Yes","No")))</f>
        <v/>
      </c>
      <c r="Q427" s="17">
        <f>IF($C427="","",IF($L427="","",IF(AND($K427=1,ISNUMBER($L427),$L427&lt;$J427,COUNTIFS(nrES_PID,$D427,nrES_Code,$F427,nrES_Att,2,nrES_Raw,"&gt;=0")=0),"Yes","No")))</f>
        <v/>
      </c>
      <c r="R427" s="17">
        <f>IF($C427="","",IF($L427="","",IF(AND($K427=2,ISNUMBER($L427),$L427&lt;$J427),"Yes","No")))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OR($C427="",$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RANGE",IF(COUNTIF(nrES_RecID,$B427)&gt;1,"DUPLICATE RECORD",IF(AND($K427=2,COUNTIFS(nrES_PID,$D427,nrES_Code,$F427,nrES_Att,1)=0),"ATTEMPT 2 WITHOUT ATTEMPT 1",IF(AND($K427=2,$L427=""),"RETEST ROW HAS NO SCORE",IF(AND($H427="Final",$L427&lt;&gt;"",IFERROR(INDEX(nrCKfinalExamElig,MATCH($D427,rngCadetPIDs,0)),"")="No"),"FINAL EXAM AFTER FAILED FINAL PT (500.1.H)","OK")))))))</f>
        <v/>
      </c>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IF($C428="","",IF($K428="","",IF(COUNTIFS(nrES_PID,$D428,nrES_Code,$F428,nrES_Att,"&gt;"&amp;$K428,nrES_Raw,"&gt;=0")=0,"Yes","No")))</f>
        <v/>
      </c>
      <c r="Q428" s="17">
        <f>IF($C428="","",IF($L428="","",IF(AND($K428=1,ISNUMBER($L428),$L428&lt;$J428,COUNTIFS(nrES_PID,$D428,nrES_Code,$F428,nrES_Att,2,nrES_Raw,"&gt;=0")=0),"Yes","No")))</f>
        <v/>
      </c>
      <c r="R428" s="17">
        <f>IF($C428="","",IF($L428="","",IF(AND($K428=2,ISNUMBER($L428),$L428&lt;$J428),"Yes","No")))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OR($C428="",$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RANGE",IF(COUNTIF(nrES_RecID,$B428)&gt;1,"DUPLICATE RECORD",IF(AND($K428=2,COUNTIFS(nrES_PID,$D428,nrES_Code,$F428,nrES_Att,1)=0),"ATTEMPT 2 WITHOUT ATTEMPT 1",IF(AND($K428=2,$L428=""),"RETEST ROW HAS NO SCORE",IF(AND($H428="Final",$L428&lt;&gt;"",IFERROR(INDEX(nrCKfinalExamElig,MATCH($D428,rngCadetPIDs,0)),"")="No"),"FINAL EXAM AFTER FAILED FINAL PT (500.1.H)","OK")))))))</f>
        <v/>
      </c>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IF($C429="","",IF($K429="","",IF(COUNTIFS(nrES_PID,$D429,nrES_Code,$F429,nrES_Att,"&gt;"&amp;$K429,nrES_Raw,"&gt;=0")=0,"Yes","No")))</f>
        <v/>
      </c>
      <c r="Q429" s="17">
        <f>IF($C429="","",IF($L429="","",IF(AND($K429=1,ISNUMBER($L429),$L429&lt;$J429,COUNTIFS(nrES_PID,$D429,nrES_Code,$F429,nrES_Att,2,nrES_Raw,"&gt;=0")=0),"Yes","No")))</f>
        <v/>
      </c>
      <c r="R429" s="17">
        <f>IF($C429="","",IF($L429="","",IF(AND($K429=2,ISNUMBER($L429),$L429&lt;$J429),"Yes","No")))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OR($C429="",$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RANGE",IF(COUNTIF(nrES_RecID,$B429)&gt;1,"DUPLICATE RECORD",IF(AND($K429=2,COUNTIFS(nrES_PID,$D429,nrES_Code,$F429,nrES_Att,1)=0),"ATTEMPT 2 WITHOUT ATTEMPT 1",IF(AND($K429=2,$L429=""),"RETEST ROW HAS NO SCORE",IF(AND($H429="Final",$L429&lt;&gt;"",IFERROR(INDEX(nrCKfinalExamElig,MATCH($D429,rngCadetPIDs,0)),"")="No"),"FINAL EXAM AFTER FAILED FINAL PT (500.1.H)","OK")))))))</f>
        <v/>
      </c>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IF($C430="","",IF($K430="","",IF(COUNTIFS(nrES_PID,$D430,nrES_Code,$F430,nrES_Att,"&gt;"&amp;$K430,nrES_Raw,"&gt;=0")=0,"Yes","No")))</f>
        <v/>
      </c>
      <c r="Q430" s="17">
        <f>IF($C430="","",IF($L430="","",IF(AND($K430=1,ISNUMBER($L430),$L430&lt;$J430,COUNTIFS(nrES_PID,$D430,nrES_Code,$F430,nrES_Att,2,nrES_Raw,"&gt;=0")=0),"Yes","No")))</f>
        <v/>
      </c>
      <c r="R430" s="17">
        <f>IF($C430="","",IF($L430="","",IF(AND($K430=2,ISNUMBER($L430),$L430&lt;$J430),"Yes","No")))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OR($C430="",$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RANGE",IF(COUNTIF(nrES_RecID,$B430)&gt;1,"DUPLICATE RECORD",IF(AND($K430=2,COUNTIFS(nrES_PID,$D430,nrES_Code,$F430,nrES_Att,1)=0),"ATTEMPT 2 WITHOUT ATTEMPT 1",IF(AND($K430=2,$L430=""),"RETEST ROW HAS NO SCORE",IF(AND($H430="Final",$L430&lt;&gt;"",IFERROR(INDEX(nrCKfinalExamElig,MATCH($D430,rngCadetPIDs,0)),"")="No"),"FINAL EXAM AFTER FAILED FINAL PT (500.1.H)","OK")))))))</f>
        <v/>
      </c>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IF($C431="","",IF($K431="","",IF(COUNTIFS(nrES_PID,$D431,nrES_Code,$F431,nrES_Att,"&gt;"&amp;$K431,nrES_Raw,"&gt;=0")=0,"Yes","No")))</f>
        <v/>
      </c>
      <c r="Q431" s="17">
        <f>IF($C431="","",IF($L431="","",IF(AND($K431=1,ISNUMBER($L431),$L431&lt;$J431,COUNTIFS(nrES_PID,$D431,nrES_Code,$F431,nrES_Att,2,nrES_Raw,"&gt;=0")=0),"Yes","No")))</f>
        <v/>
      </c>
      <c r="R431" s="17">
        <f>IF($C431="","",IF($L431="","",IF(AND($K431=2,ISNUMBER($L431),$L431&lt;$J431),"Yes","No")))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OR($C431="",$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RANGE",IF(COUNTIF(nrES_RecID,$B431)&gt;1,"DUPLICATE RECORD",IF(AND($K431=2,COUNTIFS(nrES_PID,$D431,nrES_Code,$F431,nrES_Att,1)=0),"ATTEMPT 2 WITHOUT ATTEMPT 1",IF(AND($K431=2,$L431=""),"RETEST ROW HAS NO SCORE",IF(AND($H431="Final",$L431&lt;&gt;"",IFERROR(INDEX(nrCKfinalExamElig,MATCH($D431,rngCadetPIDs,0)),"")="No"),"FINAL EXAM AFTER FAILED FINAL PT (500.1.H)","OK")))))))</f>
        <v/>
      </c>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IF($C432="","",IF($K432="","",IF(COUNTIFS(nrES_PID,$D432,nrES_Code,$F432,nrES_Att,"&gt;"&amp;$K432,nrES_Raw,"&gt;=0")=0,"Yes","No")))</f>
        <v/>
      </c>
      <c r="Q432" s="17">
        <f>IF($C432="","",IF($L432="","",IF(AND($K432=1,ISNUMBER($L432),$L432&lt;$J432,COUNTIFS(nrES_PID,$D432,nrES_Code,$F432,nrES_Att,2,nrES_Raw,"&gt;=0")=0),"Yes","No")))</f>
        <v/>
      </c>
      <c r="R432" s="17">
        <f>IF($C432="","",IF($L432="","",IF(AND($K432=2,ISNUMBER($L432),$L432&lt;$J432),"Yes","No")))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OR($C432="",$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RANGE",IF(COUNTIF(nrES_RecID,$B432)&gt;1,"DUPLICATE RECORD",IF(AND($K432=2,COUNTIFS(nrES_PID,$D432,nrES_Code,$F432,nrES_Att,1)=0),"ATTEMPT 2 WITHOUT ATTEMPT 1",IF(AND($K432=2,$L432=""),"RETEST ROW HAS NO SCORE",IF(AND($H432="Final",$L432&lt;&gt;"",IFERROR(INDEX(nrCKfinalExamElig,MATCH($D432,rngCadetPIDs,0)),"")="No"),"FINAL EXAM AFTER FAILED FINAL PT (500.1.H)","OK")))))))</f>
        <v/>
      </c>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IF($C433="","",IF($K433="","",IF(COUNTIFS(nrES_PID,$D433,nrES_Code,$F433,nrES_Att,"&gt;"&amp;$K433,nrES_Raw,"&gt;=0")=0,"Yes","No")))</f>
        <v/>
      </c>
      <c r="Q433" s="17">
        <f>IF($C433="","",IF($L433="","",IF(AND($K433=1,ISNUMBER($L433),$L433&lt;$J433,COUNTIFS(nrES_PID,$D433,nrES_Code,$F433,nrES_Att,2,nrES_Raw,"&gt;=0")=0),"Yes","No")))</f>
        <v/>
      </c>
      <c r="R433" s="17">
        <f>IF($C433="","",IF($L433="","",IF(AND($K433=2,ISNUMBER($L433),$L433&lt;$J433),"Yes","No")))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OR($C433="",$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RANGE",IF(COUNTIF(nrES_RecID,$B433)&gt;1,"DUPLICATE RECORD",IF(AND($K433=2,COUNTIFS(nrES_PID,$D433,nrES_Code,$F433,nrES_Att,1)=0),"ATTEMPT 2 WITHOUT ATTEMPT 1",IF(AND($K433=2,$L433=""),"RETEST ROW HAS NO SCORE",IF(AND($H433="Final",$L433&lt;&gt;"",IFERROR(INDEX(nrCKfinalExamElig,MATCH($D433,rngCadetPIDs,0)),"")="No"),"FINAL EXAM AFTER FAILED FINAL PT (500.1.H)","OK")))))))</f>
        <v/>
      </c>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IF($C434="","",IF($K434="","",IF(COUNTIFS(nrES_PID,$D434,nrES_Code,$F434,nrES_Att,"&gt;"&amp;$K434,nrES_Raw,"&gt;=0")=0,"Yes","No")))</f>
        <v/>
      </c>
      <c r="Q434" s="17">
        <f>IF($C434="","",IF($L434="","",IF(AND($K434=1,ISNUMBER($L434),$L434&lt;$J434,COUNTIFS(nrES_PID,$D434,nrES_Code,$F434,nrES_Att,2,nrES_Raw,"&gt;=0")=0),"Yes","No")))</f>
        <v/>
      </c>
      <c r="R434" s="17">
        <f>IF($C434="","",IF($L434="","",IF(AND($K434=2,ISNUMBER($L434),$L434&lt;$J434),"Yes","No")))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OR($C434="",$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RANGE",IF(COUNTIF(nrES_RecID,$B434)&gt;1,"DUPLICATE RECORD",IF(AND($K434=2,COUNTIFS(nrES_PID,$D434,nrES_Code,$F434,nrES_Att,1)=0),"ATTEMPT 2 WITHOUT ATTEMPT 1",IF(AND($K434=2,$L434=""),"RETEST ROW HAS NO SCORE",IF(AND($H434="Final",$L434&lt;&gt;"",IFERROR(INDEX(nrCKfinalExamElig,MATCH($D434,rngCadetPIDs,0)),"")="No"),"FINAL EXAM AFTER FAILED FINAL PT (500.1.H)","OK")))))))</f>
        <v/>
      </c>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IF($C435="","",IF($K435="","",IF(COUNTIFS(nrES_PID,$D435,nrES_Code,$F435,nrES_Att,"&gt;"&amp;$K435,nrES_Raw,"&gt;=0")=0,"Yes","No")))</f>
        <v/>
      </c>
      <c r="Q435" s="17">
        <f>IF($C435="","",IF($L435="","",IF(AND($K435=1,ISNUMBER($L435),$L435&lt;$J435,COUNTIFS(nrES_PID,$D435,nrES_Code,$F435,nrES_Att,2,nrES_Raw,"&gt;=0")=0),"Yes","No")))</f>
        <v/>
      </c>
      <c r="R435" s="17">
        <f>IF($C435="","",IF($L435="","",IF(AND($K435=2,ISNUMBER($L435),$L435&lt;$J435),"Yes","No")))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OR($C435="",$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RANGE",IF(COUNTIF(nrES_RecID,$B435)&gt;1,"DUPLICATE RECORD",IF(AND($K435=2,COUNTIFS(nrES_PID,$D435,nrES_Code,$F435,nrES_Att,1)=0),"ATTEMPT 2 WITHOUT ATTEMPT 1",IF(AND($K435=2,$L435=""),"RETEST ROW HAS NO SCORE",IF(AND($H435="Final",$L435&lt;&gt;"",IFERROR(INDEX(nrCKfinalExamElig,MATCH($D435,rngCadetPIDs,0)),"")="No"),"FINAL EXAM AFTER FAILED FINAL PT (500.1.H)","OK")))))))</f>
        <v/>
      </c>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IF($C436="","",IF($K436="","",IF(COUNTIFS(nrES_PID,$D436,nrES_Code,$F436,nrES_Att,"&gt;"&amp;$K436,nrES_Raw,"&gt;=0")=0,"Yes","No")))</f>
        <v/>
      </c>
      <c r="Q436" s="17">
        <f>IF($C436="","",IF($L436="","",IF(AND($K436=1,ISNUMBER($L436),$L436&lt;$J436,COUNTIFS(nrES_PID,$D436,nrES_Code,$F436,nrES_Att,2,nrES_Raw,"&gt;=0")=0),"Yes","No")))</f>
        <v/>
      </c>
      <c r="R436" s="17">
        <f>IF($C436="","",IF($L436="","",IF(AND($K436=2,ISNUMBER($L436),$L436&lt;$J436),"Yes","No")))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OR($C436="",$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RANGE",IF(COUNTIF(nrES_RecID,$B436)&gt;1,"DUPLICATE RECORD",IF(AND($K436=2,COUNTIFS(nrES_PID,$D436,nrES_Code,$F436,nrES_Att,1)=0),"ATTEMPT 2 WITHOUT ATTEMPT 1",IF(AND($K436=2,$L436=""),"RETEST ROW HAS NO SCORE",IF(AND($H436="Final",$L436&lt;&gt;"",IFERROR(INDEX(nrCKfinalExamElig,MATCH($D436,rngCadetPIDs,0)),"")="No"),"FINAL EXAM AFTER FAILED FINAL PT (500.1.H)","OK")))))))</f>
        <v/>
      </c>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IF($C437="","",IF($K437="","",IF(COUNTIFS(nrES_PID,$D437,nrES_Code,$F437,nrES_Att,"&gt;"&amp;$K437,nrES_Raw,"&gt;=0")=0,"Yes","No")))</f>
        <v/>
      </c>
      <c r="Q437" s="17">
        <f>IF($C437="","",IF($L437="","",IF(AND($K437=1,ISNUMBER($L437),$L437&lt;$J437,COUNTIFS(nrES_PID,$D437,nrES_Code,$F437,nrES_Att,2,nrES_Raw,"&gt;=0")=0),"Yes","No")))</f>
        <v/>
      </c>
      <c r="R437" s="17">
        <f>IF($C437="","",IF($L437="","",IF(AND($K437=2,ISNUMBER($L437),$L437&lt;$J437),"Yes","No")))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OR($C437="",$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RANGE",IF(COUNTIF(nrES_RecID,$B437)&gt;1,"DUPLICATE RECORD",IF(AND($K437=2,COUNTIFS(nrES_PID,$D437,nrES_Code,$F437,nrES_Att,1)=0),"ATTEMPT 2 WITHOUT ATTEMPT 1",IF(AND($K437=2,$L437=""),"RETEST ROW HAS NO SCORE",IF(AND($H437="Final",$L437&lt;&gt;"",IFERROR(INDEX(nrCKfinalExamElig,MATCH($D437,rngCadetPIDs,0)),"")="No"),"FINAL EXAM AFTER FAILED FINAL PT (500.1.H)","OK")))))))</f>
        <v/>
      </c>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IF($C438="","",IF($K438="","",IF(COUNTIFS(nrES_PID,$D438,nrES_Code,$F438,nrES_Att,"&gt;"&amp;$K438,nrES_Raw,"&gt;=0")=0,"Yes","No")))</f>
        <v/>
      </c>
      <c r="Q438" s="17">
        <f>IF($C438="","",IF($L438="","",IF(AND($K438=1,ISNUMBER($L438),$L438&lt;$J438,COUNTIFS(nrES_PID,$D438,nrES_Code,$F438,nrES_Att,2,nrES_Raw,"&gt;=0")=0),"Yes","No")))</f>
        <v/>
      </c>
      <c r="R438" s="17">
        <f>IF($C438="","",IF($L438="","",IF(AND($K438=2,ISNUMBER($L438),$L438&lt;$J438),"Yes","No")))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OR($C438="",$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RANGE",IF(COUNTIF(nrES_RecID,$B438)&gt;1,"DUPLICATE RECORD",IF(AND($K438=2,COUNTIFS(nrES_PID,$D438,nrES_Code,$F438,nrES_Att,1)=0),"ATTEMPT 2 WITHOUT ATTEMPT 1",IF(AND($K438=2,$L438=""),"RETEST ROW HAS NO SCORE",IF(AND($H438="Final",$L438&lt;&gt;"",IFERROR(INDEX(nrCKfinalExamElig,MATCH($D438,rngCadetPIDs,0)),"")="No"),"FINAL EXAM AFTER FAILED FINAL PT (500.1.H)","OK")))))))</f>
        <v/>
      </c>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IF($C439="","",IF($K439="","",IF(COUNTIFS(nrES_PID,$D439,nrES_Code,$F439,nrES_Att,"&gt;"&amp;$K439,nrES_Raw,"&gt;=0")=0,"Yes","No")))</f>
        <v/>
      </c>
      <c r="Q439" s="17">
        <f>IF($C439="","",IF($L439="","",IF(AND($K439=1,ISNUMBER($L439),$L439&lt;$J439,COUNTIFS(nrES_PID,$D439,nrES_Code,$F439,nrES_Att,2,nrES_Raw,"&gt;=0")=0),"Yes","No")))</f>
        <v/>
      </c>
      <c r="R439" s="17">
        <f>IF($C439="","",IF($L439="","",IF(AND($K439=2,ISNUMBER($L439),$L439&lt;$J439),"Yes","No")))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OR($C439="",$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RANGE",IF(COUNTIF(nrES_RecID,$B439)&gt;1,"DUPLICATE RECORD",IF(AND($K439=2,COUNTIFS(nrES_PID,$D439,nrES_Code,$F439,nrES_Att,1)=0),"ATTEMPT 2 WITHOUT ATTEMPT 1",IF(AND($K439=2,$L439=""),"RETEST ROW HAS NO SCORE",IF(AND($H439="Final",$L439&lt;&gt;"",IFERROR(INDEX(nrCKfinalExamElig,MATCH($D439,rngCadetPIDs,0)),"")="No"),"FINAL EXAM AFTER FAILED FINAL PT (500.1.H)","OK")))))))</f>
        <v/>
      </c>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IF($C440="","",IF($K440="","",IF(COUNTIFS(nrES_PID,$D440,nrES_Code,$F440,nrES_Att,"&gt;"&amp;$K440,nrES_Raw,"&gt;=0")=0,"Yes","No")))</f>
        <v/>
      </c>
      <c r="Q440" s="17">
        <f>IF($C440="","",IF($L440="","",IF(AND($K440=1,ISNUMBER($L440),$L440&lt;$J440,COUNTIFS(nrES_PID,$D440,nrES_Code,$F440,nrES_Att,2,nrES_Raw,"&gt;=0")=0),"Yes","No")))</f>
        <v/>
      </c>
      <c r="R440" s="17">
        <f>IF($C440="","",IF($L440="","",IF(AND($K440=2,ISNUMBER($L440),$L440&lt;$J440),"Yes","No")))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OR($C440="",$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RANGE",IF(COUNTIF(nrES_RecID,$B440)&gt;1,"DUPLICATE RECORD",IF(AND($K440=2,COUNTIFS(nrES_PID,$D440,nrES_Code,$F440,nrES_Att,1)=0),"ATTEMPT 2 WITHOUT ATTEMPT 1",IF(AND($K440=2,$L440=""),"RETEST ROW HAS NO SCORE",IF(AND($H440="Final",$L440&lt;&gt;"",IFERROR(INDEX(nrCKfinalExamElig,MATCH($D440,rngCadetPIDs,0)),"")="No"),"FINAL EXAM AFTER FAILED FINAL PT (500.1.H)","OK")))))))</f>
        <v/>
      </c>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IF($C441="","",IF($K441="","",IF(COUNTIFS(nrES_PID,$D441,nrES_Code,$F441,nrES_Att,"&gt;"&amp;$K441,nrES_Raw,"&gt;=0")=0,"Yes","No")))</f>
        <v/>
      </c>
      <c r="Q441" s="17">
        <f>IF($C441="","",IF($L441="","",IF(AND($K441=1,ISNUMBER($L441),$L441&lt;$J441,COUNTIFS(nrES_PID,$D441,nrES_Code,$F441,nrES_Att,2,nrES_Raw,"&gt;=0")=0),"Yes","No")))</f>
        <v/>
      </c>
      <c r="R441" s="17">
        <f>IF($C441="","",IF($L441="","",IF(AND($K441=2,ISNUMBER($L441),$L441&lt;$J441),"Yes","No")))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OR($C441="",$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RANGE",IF(COUNTIF(nrES_RecID,$B441)&gt;1,"DUPLICATE RECORD",IF(AND($K441=2,COUNTIFS(nrES_PID,$D441,nrES_Code,$F441,nrES_Att,1)=0),"ATTEMPT 2 WITHOUT ATTEMPT 1",IF(AND($K441=2,$L441=""),"RETEST ROW HAS NO SCORE",IF(AND($H441="Final",$L441&lt;&gt;"",IFERROR(INDEX(nrCKfinalExamElig,MATCH($D441,rngCadetPIDs,0)),"")="No"),"FINAL EXAM AFTER FAILED FINAL PT (500.1.H)","OK")))))))</f>
        <v/>
      </c>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IF($C442="","",IF($K442="","",IF(COUNTIFS(nrES_PID,$D442,nrES_Code,$F442,nrES_Att,"&gt;"&amp;$K442,nrES_Raw,"&gt;=0")=0,"Yes","No")))</f>
        <v/>
      </c>
      <c r="Q442" s="17">
        <f>IF($C442="","",IF($L442="","",IF(AND($K442=1,ISNUMBER($L442),$L442&lt;$J442,COUNTIFS(nrES_PID,$D442,nrES_Code,$F442,nrES_Att,2,nrES_Raw,"&gt;=0")=0),"Yes","No")))</f>
        <v/>
      </c>
      <c r="R442" s="17">
        <f>IF($C442="","",IF($L442="","",IF(AND($K442=2,ISNUMBER($L442),$L442&lt;$J442),"Yes","No")))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OR($C442="",$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RANGE",IF(COUNTIF(nrES_RecID,$B442)&gt;1,"DUPLICATE RECORD",IF(AND($K442=2,COUNTIFS(nrES_PID,$D442,nrES_Code,$F442,nrES_Att,1)=0),"ATTEMPT 2 WITHOUT ATTEMPT 1",IF(AND($K442=2,$L442=""),"RETEST ROW HAS NO SCORE",IF(AND($H442="Final",$L442&lt;&gt;"",IFERROR(INDEX(nrCKfinalExamElig,MATCH($D442,rngCadetPIDs,0)),"")="No"),"FINAL EXAM AFTER FAILED FINAL PT (500.1.H)","OK")))))))</f>
        <v/>
      </c>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IF($C443="","",IF($K443="","",IF(COUNTIFS(nrES_PID,$D443,nrES_Code,$F443,nrES_Att,"&gt;"&amp;$K443,nrES_Raw,"&gt;=0")=0,"Yes","No")))</f>
        <v/>
      </c>
      <c r="Q443" s="17">
        <f>IF($C443="","",IF($L443="","",IF(AND($K443=1,ISNUMBER($L443),$L443&lt;$J443,COUNTIFS(nrES_PID,$D443,nrES_Code,$F443,nrES_Att,2,nrES_Raw,"&gt;=0")=0),"Yes","No")))</f>
        <v/>
      </c>
      <c r="R443" s="17">
        <f>IF($C443="","",IF($L443="","",IF(AND($K443=2,ISNUMBER($L443),$L443&lt;$J443),"Yes","No")))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OR($C443="",$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RANGE",IF(COUNTIF(nrES_RecID,$B443)&gt;1,"DUPLICATE RECORD",IF(AND($K443=2,COUNTIFS(nrES_PID,$D443,nrES_Code,$F443,nrES_Att,1)=0),"ATTEMPT 2 WITHOUT ATTEMPT 1",IF(AND($K443=2,$L443=""),"RETEST ROW HAS NO SCORE",IF(AND($H443="Final",$L443&lt;&gt;"",IFERROR(INDEX(nrCKfinalExamElig,MATCH($D443,rngCadetPIDs,0)),"")="No"),"FINAL EXAM AFTER FAILED FINAL PT (500.1.H)","OK")))))))</f>
        <v/>
      </c>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IF($C444="","",IF($K444="","",IF(COUNTIFS(nrES_PID,$D444,nrES_Code,$F444,nrES_Att,"&gt;"&amp;$K444,nrES_Raw,"&gt;=0")=0,"Yes","No")))</f>
        <v/>
      </c>
      <c r="Q444" s="17">
        <f>IF($C444="","",IF($L444="","",IF(AND($K444=1,ISNUMBER($L444),$L444&lt;$J444,COUNTIFS(nrES_PID,$D444,nrES_Code,$F444,nrES_Att,2,nrES_Raw,"&gt;=0")=0),"Yes","No")))</f>
        <v/>
      </c>
      <c r="R444" s="17">
        <f>IF($C444="","",IF($L444="","",IF(AND($K444=2,ISNUMBER($L444),$L444&lt;$J444),"Yes","No")))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OR($C444="",$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RANGE",IF(COUNTIF(nrES_RecID,$B444)&gt;1,"DUPLICATE RECORD",IF(AND($K444=2,COUNTIFS(nrES_PID,$D444,nrES_Code,$F444,nrES_Att,1)=0),"ATTEMPT 2 WITHOUT ATTEMPT 1",IF(AND($K444=2,$L444=""),"RETEST ROW HAS NO SCORE",IF(AND($H444="Final",$L444&lt;&gt;"",IFERROR(INDEX(nrCKfinalExamElig,MATCH($D444,rngCadetPIDs,0)),"")="No"),"FINAL EXAM AFTER FAILED FINAL PT (500.1.H)","OK")))))))</f>
        <v/>
      </c>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IF($C445="","",IF($K445="","",IF(COUNTIFS(nrES_PID,$D445,nrES_Code,$F445,nrES_Att,"&gt;"&amp;$K445,nrES_Raw,"&gt;=0")=0,"Yes","No")))</f>
        <v/>
      </c>
      <c r="Q445" s="17">
        <f>IF($C445="","",IF($L445="","",IF(AND($K445=1,ISNUMBER($L445),$L445&lt;$J445,COUNTIFS(nrES_PID,$D445,nrES_Code,$F445,nrES_Att,2,nrES_Raw,"&gt;=0")=0),"Yes","No")))</f>
        <v/>
      </c>
      <c r="R445" s="17">
        <f>IF($C445="","",IF($L445="","",IF(AND($K445=2,ISNUMBER($L445),$L445&lt;$J445),"Yes","No")))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OR($C445="",$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RANGE",IF(COUNTIF(nrES_RecID,$B445)&gt;1,"DUPLICATE RECORD",IF(AND($K445=2,COUNTIFS(nrES_PID,$D445,nrES_Code,$F445,nrES_Att,1)=0),"ATTEMPT 2 WITHOUT ATTEMPT 1",IF(AND($K445=2,$L445=""),"RETEST ROW HAS NO SCORE",IF(AND($H445="Final",$L445&lt;&gt;"",IFERROR(INDEX(nrCKfinalExamElig,MATCH($D445,rngCadetPIDs,0)),"")="No"),"FINAL EXAM AFTER FAILED FINAL PT (500.1.H)","OK")))))))</f>
        <v/>
      </c>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IF($C446="","",IF($K446="","",IF(COUNTIFS(nrES_PID,$D446,nrES_Code,$F446,nrES_Att,"&gt;"&amp;$K446,nrES_Raw,"&gt;=0")=0,"Yes","No")))</f>
        <v/>
      </c>
      <c r="Q446" s="17">
        <f>IF($C446="","",IF($L446="","",IF(AND($K446=1,ISNUMBER($L446),$L446&lt;$J446,COUNTIFS(nrES_PID,$D446,nrES_Code,$F446,nrES_Att,2,nrES_Raw,"&gt;=0")=0),"Yes","No")))</f>
        <v/>
      </c>
      <c r="R446" s="17">
        <f>IF($C446="","",IF($L446="","",IF(AND($K446=2,ISNUMBER($L446),$L446&lt;$J446),"Yes","No")))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OR($C446="",$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RANGE",IF(COUNTIF(nrES_RecID,$B446)&gt;1,"DUPLICATE RECORD",IF(AND($K446=2,COUNTIFS(nrES_PID,$D446,nrES_Code,$F446,nrES_Att,1)=0),"ATTEMPT 2 WITHOUT ATTEMPT 1",IF(AND($K446=2,$L446=""),"RETEST ROW HAS NO SCORE",IF(AND($H446="Final",$L446&lt;&gt;"",IFERROR(INDEX(nrCKfinalExamElig,MATCH($D446,rngCadetPIDs,0)),"")="No"),"FINAL EXAM AFTER FAILED FINAL PT (500.1.H)","OK")))))))</f>
        <v/>
      </c>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IF($C447="","",IF($K447="","",IF(COUNTIFS(nrES_PID,$D447,nrES_Code,$F447,nrES_Att,"&gt;"&amp;$K447,nrES_Raw,"&gt;=0")=0,"Yes","No")))</f>
        <v/>
      </c>
      <c r="Q447" s="17">
        <f>IF($C447="","",IF($L447="","",IF(AND($K447=1,ISNUMBER($L447),$L447&lt;$J447,COUNTIFS(nrES_PID,$D447,nrES_Code,$F447,nrES_Att,2,nrES_Raw,"&gt;=0")=0),"Yes","No")))</f>
        <v/>
      </c>
      <c r="R447" s="17">
        <f>IF($C447="","",IF($L447="","",IF(AND($K447=2,ISNUMBER($L447),$L447&lt;$J447),"Yes","No")))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OR($C447="",$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RANGE",IF(COUNTIF(nrES_RecID,$B447)&gt;1,"DUPLICATE RECORD",IF(AND($K447=2,COUNTIFS(nrES_PID,$D447,nrES_Code,$F447,nrES_Att,1)=0),"ATTEMPT 2 WITHOUT ATTEMPT 1",IF(AND($K447=2,$L447=""),"RETEST ROW HAS NO SCORE",IF(AND($H447="Final",$L447&lt;&gt;"",IFERROR(INDEX(nrCKfinalExamElig,MATCH($D447,rngCadetPIDs,0)),"")="No"),"FINAL EXAM AFTER FAILED FINAL PT (500.1.H)","OK")))))))</f>
        <v/>
      </c>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IF($C448="","",IF($K448="","",IF(COUNTIFS(nrES_PID,$D448,nrES_Code,$F448,nrES_Att,"&gt;"&amp;$K448,nrES_Raw,"&gt;=0")=0,"Yes","No")))</f>
        <v/>
      </c>
      <c r="Q448" s="17">
        <f>IF($C448="","",IF($L448="","",IF(AND($K448=1,ISNUMBER($L448),$L448&lt;$J448,COUNTIFS(nrES_PID,$D448,nrES_Code,$F448,nrES_Att,2,nrES_Raw,"&gt;=0")=0),"Yes","No")))</f>
        <v/>
      </c>
      <c r="R448" s="17">
        <f>IF($C448="","",IF($L448="","",IF(AND($K448=2,ISNUMBER($L448),$L448&lt;$J448),"Yes","No")))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OR($C448="",$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RANGE",IF(COUNTIF(nrES_RecID,$B448)&gt;1,"DUPLICATE RECORD",IF(AND($K448=2,COUNTIFS(nrES_PID,$D448,nrES_Code,$F448,nrES_Att,1)=0),"ATTEMPT 2 WITHOUT ATTEMPT 1",IF(AND($K448=2,$L448=""),"RETEST ROW HAS NO SCORE",IF(AND($H448="Final",$L448&lt;&gt;"",IFERROR(INDEX(nrCKfinalExamElig,MATCH($D448,rngCadetPIDs,0)),"")="No"),"FINAL EXAM AFTER FAILED FINAL PT (500.1.H)","OK")))))))</f>
        <v/>
      </c>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IF($C449="","",IF($K449="","",IF(COUNTIFS(nrES_PID,$D449,nrES_Code,$F449,nrES_Att,"&gt;"&amp;$K449,nrES_Raw,"&gt;=0")=0,"Yes","No")))</f>
        <v/>
      </c>
      <c r="Q449" s="17">
        <f>IF($C449="","",IF($L449="","",IF(AND($K449=1,ISNUMBER($L449),$L449&lt;$J449,COUNTIFS(nrES_PID,$D449,nrES_Code,$F449,nrES_Att,2,nrES_Raw,"&gt;=0")=0),"Yes","No")))</f>
        <v/>
      </c>
      <c r="R449" s="17">
        <f>IF($C449="","",IF($L449="","",IF(AND($K449=2,ISNUMBER($L449),$L449&lt;$J449),"Yes","No")))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OR($C449="",$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RANGE",IF(COUNTIF(nrES_RecID,$B449)&gt;1,"DUPLICATE RECORD",IF(AND($K449=2,COUNTIFS(nrES_PID,$D449,nrES_Code,$F449,nrES_Att,1)=0),"ATTEMPT 2 WITHOUT ATTEMPT 1",IF(AND($K449=2,$L449=""),"RETEST ROW HAS NO SCORE",IF(AND($H449="Final",$L449&lt;&gt;"",IFERROR(INDEX(nrCKfinalExamElig,MATCH($D449,rngCadetPIDs,0)),"")="No"),"FINAL EXAM AFTER FAILED FINAL PT (500.1.H)","OK")))))))</f>
        <v/>
      </c>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IF($C450="","",IF($K450="","",IF(COUNTIFS(nrES_PID,$D450,nrES_Code,$F450,nrES_Att,"&gt;"&amp;$K450,nrES_Raw,"&gt;=0")=0,"Yes","No")))</f>
        <v/>
      </c>
      <c r="Q450" s="17">
        <f>IF($C450="","",IF($L450="","",IF(AND($K450=1,ISNUMBER($L450),$L450&lt;$J450,COUNTIFS(nrES_PID,$D450,nrES_Code,$F450,nrES_Att,2,nrES_Raw,"&gt;=0")=0),"Yes","No")))</f>
        <v/>
      </c>
      <c r="R450" s="17">
        <f>IF($C450="","",IF($L450="","",IF(AND($K450=2,ISNUMBER($L450),$L450&lt;$J450),"Yes","No")))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OR($C450="",$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RANGE",IF(COUNTIF(nrES_RecID,$B450)&gt;1,"DUPLICATE RECORD",IF(AND($K450=2,COUNTIFS(nrES_PID,$D450,nrES_Code,$F450,nrES_Att,1)=0),"ATTEMPT 2 WITHOUT ATTEMPT 1",IF(AND($K450=2,$L450=""),"RETEST ROW HAS NO SCORE",IF(AND($H450="Final",$L450&lt;&gt;"",IFERROR(INDEX(nrCKfinalExamElig,MATCH($D450,rngCadetPIDs,0)),"")="No"),"FINAL EXAM AFTER FAILED FINAL PT (500.1.H)","OK")))))))</f>
        <v/>
      </c>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IF($C451="","",IF($K451="","",IF(COUNTIFS(nrES_PID,$D451,nrES_Code,$F451,nrES_Att,"&gt;"&amp;$K451,nrES_Raw,"&gt;=0")=0,"Yes","No")))</f>
        <v/>
      </c>
      <c r="Q451" s="17">
        <f>IF($C451="","",IF($L451="","",IF(AND($K451=1,ISNUMBER($L451),$L451&lt;$J451,COUNTIFS(nrES_PID,$D451,nrES_Code,$F451,nrES_Att,2,nrES_Raw,"&gt;=0")=0),"Yes","No")))</f>
        <v/>
      </c>
      <c r="R451" s="17">
        <f>IF($C451="","",IF($L451="","",IF(AND($K451=2,ISNUMBER($L451),$L451&lt;$J451),"Yes","No")))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OR($C451="",$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RANGE",IF(COUNTIF(nrES_RecID,$B451)&gt;1,"DUPLICATE RECORD",IF(AND($K451=2,COUNTIFS(nrES_PID,$D451,nrES_Code,$F451,nrES_Att,1)=0),"ATTEMPT 2 WITHOUT ATTEMPT 1",IF(AND($K451=2,$L451=""),"RETEST ROW HAS NO SCORE",IF(AND($H451="Final",$L451&lt;&gt;"",IFERROR(INDEX(nrCKfinalExamElig,MATCH($D451,rngCadetPIDs,0)),"")="No"),"FINAL EXAM AFTER FAILED FINAL PT (500.1.H)","OK")))))))</f>
        <v/>
      </c>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IF($C452="","",IF($K452="","",IF(COUNTIFS(nrES_PID,$D452,nrES_Code,$F452,nrES_Att,"&gt;"&amp;$K452,nrES_Raw,"&gt;=0")=0,"Yes","No")))</f>
        <v/>
      </c>
      <c r="Q452" s="17">
        <f>IF($C452="","",IF($L452="","",IF(AND($K452=1,ISNUMBER($L452),$L452&lt;$J452,COUNTIFS(nrES_PID,$D452,nrES_Code,$F452,nrES_Att,2,nrES_Raw,"&gt;=0")=0),"Yes","No")))</f>
        <v/>
      </c>
      <c r="R452" s="17">
        <f>IF($C452="","",IF($L452="","",IF(AND($K452=2,ISNUMBER($L452),$L452&lt;$J452),"Yes","No")))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OR($C452="",$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RANGE",IF(COUNTIF(nrES_RecID,$B452)&gt;1,"DUPLICATE RECORD",IF(AND($K452=2,COUNTIFS(nrES_PID,$D452,nrES_Code,$F452,nrES_Att,1)=0),"ATTEMPT 2 WITHOUT ATTEMPT 1",IF(AND($K452=2,$L452=""),"RETEST ROW HAS NO SCORE",IF(AND($H452="Final",$L452&lt;&gt;"",IFERROR(INDEX(nrCKfinalExamElig,MATCH($D452,rngCadetPIDs,0)),"")="No"),"FINAL EXAM AFTER FAILED FINAL PT (500.1.H)","OK")))))))</f>
        <v/>
      </c>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IF($C453="","",IF($K453="","",IF(COUNTIFS(nrES_PID,$D453,nrES_Code,$F453,nrES_Att,"&gt;"&amp;$K453,nrES_Raw,"&gt;=0")=0,"Yes","No")))</f>
        <v/>
      </c>
      <c r="Q453" s="17">
        <f>IF($C453="","",IF($L453="","",IF(AND($K453=1,ISNUMBER($L453),$L453&lt;$J453,COUNTIFS(nrES_PID,$D453,nrES_Code,$F453,nrES_Att,2,nrES_Raw,"&gt;=0")=0),"Yes","No")))</f>
        <v/>
      </c>
      <c r="R453" s="17">
        <f>IF($C453="","",IF($L453="","",IF(AND($K453=2,ISNUMBER($L453),$L453&lt;$J453),"Yes","No")))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OR($C453="",$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RANGE",IF(COUNTIF(nrES_RecID,$B453)&gt;1,"DUPLICATE RECORD",IF(AND($K453=2,COUNTIFS(nrES_PID,$D453,nrES_Code,$F453,nrES_Att,1)=0),"ATTEMPT 2 WITHOUT ATTEMPT 1",IF(AND($K453=2,$L453=""),"RETEST ROW HAS NO SCORE",IF(AND($H453="Final",$L453&lt;&gt;"",IFERROR(INDEX(nrCKfinalExamElig,MATCH($D453,rngCadetPIDs,0)),"")="No"),"FINAL EXAM AFTER FAILED FINAL PT (500.1.H)","OK")))))))</f>
        <v/>
      </c>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IF($C454="","",IF($K454="","",IF(COUNTIFS(nrES_PID,$D454,nrES_Code,$F454,nrES_Att,"&gt;"&amp;$K454,nrES_Raw,"&gt;=0")=0,"Yes","No")))</f>
        <v/>
      </c>
      <c r="Q454" s="17">
        <f>IF($C454="","",IF($L454="","",IF(AND($K454=1,ISNUMBER($L454),$L454&lt;$J454,COUNTIFS(nrES_PID,$D454,nrES_Code,$F454,nrES_Att,2,nrES_Raw,"&gt;=0")=0),"Yes","No")))</f>
        <v/>
      </c>
      <c r="R454" s="17">
        <f>IF($C454="","",IF($L454="","",IF(AND($K454=2,ISNUMBER($L454),$L454&lt;$J454),"Yes","No")))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OR($C454="",$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RANGE",IF(COUNTIF(nrES_RecID,$B454)&gt;1,"DUPLICATE RECORD",IF(AND($K454=2,COUNTIFS(nrES_PID,$D454,nrES_Code,$F454,nrES_Att,1)=0),"ATTEMPT 2 WITHOUT ATTEMPT 1",IF(AND($K454=2,$L454=""),"RETEST ROW HAS NO SCORE",IF(AND($H454="Final",$L454&lt;&gt;"",IFERROR(INDEX(nrCKfinalExamElig,MATCH($D454,rngCadetPIDs,0)),"")="No"),"FINAL EXAM AFTER FAILED FINAL PT (500.1.H)","OK")))))))</f>
        <v/>
      </c>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IF($C455="","",IF($K455="","",IF(COUNTIFS(nrES_PID,$D455,nrES_Code,$F455,nrES_Att,"&gt;"&amp;$K455,nrES_Raw,"&gt;=0")=0,"Yes","No")))</f>
        <v/>
      </c>
      <c r="Q455" s="17">
        <f>IF($C455="","",IF($L455="","",IF(AND($K455=1,ISNUMBER($L455),$L455&lt;$J455,COUNTIFS(nrES_PID,$D455,nrES_Code,$F455,nrES_Att,2,nrES_Raw,"&gt;=0")=0),"Yes","No")))</f>
        <v/>
      </c>
      <c r="R455" s="17">
        <f>IF($C455="","",IF($L455="","",IF(AND($K455=2,ISNUMBER($L455),$L455&lt;$J455),"Yes","No")))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OR($C455="",$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RANGE",IF(COUNTIF(nrES_RecID,$B455)&gt;1,"DUPLICATE RECORD",IF(AND($K455=2,COUNTIFS(nrES_PID,$D455,nrES_Code,$F455,nrES_Att,1)=0),"ATTEMPT 2 WITHOUT ATTEMPT 1",IF(AND($K455=2,$L455=""),"RETEST ROW HAS NO SCORE",IF(AND($H455="Final",$L455&lt;&gt;"",IFERROR(INDEX(nrCKfinalExamElig,MATCH($D455,rngCadetPIDs,0)),"")="No"),"FINAL EXAM AFTER FAILED FINAL PT (500.1.H)","OK")))))))</f>
        <v/>
      </c>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IF($C456="","",IF($K456="","",IF(COUNTIFS(nrES_PID,$D456,nrES_Code,$F456,nrES_Att,"&gt;"&amp;$K456,nrES_Raw,"&gt;=0")=0,"Yes","No")))</f>
        <v/>
      </c>
      <c r="Q456" s="17">
        <f>IF($C456="","",IF($L456="","",IF(AND($K456=1,ISNUMBER($L456),$L456&lt;$J456,COUNTIFS(nrES_PID,$D456,nrES_Code,$F456,nrES_Att,2,nrES_Raw,"&gt;=0")=0),"Yes","No")))</f>
        <v/>
      </c>
      <c r="R456" s="17">
        <f>IF($C456="","",IF($L456="","",IF(AND($K456=2,ISNUMBER($L456),$L456&lt;$J456),"Yes","No")))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OR($C456="",$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RANGE",IF(COUNTIF(nrES_RecID,$B456)&gt;1,"DUPLICATE RECORD",IF(AND($K456=2,COUNTIFS(nrES_PID,$D456,nrES_Code,$F456,nrES_Att,1)=0),"ATTEMPT 2 WITHOUT ATTEMPT 1",IF(AND($K456=2,$L456=""),"RETEST ROW HAS NO SCORE",IF(AND($H456="Final",$L456&lt;&gt;"",IFERROR(INDEX(nrCKfinalExamElig,MATCH($D456,rngCadetPIDs,0)),"")="No"),"FINAL EXAM AFTER FAILED FINAL PT (500.1.H)","OK")))))))</f>
        <v/>
      </c>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IF($C457="","",IF($K457="","",IF(COUNTIFS(nrES_PID,$D457,nrES_Code,$F457,nrES_Att,"&gt;"&amp;$K457,nrES_Raw,"&gt;=0")=0,"Yes","No")))</f>
        <v/>
      </c>
      <c r="Q457" s="17">
        <f>IF($C457="","",IF($L457="","",IF(AND($K457=1,ISNUMBER($L457),$L457&lt;$J457,COUNTIFS(nrES_PID,$D457,nrES_Code,$F457,nrES_Att,2,nrES_Raw,"&gt;=0")=0),"Yes","No")))</f>
        <v/>
      </c>
      <c r="R457" s="17">
        <f>IF($C457="","",IF($L457="","",IF(AND($K457=2,ISNUMBER($L457),$L457&lt;$J457),"Yes","No")))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OR($C457="",$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RANGE",IF(COUNTIF(nrES_RecID,$B457)&gt;1,"DUPLICATE RECORD",IF(AND($K457=2,COUNTIFS(nrES_PID,$D457,nrES_Code,$F457,nrES_Att,1)=0),"ATTEMPT 2 WITHOUT ATTEMPT 1",IF(AND($K457=2,$L457=""),"RETEST ROW HAS NO SCORE",IF(AND($H457="Final",$L457&lt;&gt;"",IFERROR(INDEX(nrCKfinalExamElig,MATCH($D457,rngCadetPIDs,0)),"")="No"),"FINAL EXAM AFTER FAILED FINAL PT (500.1.H)","OK")))))))</f>
        <v/>
      </c>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IF($C458="","",IF($K458="","",IF(COUNTIFS(nrES_PID,$D458,nrES_Code,$F458,nrES_Att,"&gt;"&amp;$K458,nrES_Raw,"&gt;=0")=0,"Yes","No")))</f>
        <v/>
      </c>
      <c r="Q458" s="17">
        <f>IF($C458="","",IF($L458="","",IF(AND($K458=1,ISNUMBER($L458),$L458&lt;$J458,COUNTIFS(nrES_PID,$D458,nrES_Code,$F458,nrES_Att,2,nrES_Raw,"&gt;=0")=0),"Yes","No")))</f>
        <v/>
      </c>
      <c r="R458" s="17">
        <f>IF($C458="","",IF($L458="","",IF(AND($K458=2,ISNUMBER($L458),$L458&lt;$J458),"Yes","No")))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OR($C458="",$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RANGE",IF(COUNTIF(nrES_RecID,$B458)&gt;1,"DUPLICATE RECORD",IF(AND($K458=2,COUNTIFS(nrES_PID,$D458,nrES_Code,$F458,nrES_Att,1)=0),"ATTEMPT 2 WITHOUT ATTEMPT 1",IF(AND($K458=2,$L458=""),"RETEST ROW HAS NO SCORE",IF(AND($H458="Final",$L458&lt;&gt;"",IFERROR(INDEX(nrCKfinalExamElig,MATCH($D458,rngCadetPIDs,0)),"")="No"),"FINAL EXAM AFTER FAILED FINAL PT (500.1.H)","OK")))))))</f>
        <v/>
      </c>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IF($C459="","",IF($K459="","",IF(COUNTIFS(nrES_PID,$D459,nrES_Code,$F459,nrES_Att,"&gt;"&amp;$K459,nrES_Raw,"&gt;=0")=0,"Yes","No")))</f>
        <v/>
      </c>
      <c r="Q459" s="17">
        <f>IF($C459="","",IF($L459="","",IF(AND($K459=1,ISNUMBER($L459),$L459&lt;$J459,COUNTIFS(nrES_PID,$D459,nrES_Code,$F459,nrES_Att,2,nrES_Raw,"&gt;=0")=0),"Yes","No")))</f>
        <v/>
      </c>
      <c r="R459" s="17">
        <f>IF($C459="","",IF($L459="","",IF(AND($K459=2,ISNUMBER($L459),$L459&lt;$J459),"Yes","No")))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OR($C459="",$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RANGE",IF(COUNTIF(nrES_RecID,$B459)&gt;1,"DUPLICATE RECORD",IF(AND($K459=2,COUNTIFS(nrES_PID,$D459,nrES_Code,$F459,nrES_Att,1)=0),"ATTEMPT 2 WITHOUT ATTEMPT 1",IF(AND($K459=2,$L459=""),"RETEST ROW HAS NO SCORE",IF(AND($H459="Final",$L459&lt;&gt;"",IFERROR(INDEX(nrCKfinalExamElig,MATCH($D459,rngCadetPIDs,0)),"")="No"),"FINAL EXAM AFTER FAILED FINAL PT (500.1.H)","OK")))))))</f>
        <v/>
      </c>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IF($C460="","",IF($K460="","",IF(COUNTIFS(nrES_PID,$D460,nrES_Code,$F460,nrES_Att,"&gt;"&amp;$K460,nrES_Raw,"&gt;=0")=0,"Yes","No")))</f>
        <v/>
      </c>
      <c r="Q460" s="17">
        <f>IF($C460="","",IF($L460="","",IF(AND($K460=1,ISNUMBER($L460),$L460&lt;$J460,COUNTIFS(nrES_PID,$D460,nrES_Code,$F460,nrES_Att,2,nrES_Raw,"&gt;=0")=0),"Yes","No")))</f>
        <v/>
      </c>
      <c r="R460" s="17">
        <f>IF($C460="","",IF($L460="","",IF(AND($K460=2,ISNUMBER($L460),$L460&lt;$J460),"Yes","No")))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OR($C460="",$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RANGE",IF(COUNTIF(nrES_RecID,$B460)&gt;1,"DUPLICATE RECORD",IF(AND($K460=2,COUNTIFS(nrES_PID,$D460,nrES_Code,$F460,nrES_Att,1)=0),"ATTEMPT 2 WITHOUT ATTEMPT 1",IF(AND($K460=2,$L460=""),"RETEST ROW HAS NO SCORE",IF(AND($H460="Final",$L460&lt;&gt;"",IFERROR(INDEX(nrCKfinalExamElig,MATCH($D460,rngCadetPIDs,0)),"")="No"),"FINAL EXAM AFTER FAILED FINAL PT (500.1.H)","OK")))))))</f>
        <v/>
      </c>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IF($C461="","",IF($K461="","",IF(COUNTIFS(nrES_PID,$D461,nrES_Code,$F461,nrES_Att,"&gt;"&amp;$K461,nrES_Raw,"&gt;=0")=0,"Yes","No")))</f>
        <v/>
      </c>
      <c r="Q461" s="17">
        <f>IF($C461="","",IF($L461="","",IF(AND($K461=1,ISNUMBER($L461),$L461&lt;$J461,COUNTIFS(nrES_PID,$D461,nrES_Code,$F461,nrES_Att,2,nrES_Raw,"&gt;=0")=0),"Yes","No")))</f>
        <v/>
      </c>
      <c r="R461" s="17">
        <f>IF($C461="","",IF($L461="","",IF(AND($K461=2,ISNUMBER($L461),$L461&lt;$J461),"Yes","No")))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OR($C461="",$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RANGE",IF(COUNTIF(nrES_RecID,$B461)&gt;1,"DUPLICATE RECORD",IF(AND($K461=2,COUNTIFS(nrES_PID,$D461,nrES_Code,$F461,nrES_Att,1)=0),"ATTEMPT 2 WITHOUT ATTEMPT 1",IF(AND($K461=2,$L461=""),"RETEST ROW HAS NO SCORE",IF(AND($H461="Final",$L461&lt;&gt;"",IFERROR(INDEX(nrCKfinalExamElig,MATCH($D461,rngCadetPIDs,0)),"")="No"),"FINAL EXAM AFTER FAILED FINAL PT (500.1.H)","OK")))))))</f>
        <v/>
      </c>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IF($C462="","",IF($K462="","",IF(COUNTIFS(nrES_PID,$D462,nrES_Code,$F462,nrES_Att,"&gt;"&amp;$K462,nrES_Raw,"&gt;=0")=0,"Yes","No")))</f>
        <v/>
      </c>
      <c r="Q462" s="17">
        <f>IF($C462="","",IF($L462="","",IF(AND($K462=1,ISNUMBER($L462),$L462&lt;$J462,COUNTIFS(nrES_PID,$D462,nrES_Code,$F462,nrES_Att,2,nrES_Raw,"&gt;=0")=0),"Yes","No")))</f>
        <v/>
      </c>
      <c r="R462" s="17">
        <f>IF($C462="","",IF($L462="","",IF(AND($K462=2,ISNUMBER($L462),$L462&lt;$J462),"Yes","No")))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OR($C462="",$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RANGE",IF(COUNTIF(nrES_RecID,$B462)&gt;1,"DUPLICATE RECORD",IF(AND($K462=2,COUNTIFS(nrES_PID,$D462,nrES_Code,$F462,nrES_Att,1)=0),"ATTEMPT 2 WITHOUT ATTEMPT 1",IF(AND($K462=2,$L462=""),"RETEST ROW HAS NO SCORE",IF(AND($H462="Final",$L462&lt;&gt;"",IFERROR(INDEX(nrCKfinalExamElig,MATCH($D462,rngCadetPIDs,0)),"")="No"),"FINAL EXAM AFTER FAILED FINAL PT (500.1.H)","OK")))))))</f>
        <v/>
      </c>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IF($C463="","",IF($K463="","",IF(COUNTIFS(nrES_PID,$D463,nrES_Code,$F463,nrES_Att,"&gt;"&amp;$K463,nrES_Raw,"&gt;=0")=0,"Yes","No")))</f>
        <v/>
      </c>
      <c r="Q463" s="17">
        <f>IF($C463="","",IF($L463="","",IF(AND($K463=1,ISNUMBER($L463),$L463&lt;$J463,COUNTIFS(nrES_PID,$D463,nrES_Code,$F463,nrES_Att,2,nrES_Raw,"&gt;=0")=0),"Yes","No")))</f>
        <v/>
      </c>
      <c r="R463" s="17">
        <f>IF($C463="","",IF($L463="","",IF(AND($K463=2,ISNUMBER($L463),$L463&lt;$J463),"Yes","No")))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OR($C463="",$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RANGE",IF(COUNTIF(nrES_RecID,$B463)&gt;1,"DUPLICATE RECORD",IF(AND($K463=2,COUNTIFS(nrES_PID,$D463,nrES_Code,$F463,nrES_Att,1)=0),"ATTEMPT 2 WITHOUT ATTEMPT 1",IF(AND($K463=2,$L463=""),"RETEST ROW HAS NO SCORE",IF(AND($H463="Final",$L463&lt;&gt;"",IFERROR(INDEX(nrCKfinalExamElig,MATCH($D463,rngCadetPIDs,0)),"")="No"),"FINAL EXAM AFTER FAILED FINAL PT (500.1.H)","OK")))))))</f>
        <v/>
      </c>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IF($C464="","",IF($K464="","",IF(COUNTIFS(nrES_PID,$D464,nrES_Code,$F464,nrES_Att,"&gt;"&amp;$K464,nrES_Raw,"&gt;=0")=0,"Yes","No")))</f>
        <v/>
      </c>
      <c r="Q464" s="17">
        <f>IF($C464="","",IF($L464="","",IF(AND($K464=1,ISNUMBER($L464),$L464&lt;$J464,COUNTIFS(nrES_PID,$D464,nrES_Code,$F464,nrES_Att,2,nrES_Raw,"&gt;=0")=0),"Yes","No")))</f>
        <v/>
      </c>
      <c r="R464" s="17">
        <f>IF($C464="","",IF($L464="","",IF(AND($K464=2,ISNUMBER($L464),$L464&lt;$J464),"Yes","No")))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OR($C464="",$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RANGE",IF(COUNTIF(nrES_RecID,$B464)&gt;1,"DUPLICATE RECORD",IF(AND($K464=2,COUNTIFS(nrES_PID,$D464,nrES_Code,$F464,nrES_Att,1)=0),"ATTEMPT 2 WITHOUT ATTEMPT 1",IF(AND($K464=2,$L464=""),"RETEST ROW HAS NO SCORE",IF(AND($H464="Final",$L464&lt;&gt;"",IFERROR(INDEX(nrCKfinalExamElig,MATCH($D464,rngCadetPIDs,0)),"")="No"),"FINAL EXAM AFTER FAILED FINAL PT (500.1.H)","OK")))))))</f>
        <v/>
      </c>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IF($C465="","",IF($K465="","",IF(COUNTIFS(nrES_PID,$D465,nrES_Code,$F465,nrES_Att,"&gt;"&amp;$K465,nrES_Raw,"&gt;=0")=0,"Yes","No")))</f>
        <v/>
      </c>
      <c r="Q465" s="17">
        <f>IF($C465="","",IF($L465="","",IF(AND($K465=1,ISNUMBER($L465),$L465&lt;$J465,COUNTIFS(nrES_PID,$D465,nrES_Code,$F465,nrES_Att,2,nrES_Raw,"&gt;=0")=0),"Yes","No")))</f>
        <v/>
      </c>
      <c r="R465" s="17">
        <f>IF($C465="","",IF($L465="","",IF(AND($K465=2,ISNUMBER($L465),$L465&lt;$J465),"Yes","No")))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OR($C465="",$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RANGE",IF(COUNTIF(nrES_RecID,$B465)&gt;1,"DUPLICATE RECORD",IF(AND($K465=2,COUNTIFS(nrES_PID,$D465,nrES_Code,$F465,nrES_Att,1)=0),"ATTEMPT 2 WITHOUT ATTEMPT 1",IF(AND($K465=2,$L465=""),"RETEST ROW HAS NO SCORE",IF(AND($H465="Final",$L465&lt;&gt;"",IFERROR(INDEX(nrCKfinalExamElig,MATCH($D465,rngCadetPIDs,0)),"")="No"),"FINAL EXAM AFTER FAILED FINAL PT (500.1.H)","OK")))))))</f>
        <v/>
      </c>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IF($C466="","",IF($K466="","",IF(COUNTIFS(nrES_PID,$D466,nrES_Code,$F466,nrES_Att,"&gt;"&amp;$K466,nrES_Raw,"&gt;=0")=0,"Yes","No")))</f>
        <v/>
      </c>
      <c r="Q466" s="17">
        <f>IF($C466="","",IF($L466="","",IF(AND($K466=1,ISNUMBER($L466),$L466&lt;$J466,COUNTIFS(nrES_PID,$D466,nrES_Code,$F466,nrES_Att,2,nrES_Raw,"&gt;=0")=0),"Yes","No")))</f>
        <v/>
      </c>
      <c r="R466" s="17">
        <f>IF($C466="","",IF($L466="","",IF(AND($K466=2,ISNUMBER($L466),$L466&lt;$J466),"Yes","No")))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OR($C466="",$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RANGE",IF(COUNTIF(nrES_RecID,$B466)&gt;1,"DUPLICATE RECORD",IF(AND($K466=2,COUNTIFS(nrES_PID,$D466,nrES_Code,$F466,nrES_Att,1)=0),"ATTEMPT 2 WITHOUT ATTEMPT 1",IF(AND($K466=2,$L466=""),"RETEST ROW HAS NO SCORE",IF(AND($H466="Final",$L466&lt;&gt;"",IFERROR(INDEX(nrCKfinalExamElig,MATCH($D466,rngCadetPIDs,0)),"")="No"),"FINAL EXAM AFTER FAILED FINAL PT (500.1.H)","OK")))))))</f>
        <v/>
      </c>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IF($C467="","",IF($K467="","",IF(COUNTIFS(nrES_PID,$D467,nrES_Code,$F467,nrES_Att,"&gt;"&amp;$K467,nrES_Raw,"&gt;=0")=0,"Yes","No")))</f>
        <v/>
      </c>
      <c r="Q467" s="17">
        <f>IF($C467="","",IF($L467="","",IF(AND($K467=1,ISNUMBER($L467),$L467&lt;$J467,COUNTIFS(nrES_PID,$D467,nrES_Code,$F467,nrES_Att,2,nrES_Raw,"&gt;=0")=0),"Yes","No")))</f>
        <v/>
      </c>
      <c r="R467" s="17">
        <f>IF($C467="","",IF($L467="","",IF(AND($K467=2,ISNUMBER($L467),$L467&lt;$J467),"Yes","No")))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OR($C467="",$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RANGE",IF(COUNTIF(nrES_RecID,$B467)&gt;1,"DUPLICATE RECORD",IF(AND($K467=2,COUNTIFS(nrES_PID,$D467,nrES_Code,$F467,nrES_Att,1)=0),"ATTEMPT 2 WITHOUT ATTEMPT 1",IF(AND($K467=2,$L467=""),"RETEST ROW HAS NO SCORE",IF(AND($H467="Final",$L467&lt;&gt;"",IFERROR(INDEX(nrCKfinalExamElig,MATCH($D467,rngCadetPIDs,0)),"")="No"),"FINAL EXAM AFTER FAILED FINAL PT (500.1.H)","OK")))))))</f>
        <v/>
      </c>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IF($C468="","",IF($K468="","",IF(COUNTIFS(nrES_PID,$D468,nrES_Code,$F468,nrES_Att,"&gt;"&amp;$K468,nrES_Raw,"&gt;=0")=0,"Yes","No")))</f>
        <v/>
      </c>
      <c r="Q468" s="17">
        <f>IF($C468="","",IF($L468="","",IF(AND($K468=1,ISNUMBER($L468),$L468&lt;$J468,COUNTIFS(nrES_PID,$D468,nrES_Code,$F468,nrES_Att,2,nrES_Raw,"&gt;=0")=0),"Yes","No")))</f>
        <v/>
      </c>
      <c r="R468" s="17">
        <f>IF($C468="","",IF($L468="","",IF(AND($K468=2,ISNUMBER($L468),$L468&lt;$J468),"Yes","No")))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OR($C468="",$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RANGE",IF(COUNTIF(nrES_RecID,$B468)&gt;1,"DUPLICATE RECORD",IF(AND($K468=2,COUNTIFS(nrES_PID,$D468,nrES_Code,$F468,nrES_Att,1)=0),"ATTEMPT 2 WITHOUT ATTEMPT 1",IF(AND($K468=2,$L468=""),"RETEST ROW HAS NO SCORE",IF(AND($H468="Final",$L468&lt;&gt;"",IFERROR(INDEX(nrCKfinalExamElig,MATCH($D468,rngCadetPIDs,0)),"")="No"),"FINAL EXAM AFTER FAILED FINAL PT (500.1.H)","OK")))))))</f>
        <v/>
      </c>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IF($C469="","",IF($K469="","",IF(COUNTIFS(nrES_PID,$D469,nrES_Code,$F469,nrES_Att,"&gt;"&amp;$K469,nrES_Raw,"&gt;=0")=0,"Yes","No")))</f>
        <v/>
      </c>
      <c r="Q469" s="17">
        <f>IF($C469="","",IF($L469="","",IF(AND($K469=1,ISNUMBER($L469),$L469&lt;$J469,COUNTIFS(nrES_PID,$D469,nrES_Code,$F469,nrES_Att,2,nrES_Raw,"&gt;=0")=0),"Yes","No")))</f>
        <v/>
      </c>
      <c r="R469" s="17">
        <f>IF($C469="","",IF($L469="","",IF(AND($K469=2,ISNUMBER($L469),$L469&lt;$J469),"Yes","No")))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OR($C469="",$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RANGE",IF(COUNTIF(nrES_RecID,$B469)&gt;1,"DUPLICATE RECORD",IF(AND($K469=2,COUNTIFS(nrES_PID,$D469,nrES_Code,$F469,nrES_Att,1)=0),"ATTEMPT 2 WITHOUT ATTEMPT 1",IF(AND($K469=2,$L469=""),"RETEST ROW HAS NO SCORE",IF(AND($H469="Final",$L469&lt;&gt;"",IFERROR(INDEX(nrCKfinalExamElig,MATCH($D469,rngCadetPIDs,0)),"")="No"),"FINAL EXAM AFTER FAILED FINAL PT (500.1.H)","OK")))))))</f>
        <v/>
      </c>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IF($C470="","",IF($K470="","",IF(COUNTIFS(nrES_PID,$D470,nrES_Code,$F470,nrES_Att,"&gt;"&amp;$K470,nrES_Raw,"&gt;=0")=0,"Yes","No")))</f>
        <v/>
      </c>
      <c r="Q470" s="17">
        <f>IF($C470="","",IF($L470="","",IF(AND($K470=1,ISNUMBER($L470),$L470&lt;$J470,COUNTIFS(nrES_PID,$D470,nrES_Code,$F470,nrES_Att,2,nrES_Raw,"&gt;=0")=0),"Yes","No")))</f>
        <v/>
      </c>
      <c r="R470" s="17">
        <f>IF($C470="","",IF($L470="","",IF(AND($K470=2,ISNUMBER($L470),$L470&lt;$J470),"Yes","No")))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OR($C470="",$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RANGE",IF(COUNTIF(nrES_RecID,$B470)&gt;1,"DUPLICATE RECORD",IF(AND($K470=2,COUNTIFS(nrES_PID,$D470,nrES_Code,$F470,nrES_Att,1)=0),"ATTEMPT 2 WITHOUT ATTEMPT 1",IF(AND($K470=2,$L470=""),"RETEST ROW HAS NO SCORE",IF(AND($H470="Final",$L470&lt;&gt;"",IFERROR(INDEX(nrCKfinalExamElig,MATCH($D470,rngCadetPIDs,0)),"")="No"),"FINAL EXAM AFTER FAILED FINAL PT (500.1.H)","OK")))))))</f>
        <v/>
      </c>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IF($C471="","",IF($K471="","",IF(COUNTIFS(nrES_PID,$D471,nrES_Code,$F471,nrES_Att,"&gt;"&amp;$K471,nrES_Raw,"&gt;=0")=0,"Yes","No")))</f>
        <v/>
      </c>
      <c r="Q471" s="17">
        <f>IF($C471="","",IF($L471="","",IF(AND($K471=1,ISNUMBER($L471),$L471&lt;$J471,COUNTIFS(nrES_PID,$D471,nrES_Code,$F471,nrES_Att,2,nrES_Raw,"&gt;=0")=0),"Yes","No")))</f>
        <v/>
      </c>
      <c r="R471" s="17">
        <f>IF($C471="","",IF($L471="","",IF(AND($K471=2,ISNUMBER($L471),$L471&lt;$J471),"Yes","No")))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OR($C471="",$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RANGE",IF(COUNTIF(nrES_RecID,$B471)&gt;1,"DUPLICATE RECORD",IF(AND($K471=2,COUNTIFS(nrES_PID,$D471,nrES_Code,$F471,nrES_Att,1)=0),"ATTEMPT 2 WITHOUT ATTEMPT 1",IF(AND($K471=2,$L471=""),"RETEST ROW HAS NO SCORE",IF(AND($H471="Final",$L471&lt;&gt;"",IFERROR(INDEX(nrCKfinalExamElig,MATCH($D471,rngCadetPIDs,0)),"")="No"),"FINAL EXAM AFTER FAILED FINAL PT (500.1.H)","OK")))))))</f>
        <v/>
      </c>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IF($C472="","",IF($K472="","",IF(COUNTIFS(nrES_PID,$D472,nrES_Code,$F472,nrES_Att,"&gt;"&amp;$K472,nrES_Raw,"&gt;=0")=0,"Yes","No")))</f>
        <v/>
      </c>
      <c r="Q472" s="17">
        <f>IF($C472="","",IF($L472="","",IF(AND($K472=1,ISNUMBER($L472),$L472&lt;$J472,COUNTIFS(nrES_PID,$D472,nrES_Code,$F472,nrES_Att,2,nrES_Raw,"&gt;=0")=0),"Yes","No")))</f>
        <v/>
      </c>
      <c r="R472" s="17">
        <f>IF($C472="","",IF($L472="","",IF(AND($K472=2,ISNUMBER($L472),$L472&lt;$J472),"Yes","No")))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OR($C472="",$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RANGE",IF(COUNTIF(nrES_RecID,$B472)&gt;1,"DUPLICATE RECORD",IF(AND($K472=2,COUNTIFS(nrES_PID,$D472,nrES_Code,$F472,nrES_Att,1)=0),"ATTEMPT 2 WITHOUT ATTEMPT 1",IF(AND($K472=2,$L472=""),"RETEST ROW HAS NO SCORE",IF(AND($H472="Final",$L472&lt;&gt;"",IFERROR(INDEX(nrCKfinalExamElig,MATCH($D472,rngCadetPIDs,0)),"")="No"),"FINAL EXAM AFTER FAILED FINAL PT (500.1.H)","OK")))))))</f>
        <v/>
      </c>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IF($C473="","",IF($K473="","",IF(COUNTIFS(nrES_PID,$D473,nrES_Code,$F473,nrES_Att,"&gt;"&amp;$K473,nrES_Raw,"&gt;=0")=0,"Yes","No")))</f>
        <v/>
      </c>
      <c r="Q473" s="17">
        <f>IF($C473="","",IF($L473="","",IF(AND($K473=1,ISNUMBER($L473),$L473&lt;$J473,COUNTIFS(nrES_PID,$D473,nrES_Code,$F473,nrES_Att,2,nrES_Raw,"&gt;=0")=0),"Yes","No")))</f>
        <v/>
      </c>
      <c r="R473" s="17">
        <f>IF($C473="","",IF($L473="","",IF(AND($K473=2,ISNUMBER($L473),$L473&lt;$J473),"Yes","No")))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OR($C473="",$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RANGE",IF(COUNTIF(nrES_RecID,$B473)&gt;1,"DUPLICATE RECORD",IF(AND($K473=2,COUNTIFS(nrES_PID,$D473,nrES_Code,$F473,nrES_Att,1)=0),"ATTEMPT 2 WITHOUT ATTEMPT 1",IF(AND($K473=2,$L473=""),"RETEST ROW HAS NO SCORE",IF(AND($H473="Final",$L473&lt;&gt;"",IFERROR(INDEX(nrCKfinalExamElig,MATCH($D473,rngCadetPIDs,0)),"")="No"),"FINAL EXAM AFTER FAILED FINAL PT (500.1.H)","OK")))))))</f>
        <v/>
      </c>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IF($C474="","",IF($K474="","",IF(COUNTIFS(nrES_PID,$D474,nrES_Code,$F474,nrES_Att,"&gt;"&amp;$K474,nrES_Raw,"&gt;=0")=0,"Yes","No")))</f>
        <v/>
      </c>
      <c r="Q474" s="17">
        <f>IF($C474="","",IF($L474="","",IF(AND($K474=1,ISNUMBER($L474),$L474&lt;$J474,COUNTIFS(nrES_PID,$D474,nrES_Code,$F474,nrES_Att,2,nrES_Raw,"&gt;=0")=0),"Yes","No")))</f>
        <v/>
      </c>
      <c r="R474" s="17">
        <f>IF($C474="","",IF($L474="","",IF(AND($K474=2,ISNUMBER($L474),$L474&lt;$J474),"Yes","No")))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OR($C474="",$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RANGE",IF(COUNTIF(nrES_RecID,$B474)&gt;1,"DUPLICATE RECORD",IF(AND($K474=2,COUNTIFS(nrES_PID,$D474,nrES_Code,$F474,nrES_Att,1)=0),"ATTEMPT 2 WITHOUT ATTEMPT 1",IF(AND($K474=2,$L474=""),"RETEST ROW HAS NO SCORE",IF(AND($H474="Final",$L474&lt;&gt;"",IFERROR(INDEX(nrCKfinalExamElig,MATCH($D474,rngCadetPIDs,0)),"")="No"),"FINAL EXAM AFTER FAILED FINAL PT (500.1.H)","OK")))))))</f>
        <v/>
      </c>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IF($C475="","",IF($K475="","",IF(COUNTIFS(nrES_PID,$D475,nrES_Code,$F475,nrES_Att,"&gt;"&amp;$K475,nrES_Raw,"&gt;=0")=0,"Yes","No")))</f>
        <v/>
      </c>
      <c r="Q475" s="17">
        <f>IF($C475="","",IF($L475="","",IF(AND($K475=1,ISNUMBER($L475),$L475&lt;$J475,COUNTIFS(nrES_PID,$D475,nrES_Code,$F475,nrES_Att,2,nrES_Raw,"&gt;=0")=0),"Yes","No")))</f>
        <v/>
      </c>
      <c r="R475" s="17">
        <f>IF($C475="","",IF($L475="","",IF(AND($K475=2,ISNUMBER($L475),$L475&lt;$J475),"Yes","No")))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OR($C475="",$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RANGE",IF(COUNTIF(nrES_RecID,$B475)&gt;1,"DUPLICATE RECORD",IF(AND($K475=2,COUNTIFS(nrES_PID,$D475,nrES_Code,$F475,nrES_Att,1)=0),"ATTEMPT 2 WITHOUT ATTEMPT 1",IF(AND($K475=2,$L475=""),"RETEST ROW HAS NO SCORE",IF(AND($H475="Final",$L475&lt;&gt;"",IFERROR(INDEX(nrCKfinalExamElig,MATCH($D475,rngCadetPIDs,0)),"")="No"),"FINAL EXAM AFTER FAILED FINAL PT (500.1.H)","OK")))))))</f>
        <v/>
      </c>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IF($C476="","",IF($K476="","",IF(COUNTIFS(nrES_PID,$D476,nrES_Code,$F476,nrES_Att,"&gt;"&amp;$K476,nrES_Raw,"&gt;=0")=0,"Yes","No")))</f>
        <v/>
      </c>
      <c r="Q476" s="17">
        <f>IF($C476="","",IF($L476="","",IF(AND($K476=1,ISNUMBER($L476),$L476&lt;$J476,COUNTIFS(nrES_PID,$D476,nrES_Code,$F476,nrES_Att,2,nrES_Raw,"&gt;=0")=0),"Yes","No")))</f>
        <v/>
      </c>
      <c r="R476" s="17">
        <f>IF($C476="","",IF($L476="","",IF(AND($K476=2,ISNUMBER($L476),$L476&lt;$J476),"Yes","No")))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OR($C476="",$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RANGE",IF(COUNTIF(nrES_RecID,$B476)&gt;1,"DUPLICATE RECORD",IF(AND($K476=2,COUNTIFS(nrES_PID,$D476,nrES_Code,$F476,nrES_Att,1)=0),"ATTEMPT 2 WITHOUT ATTEMPT 1",IF(AND($K476=2,$L476=""),"RETEST ROW HAS NO SCORE",IF(AND($H476="Final",$L476&lt;&gt;"",IFERROR(INDEX(nrCKfinalExamElig,MATCH($D476,rngCadetPIDs,0)),"")="No"),"FINAL EXAM AFTER FAILED FINAL PT (500.1.H)","OK")))))))</f>
        <v/>
      </c>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IF($C477="","",IF($K477="","",IF(COUNTIFS(nrES_PID,$D477,nrES_Code,$F477,nrES_Att,"&gt;"&amp;$K477,nrES_Raw,"&gt;=0")=0,"Yes","No")))</f>
        <v/>
      </c>
      <c r="Q477" s="17">
        <f>IF($C477="","",IF($L477="","",IF(AND($K477=1,ISNUMBER($L477),$L477&lt;$J477,COUNTIFS(nrES_PID,$D477,nrES_Code,$F477,nrES_Att,2,nrES_Raw,"&gt;=0")=0),"Yes","No")))</f>
        <v/>
      </c>
      <c r="R477" s="17">
        <f>IF($C477="","",IF($L477="","",IF(AND($K477=2,ISNUMBER($L477),$L477&lt;$J477),"Yes","No")))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OR($C477="",$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RANGE",IF(COUNTIF(nrES_RecID,$B477)&gt;1,"DUPLICATE RECORD",IF(AND($K477=2,COUNTIFS(nrES_PID,$D477,nrES_Code,$F477,nrES_Att,1)=0),"ATTEMPT 2 WITHOUT ATTEMPT 1",IF(AND($K477=2,$L477=""),"RETEST ROW HAS NO SCORE",IF(AND($H477="Final",$L477&lt;&gt;"",IFERROR(INDEX(nrCKfinalExamElig,MATCH($D477,rngCadetPIDs,0)),"")="No"),"FINAL EXAM AFTER FAILED FINAL PT (500.1.H)","OK")))))))</f>
        <v/>
      </c>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IF($C478="","",IF($K478="","",IF(COUNTIFS(nrES_PID,$D478,nrES_Code,$F478,nrES_Att,"&gt;"&amp;$K478,nrES_Raw,"&gt;=0")=0,"Yes","No")))</f>
        <v/>
      </c>
      <c r="Q478" s="17">
        <f>IF($C478="","",IF($L478="","",IF(AND($K478=1,ISNUMBER($L478),$L478&lt;$J478,COUNTIFS(nrES_PID,$D478,nrES_Code,$F478,nrES_Att,2,nrES_Raw,"&gt;=0")=0),"Yes","No")))</f>
        <v/>
      </c>
      <c r="R478" s="17">
        <f>IF($C478="","",IF($L478="","",IF(AND($K478=2,ISNUMBER($L478),$L478&lt;$J478),"Yes","No")))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OR($C478="",$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RANGE",IF(COUNTIF(nrES_RecID,$B478)&gt;1,"DUPLICATE RECORD",IF(AND($K478=2,COUNTIFS(nrES_PID,$D478,nrES_Code,$F478,nrES_Att,1)=0),"ATTEMPT 2 WITHOUT ATTEMPT 1",IF(AND($K478=2,$L478=""),"RETEST ROW HAS NO SCORE",IF(AND($H478="Final",$L478&lt;&gt;"",IFERROR(INDEX(nrCKfinalExamElig,MATCH($D478,rngCadetPIDs,0)),"")="No"),"FINAL EXAM AFTER FAILED FINAL PT (500.1.H)","OK")))))))</f>
        <v/>
      </c>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IF($C479="","",IF($K479="","",IF(COUNTIFS(nrES_PID,$D479,nrES_Code,$F479,nrES_Att,"&gt;"&amp;$K479,nrES_Raw,"&gt;=0")=0,"Yes","No")))</f>
        <v/>
      </c>
      <c r="Q479" s="17">
        <f>IF($C479="","",IF($L479="","",IF(AND($K479=1,ISNUMBER($L479),$L479&lt;$J479,COUNTIFS(nrES_PID,$D479,nrES_Code,$F479,nrES_Att,2,nrES_Raw,"&gt;=0")=0),"Yes","No")))</f>
        <v/>
      </c>
      <c r="R479" s="17">
        <f>IF($C479="","",IF($L479="","",IF(AND($K479=2,ISNUMBER($L479),$L479&lt;$J479),"Yes","No")))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OR($C479="",$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RANGE",IF(COUNTIF(nrES_RecID,$B479)&gt;1,"DUPLICATE RECORD",IF(AND($K479=2,COUNTIFS(nrES_PID,$D479,nrES_Code,$F479,nrES_Att,1)=0),"ATTEMPT 2 WITHOUT ATTEMPT 1",IF(AND($K479=2,$L479=""),"RETEST ROW HAS NO SCORE",IF(AND($H479="Final",$L479&lt;&gt;"",IFERROR(INDEX(nrCKfinalExamElig,MATCH($D479,rngCadetPIDs,0)),"")="No"),"FINAL EXAM AFTER FAILED FINAL PT (500.1.H)","OK")))))))</f>
        <v/>
      </c>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IF($C480="","",IF($K480="","",IF(COUNTIFS(nrES_PID,$D480,nrES_Code,$F480,nrES_Att,"&gt;"&amp;$K480,nrES_Raw,"&gt;=0")=0,"Yes","No")))</f>
        <v/>
      </c>
      <c r="Q480" s="17">
        <f>IF($C480="","",IF($L480="","",IF(AND($K480=1,ISNUMBER($L480),$L480&lt;$J480,COUNTIFS(nrES_PID,$D480,nrES_Code,$F480,nrES_Att,2,nrES_Raw,"&gt;=0")=0),"Yes","No")))</f>
        <v/>
      </c>
      <c r="R480" s="17">
        <f>IF($C480="","",IF($L480="","",IF(AND($K480=2,ISNUMBER($L480),$L480&lt;$J480),"Yes","No")))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OR($C480="",$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RANGE",IF(COUNTIF(nrES_RecID,$B480)&gt;1,"DUPLICATE RECORD",IF(AND($K480=2,COUNTIFS(nrES_PID,$D480,nrES_Code,$F480,nrES_Att,1)=0),"ATTEMPT 2 WITHOUT ATTEMPT 1",IF(AND($K480=2,$L480=""),"RETEST ROW HAS NO SCORE",IF(AND($H480="Final",$L480&lt;&gt;"",IFERROR(INDEX(nrCKfinalExamElig,MATCH($D480,rngCadetPIDs,0)),"")="No"),"FINAL EXAM AFTER FAILED FINAL PT (500.1.H)","OK")))))))</f>
        <v/>
      </c>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IF($C481="","",IF($K481="","",IF(COUNTIFS(nrES_PID,$D481,nrES_Code,$F481,nrES_Att,"&gt;"&amp;$K481,nrES_Raw,"&gt;=0")=0,"Yes","No")))</f>
        <v/>
      </c>
      <c r="Q481" s="17">
        <f>IF($C481="","",IF($L481="","",IF(AND($K481=1,ISNUMBER($L481),$L481&lt;$J481,COUNTIFS(nrES_PID,$D481,nrES_Code,$F481,nrES_Att,2,nrES_Raw,"&gt;=0")=0),"Yes","No")))</f>
        <v/>
      </c>
      <c r="R481" s="17">
        <f>IF($C481="","",IF($L481="","",IF(AND($K481=2,ISNUMBER($L481),$L481&lt;$J481),"Yes","No")))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OR($C481="",$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RANGE",IF(COUNTIF(nrES_RecID,$B481)&gt;1,"DUPLICATE RECORD",IF(AND($K481=2,COUNTIFS(nrES_PID,$D481,nrES_Code,$F481,nrES_Att,1)=0),"ATTEMPT 2 WITHOUT ATTEMPT 1",IF(AND($K481=2,$L481=""),"RETEST ROW HAS NO SCORE",IF(AND($H481="Final",$L481&lt;&gt;"",IFERROR(INDEX(nrCKfinalExamElig,MATCH($D481,rngCadetPIDs,0)),"")="No"),"FINAL EXAM AFTER FAILED FINAL PT (500.1.H)","OK")))))))</f>
        <v/>
      </c>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IF($C482="","",IF($K482="","",IF(COUNTIFS(nrES_PID,$D482,nrES_Code,$F482,nrES_Att,"&gt;"&amp;$K482,nrES_Raw,"&gt;=0")=0,"Yes","No")))</f>
        <v/>
      </c>
      <c r="Q482" s="17">
        <f>IF($C482="","",IF($L482="","",IF(AND($K482=1,ISNUMBER($L482),$L482&lt;$J482,COUNTIFS(nrES_PID,$D482,nrES_Code,$F482,nrES_Att,2,nrES_Raw,"&gt;=0")=0),"Yes","No")))</f>
        <v/>
      </c>
      <c r="R482" s="17">
        <f>IF($C482="","",IF($L482="","",IF(AND($K482=2,ISNUMBER($L482),$L482&lt;$J482),"Yes","No")))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OR($C482="",$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RANGE",IF(COUNTIF(nrES_RecID,$B482)&gt;1,"DUPLICATE RECORD",IF(AND($K482=2,COUNTIFS(nrES_PID,$D482,nrES_Code,$F482,nrES_Att,1)=0),"ATTEMPT 2 WITHOUT ATTEMPT 1",IF(AND($K482=2,$L482=""),"RETEST ROW HAS NO SCORE",IF(AND($H482="Final",$L482&lt;&gt;"",IFERROR(INDEX(nrCKfinalExamElig,MATCH($D482,rngCadetPIDs,0)),"")="No"),"FINAL EXAM AFTER FAILED FINAL PT (500.1.H)","OK")))))))</f>
        <v/>
      </c>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IF($C483="","",IF($K483="","",IF(COUNTIFS(nrES_PID,$D483,nrES_Code,$F483,nrES_Att,"&gt;"&amp;$K483,nrES_Raw,"&gt;=0")=0,"Yes","No")))</f>
        <v/>
      </c>
      <c r="Q483" s="17">
        <f>IF($C483="","",IF($L483="","",IF(AND($K483=1,ISNUMBER($L483),$L483&lt;$J483,COUNTIFS(nrES_PID,$D483,nrES_Code,$F483,nrES_Att,2,nrES_Raw,"&gt;=0")=0),"Yes","No")))</f>
        <v/>
      </c>
      <c r="R483" s="17">
        <f>IF($C483="","",IF($L483="","",IF(AND($K483=2,ISNUMBER($L483),$L483&lt;$J483),"Yes","No")))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OR($C483="",$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RANGE",IF(COUNTIF(nrES_RecID,$B483)&gt;1,"DUPLICATE RECORD",IF(AND($K483=2,COUNTIFS(nrES_PID,$D483,nrES_Code,$F483,nrES_Att,1)=0),"ATTEMPT 2 WITHOUT ATTEMPT 1",IF(AND($K483=2,$L483=""),"RETEST ROW HAS NO SCORE",IF(AND($H483="Final",$L483&lt;&gt;"",IFERROR(INDEX(nrCKfinalExamElig,MATCH($D483,rngCadetPIDs,0)),"")="No"),"FINAL EXAM AFTER FAILED FINAL PT (500.1.H)","OK")))))))</f>
        <v/>
      </c>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IF($C484="","",IF($K484="","",IF(COUNTIFS(nrES_PID,$D484,nrES_Code,$F484,nrES_Att,"&gt;"&amp;$K484,nrES_Raw,"&gt;=0")=0,"Yes","No")))</f>
        <v/>
      </c>
      <c r="Q484" s="17">
        <f>IF($C484="","",IF($L484="","",IF(AND($K484=1,ISNUMBER($L484),$L484&lt;$J484,COUNTIFS(nrES_PID,$D484,nrES_Code,$F484,nrES_Att,2,nrES_Raw,"&gt;=0")=0),"Yes","No")))</f>
        <v/>
      </c>
      <c r="R484" s="17">
        <f>IF($C484="","",IF($L484="","",IF(AND($K484=2,ISNUMBER($L484),$L484&lt;$J484),"Yes","No")))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OR($C484="",$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RANGE",IF(COUNTIF(nrES_RecID,$B484)&gt;1,"DUPLICATE RECORD",IF(AND($K484=2,COUNTIFS(nrES_PID,$D484,nrES_Code,$F484,nrES_Att,1)=0),"ATTEMPT 2 WITHOUT ATTEMPT 1",IF(AND($K484=2,$L484=""),"RETEST ROW HAS NO SCORE",IF(AND($H484="Final",$L484&lt;&gt;"",IFERROR(INDEX(nrCKfinalExamElig,MATCH($D484,rngCadetPIDs,0)),"")="No"),"FINAL EXAM AFTER FAILED FINAL PT (500.1.H)","OK")))))))</f>
        <v/>
      </c>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IF($C485="","",IF($K485="","",IF(COUNTIFS(nrES_PID,$D485,nrES_Code,$F485,nrES_Att,"&gt;"&amp;$K485,nrES_Raw,"&gt;=0")=0,"Yes","No")))</f>
        <v/>
      </c>
      <c r="Q485" s="17">
        <f>IF($C485="","",IF($L485="","",IF(AND($K485=1,ISNUMBER($L485),$L485&lt;$J485,COUNTIFS(nrES_PID,$D485,nrES_Code,$F485,nrES_Att,2,nrES_Raw,"&gt;=0")=0),"Yes","No")))</f>
        <v/>
      </c>
      <c r="R485" s="17">
        <f>IF($C485="","",IF($L485="","",IF(AND($K485=2,ISNUMBER($L485),$L485&lt;$J485),"Yes","No")))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OR($C485="",$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RANGE",IF(COUNTIF(nrES_RecID,$B485)&gt;1,"DUPLICATE RECORD",IF(AND($K485=2,COUNTIFS(nrES_PID,$D485,nrES_Code,$F485,nrES_Att,1)=0),"ATTEMPT 2 WITHOUT ATTEMPT 1",IF(AND($K485=2,$L485=""),"RETEST ROW HAS NO SCORE",IF(AND($H485="Final",$L485&lt;&gt;"",IFERROR(INDEX(nrCKfinalExamElig,MATCH($D485,rngCadetPIDs,0)),"")="No"),"FINAL EXAM AFTER FAILED FINAL PT (500.1.H)","OK")))))))</f>
        <v/>
      </c>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IF($C486="","",IF($K486="","",IF(COUNTIFS(nrES_PID,$D486,nrES_Code,$F486,nrES_Att,"&gt;"&amp;$K486,nrES_Raw,"&gt;=0")=0,"Yes","No")))</f>
        <v/>
      </c>
      <c r="Q486" s="17">
        <f>IF($C486="","",IF($L486="","",IF(AND($K486=1,ISNUMBER($L486),$L486&lt;$J486,COUNTIFS(nrES_PID,$D486,nrES_Code,$F486,nrES_Att,2,nrES_Raw,"&gt;=0")=0),"Yes","No")))</f>
        <v/>
      </c>
      <c r="R486" s="17">
        <f>IF($C486="","",IF($L486="","",IF(AND($K486=2,ISNUMBER($L486),$L486&lt;$J486),"Yes","No")))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OR($C486="",$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RANGE",IF(COUNTIF(nrES_RecID,$B486)&gt;1,"DUPLICATE RECORD",IF(AND($K486=2,COUNTIFS(nrES_PID,$D486,nrES_Code,$F486,nrES_Att,1)=0),"ATTEMPT 2 WITHOUT ATTEMPT 1",IF(AND($K486=2,$L486=""),"RETEST ROW HAS NO SCORE",IF(AND($H486="Final",$L486&lt;&gt;"",IFERROR(INDEX(nrCKfinalExamElig,MATCH($D486,rngCadetPIDs,0)),"")="No"),"FINAL EXAM AFTER FAILED FINAL PT (500.1.H)","OK")))))))</f>
        <v/>
      </c>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IF($C487="","",IF($K487="","",IF(COUNTIFS(nrES_PID,$D487,nrES_Code,$F487,nrES_Att,"&gt;"&amp;$K487,nrES_Raw,"&gt;=0")=0,"Yes","No")))</f>
        <v/>
      </c>
      <c r="Q487" s="17">
        <f>IF($C487="","",IF($L487="","",IF(AND($K487=1,ISNUMBER($L487),$L487&lt;$J487,COUNTIFS(nrES_PID,$D487,nrES_Code,$F487,nrES_Att,2,nrES_Raw,"&gt;=0")=0),"Yes","No")))</f>
        <v/>
      </c>
      <c r="R487" s="17">
        <f>IF($C487="","",IF($L487="","",IF(AND($K487=2,ISNUMBER($L487),$L487&lt;$J487),"Yes","No")))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OR($C487="",$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RANGE",IF(COUNTIF(nrES_RecID,$B487)&gt;1,"DUPLICATE RECORD",IF(AND($K487=2,COUNTIFS(nrES_PID,$D487,nrES_Code,$F487,nrES_Att,1)=0),"ATTEMPT 2 WITHOUT ATTEMPT 1",IF(AND($K487=2,$L487=""),"RETEST ROW HAS NO SCORE",IF(AND($H487="Final",$L487&lt;&gt;"",IFERROR(INDEX(nrCKfinalExamElig,MATCH($D487,rngCadetPIDs,0)),"")="No"),"FINAL EXAM AFTER FAILED FINAL PT (500.1.H)","OK")))))))</f>
        <v/>
      </c>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IF($C488="","",IF($K488="","",IF(COUNTIFS(nrES_PID,$D488,nrES_Code,$F488,nrES_Att,"&gt;"&amp;$K488,nrES_Raw,"&gt;=0")=0,"Yes","No")))</f>
        <v/>
      </c>
      <c r="Q488" s="17">
        <f>IF($C488="","",IF($L488="","",IF(AND($K488=1,ISNUMBER($L488),$L488&lt;$J488,COUNTIFS(nrES_PID,$D488,nrES_Code,$F488,nrES_Att,2,nrES_Raw,"&gt;=0")=0),"Yes","No")))</f>
        <v/>
      </c>
      <c r="R488" s="17">
        <f>IF($C488="","",IF($L488="","",IF(AND($K488=2,ISNUMBER($L488),$L488&lt;$J488),"Yes","No")))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OR($C488="",$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RANGE",IF(COUNTIF(nrES_RecID,$B488)&gt;1,"DUPLICATE RECORD",IF(AND($K488=2,COUNTIFS(nrES_PID,$D488,nrES_Code,$F488,nrES_Att,1)=0),"ATTEMPT 2 WITHOUT ATTEMPT 1",IF(AND($K488=2,$L488=""),"RETEST ROW HAS NO SCORE",IF(AND($H488="Final",$L488&lt;&gt;"",IFERROR(INDEX(nrCKfinalExamElig,MATCH($D488,rngCadetPIDs,0)),"")="No"),"FINAL EXAM AFTER FAILED FINAL PT (500.1.H)","OK")))))))</f>
        <v/>
      </c>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IF($C489="","",IF($K489="","",IF(COUNTIFS(nrES_PID,$D489,nrES_Code,$F489,nrES_Att,"&gt;"&amp;$K489,nrES_Raw,"&gt;=0")=0,"Yes","No")))</f>
        <v/>
      </c>
      <c r="Q489" s="17">
        <f>IF($C489="","",IF($L489="","",IF(AND($K489=1,ISNUMBER($L489),$L489&lt;$J489,COUNTIFS(nrES_PID,$D489,nrES_Code,$F489,nrES_Att,2,nrES_Raw,"&gt;=0")=0),"Yes","No")))</f>
        <v/>
      </c>
      <c r="R489" s="17">
        <f>IF($C489="","",IF($L489="","",IF(AND($K489=2,ISNUMBER($L489),$L489&lt;$J489),"Yes","No")))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OR($C489="",$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RANGE",IF(COUNTIF(nrES_RecID,$B489)&gt;1,"DUPLICATE RECORD",IF(AND($K489=2,COUNTIFS(nrES_PID,$D489,nrES_Code,$F489,nrES_Att,1)=0),"ATTEMPT 2 WITHOUT ATTEMPT 1",IF(AND($K489=2,$L489=""),"RETEST ROW HAS NO SCORE",IF(AND($H489="Final",$L489&lt;&gt;"",IFERROR(INDEX(nrCKfinalExamElig,MATCH($D489,rngCadetPIDs,0)),"")="No"),"FINAL EXAM AFTER FAILED FINAL PT (500.1.H)","OK")))))))</f>
        <v/>
      </c>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IF($C490="","",IF($K490="","",IF(COUNTIFS(nrES_PID,$D490,nrES_Code,$F490,nrES_Att,"&gt;"&amp;$K490,nrES_Raw,"&gt;=0")=0,"Yes","No")))</f>
        <v/>
      </c>
      <c r="Q490" s="17">
        <f>IF($C490="","",IF($L490="","",IF(AND($K490=1,ISNUMBER($L490),$L490&lt;$J490,COUNTIFS(nrES_PID,$D490,nrES_Code,$F490,nrES_Att,2,nrES_Raw,"&gt;=0")=0),"Yes","No")))</f>
        <v/>
      </c>
      <c r="R490" s="17">
        <f>IF($C490="","",IF($L490="","",IF(AND($K490=2,ISNUMBER($L490),$L490&lt;$J490),"Yes","No")))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OR($C490="",$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RANGE",IF(COUNTIF(nrES_RecID,$B490)&gt;1,"DUPLICATE RECORD",IF(AND($K490=2,COUNTIFS(nrES_PID,$D490,nrES_Code,$F490,nrES_Att,1)=0),"ATTEMPT 2 WITHOUT ATTEMPT 1",IF(AND($K490=2,$L490=""),"RETEST ROW HAS NO SCORE",IF(AND($H490="Final",$L490&lt;&gt;"",IFERROR(INDEX(nrCKfinalExamElig,MATCH($D490,rngCadetPIDs,0)),"")="No"),"FINAL EXAM AFTER FAILED FINAL PT (500.1.H)","OK")))))))</f>
        <v/>
      </c>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IF($C491="","",IF($K491="","",IF(COUNTIFS(nrES_PID,$D491,nrES_Code,$F491,nrES_Att,"&gt;"&amp;$K491,nrES_Raw,"&gt;=0")=0,"Yes","No")))</f>
        <v/>
      </c>
      <c r="Q491" s="17">
        <f>IF($C491="","",IF($L491="","",IF(AND($K491=1,ISNUMBER($L491),$L491&lt;$J491,COUNTIFS(nrES_PID,$D491,nrES_Code,$F491,nrES_Att,2,nrES_Raw,"&gt;=0")=0),"Yes","No")))</f>
        <v/>
      </c>
      <c r="R491" s="17">
        <f>IF($C491="","",IF($L491="","",IF(AND($K491=2,ISNUMBER($L491),$L491&lt;$J491),"Yes","No")))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OR($C491="",$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RANGE",IF(COUNTIF(nrES_RecID,$B491)&gt;1,"DUPLICATE RECORD",IF(AND($K491=2,COUNTIFS(nrES_PID,$D491,nrES_Code,$F491,nrES_Att,1)=0),"ATTEMPT 2 WITHOUT ATTEMPT 1",IF(AND($K491=2,$L491=""),"RETEST ROW HAS NO SCORE",IF(AND($H491="Final",$L491&lt;&gt;"",IFERROR(INDEX(nrCKfinalExamElig,MATCH($D491,rngCadetPIDs,0)),"")="No"),"FINAL EXAM AFTER FAILED FINAL PT (500.1.H)","OK")))))))</f>
        <v/>
      </c>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IF($C492="","",IF($K492="","",IF(COUNTIFS(nrES_PID,$D492,nrES_Code,$F492,nrES_Att,"&gt;"&amp;$K492,nrES_Raw,"&gt;=0")=0,"Yes","No")))</f>
        <v/>
      </c>
      <c r="Q492" s="17">
        <f>IF($C492="","",IF($L492="","",IF(AND($K492=1,ISNUMBER($L492),$L492&lt;$J492,COUNTIFS(nrES_PID,$D492,nrES_Code,$F492,nrES_Att,2,nrES_Raw,"&gt;=0")=0),"Yes","No")))</f>
        <v/>
      </c>
      <c r="R492" s="17">
        <f>IF($C492="","",IF($L492="","",IF(AND($K492=2,ISNUMBER($L492),$L492&lt;$J492),"Yes","No")))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OR($C492="",$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RANGE",IF(COUNTIF(nrES_RecID,$B492)&gt;1,"DUPLICATE RECORD",IF(AND($K492=2,COUNTIFS(nrES_PID,$D492,nrES_Code,$F492,nrES_Att,1)=0),"ATTEMPT 2 WITHOUT ATTEMPT 1",IF(AND($K492=2,$L492=""),"RETEST ROW HAS NO SCORE",IF(AND($H492="Final",$L492&lt;&gt;"",IFERROR(INDEX(nrCKfinalExamElig,MATCH($D492,rngCadetPIDs,0)),"")="No"),"FINAL EXAM AFTER FAILED FINAL PT (500.1.H)","OK")))))))</f>
        <v/>
      </c>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IF($C493="","",IF($K493="","",IF(COUNTIFS(nrES_PID,$D493,nrES_Code,$F493,nrES_Att,"&gt;"&amp;$K493,nrES_Raw,"&gt;=0")=0,"Yes","No")))</f>
        <v/>
      </c>
      <c r="Q493" s="17">
        <f>IF($C493="","",IF($L493="","",IF(AND($K493=1,ISNUMBER($L493),$L493&lt;$J493,COUNTIFS(nrES_PID,$D493,nrES_Code,$F493,nrES_Att,2,nrES_Raw,"&gt;=0")=0),"Yes","No")))</f>
        <v/>
      </c>
      <c r="R493" s="17">
        <f>IF($C493="","",IF($L493="","",IF(AND($K493=2,ISNUMBER($L493),$L493&lt;$J493),"Yes","No")))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OR($C493="",$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RANGE",IF(COUNTIF(nrES_RecID,$B493)&gt;1,"DUPLICATE RECORD",IF(AND($K493=2,COUNTIFS(nrES_PID,$D493,nrES_Code,$F493,nrES_Att,1)=0),"ATTEMPT 2 WITHOUT ATTEMPT 1",IF(AND($K493=2,$L493=""),"RETEST ROW HAS NO SCORE",IF(AND($H493="Final",$L493&lt;&gt;"",IFERROR(INDEX(nrCKfinalExamElig,MATCH($D493,rngCadetPIDs,0)),"")="No"),"FINAL EXAM AFTER FAILED FINAL PT (500.1.H)","OK")))))))</f>
        <v/>
      </c>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IF($C494="","",IF($K494="","",IF(COUNTIFS(nrES_PID,$D494,nrES_Code,$F494,nrES_Att,"&gt;"&amp;$K494,nrES_Raw,"&gt;=0")=0,"Yes","No")))</f>
        <v/>
      </c>
      <c r="Q494" s="17">
        <f>IF($C494="","",IF($L494="","",IF(AND($K494=1,ISNUMBER($L494),$L494&lt;$J494,COUNTIFS(nrES_PID,$D494,nrES_Code,$F494,nrES_Att,2,nrES_Raw,"&gt;=0")=0),"Yes","No")))</f>
        <v/>
      </c>
      <c r="R494" s="17">
        <f>IF($C494="","",IF($L494="","",IF(AND($K494=2,ISNUMBER($L494),$L494&lt;$J494),"Yes","No")))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OR($C494="",$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RANGE",IF(COUNTIF(nrES_RecID,$B494)&gt;1,"DUPLICATE RECORD",IF(AND($K494=2,COUNTIFS(nrES_PID,$D494,nrES_Code,$F494,nrES_Att,1)=0),"ATTEMPT 2 WITHOUT ATTEMPT 1",IF(AND($K494=2,$L494=""),"RETEST ROW HAS NO SCORE",IF(AND($H494="Final",$L494&lt;&gt;"",IFERROR(INDEX(nrCKfinalExamElig,MATCH($D494,rngCadetPIDs,0)),"")="No"),"FINAL EXAM AFTER FAILED FINAL PT (500.1.H)","OK")))))))</f>
        <v/>
      </c>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IF($C495="","",IF($K495="","",IF(COUNTIFS(nrES_PID,$D495,nrES_Code,$F495,nrES_Att,"&gt;"&amp;$K495,nrES_Raw,"&gt;=0")=0,"Yes","No")))</f>
        <v/>
      </c>
      <c r="Q495" s="17">
        <f>IF($C495="","",IF($L495="","",IF(AND($K495=1,ISNUMBER($L495),$L495&lt;$J495,COUNTIFS(nrES_PID,$D495,nrES_Code,$F495,nrES_Att,2,nrES_Raw,"&gt;=0")=0),"Yes","No")))</f>
        <v/>
      </c>
      <c r="R495" s="17">
        <f>IF($C495="","",IF($L495="","",IF(AND($K495=2,ISNUMBER($L495),$L495&lt;$J495),"Yes","No")))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OR($C495="",$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RANGE",IF(COUNTIF(nrES_RecID,$B495)&gt;1,"DUPLICATE RECORD",IF(AND($K495=2,COUNTIFS(nrES_PID,$D495,nrES_Code,$F495,nrES_Att,1)=0),"ATTEMPT 2 WITHOUT ATTEMPT 1",IF(AND($K495=2,$L495=""),"RETEST ROW HAS NO SCORE",IF(AND($H495="Final",$L495&lt;&gt;"",IFERROR(INDEX(nrCKfinalExamElig,MATCH($D495,rngCadetPIDs,0)),"")="No"),"FINAL EXAM AFTER FAILED FINAL PT (500.1.H)","OK")))))))</f>
        <v/>
      </c>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IF($C496="","",IF($K496="","",IF(COUNTIFS(nrES_PID,$D496,nrES_Code,$F496,nrES_Att,"&gt;"&amp;$K496,nrES_Raw,"&gt;=0")=0,"Yes","No")))</f>
        <v/>
      </c>
      <c r="Q496" s="17">
        <f>IF($C496="","",IF($L496="","",IF(AND($K496=1,ISNUMBER($L496),$L496&lt;$J496,COUNTIFS(nrES_PID,$D496,nrES_Code,$F496,nrES_Att,2,nrES_Raw,"&gt;=0")=0),"Yes","No")))</f>
        <v/>
      </c>
      <c r="R496" s="17">
        <f>IF($C496="","",IF($L496="","",IF(AND($K496=2,ISNUMBER($L496),$L496&lt;$J496),"Yes","No")))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OR($C496="",$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RANGE",IF(COUNTIF(nrES_RecID,$B496)&gt;1,"DUPLICATE RECORD",IF(AND($K496=2,COUNTIFS(nrES_PID,$D496,nrES_Code,$F496,nrES_Att,1)=0),"ATTEMPT 2 WITHOUT ATTEMPT 1",IF(AND($K496=2,$L496=""),"RETEST ROW HAS NO SCORE",IF(AND($H496="Final",$L496&lt;&gt;"",IFERROR(INDEX(nrCKfinalExamElig,MATCH($D496,rngCadetPIDs,0)),"")="No"),"FINAL EXAM AFTER FAILED FINAL PT (500.1.H)","OK")))))))</f>
        <v/>
      </c>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IF($C497="","",IF($K497="","",IF(COUNTIFS(nrES_PID,$D497,nrES_Code,$F497,nrES_Att,"&gt;"&amp;$K497,nrES_Raw,"&gt;=0")=0,"Yes","No")))</f>
        <v/>
      </c>
      <c r="Q497" s="17">
        <f>IF($C497="","",IF($L497="","",IF(AND($K497=1,ISNUMBER($L497),$L497&lt;$J497,COUNTIFS(nrES_PID,$D497,nrES_Code,$F497,nrES_Att,2,nrES_Raw,"&gt;=0")=0),"Yes","No")))</f>
        <v/>
      </c>
      <c r="R497" s="17">
        <f>IF($C497="","",IF($L497="","",IF(AND($K497=2,ISNUMBER($L497),$L497&lt;$J497),"Yes","No")))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OR($C497="",$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RANGE",IF(COUNTIF(nrES_RecID,$B497)&gt;1,"DUPLICATE RECORD",IF(AND($K497=2,COUNTIFS(nrES_PID,$D497,nrES_Code,$F497,nrES_Att,1)=0),"ATTEMPT 2 WITHOUT ATTEMPT 1",IF(AND($K497=2,$L497=""),"RETEST ROW HAS NO SCORE",IF(AND($H497="Final",$L497&lt;&gt;"",IFERROR(INDEX(nrCKfinalExamElig,MATCH($D497,rngCadetPIDs,0)),"")="No"),"FINAL EXAM AFTER FAILED FINAL PT (500.1.H)","OK")))))))</f>
        <v/>
      </c>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IF($C498="","",IF($K498="","",IF(COUNTIFS(nrES_PID,$D498,nrES_Code,$F498,nrES_Att,"&gt;"&amp;$K498,nrES_Raw,"&gt;=0")=0,"Yes","No")))</f>
        <v/>
      </c>
      <c r="Q498" s="17">
        <f>IF($C498="","",IF($L498="","",IF(AND($K498=1,ISNUMBER($L498),$L498&lt;$J498,COUNTIFS(nrES_PID,$D498,nrES_Code,$F498,nrES_Att,2,nrES_Raw,"&gt;=0")=0),"Yes","No")))</f>
        <v/>
      </c>
      <c r="R498" s="17">
        <f>IF($C498="","",IF($L498="","",IF(AND($K498=2,ISNUMBER($L498),$L498&lt;$J498),"Yes","No")))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OR($C498="",$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RANGE",IF(COUNTIF(nrES_RecID,$B498)&gt;1,"DUPLICATE RECORD",IF(AND($K498=2,COUNTIFS(nrES_PID,$D498,nrES_Code,$F498,nrES_Att,1)=0),"ATTEMPT 2 WITHOUT ATTEMPT 1",IF(AND($K498=2,$L498=""),"RETEST ROW HAS NO SCORE",IF(AND($H498="Final",$L498&lt;&gt;"",IFERROR(INDEX(nrCKfinalExamElig,MATCH($D498,rngCadetPIDs,0)),"")="No"),"FINAL EXAM AFTER FAILED FINAL PT (500.1.H)","OK")))))))</f>
        <v/>
      </c>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IF($C499="","",IF($K499="","",IF(COUNTIFS(nrES_PID,$D499,nrES_Code,$F499,nrES_Att,"&gt;"&amp;$K499,nrES_Raw,"&gt;=0")=0,"Yes","No")))</f>
        <v/>
      </c>
      <c r="Q499" s="17">
        <f>IF($C499="","",IF($L499="","",IF(AND($K499=1,ISNUMBER($L499),$L499&lt;$J499,COUNTIFS(nrES_PID,$D499,nrES_Code,$F499,nrES_Att,2,nrES_Raw,"&gt;=0")=0),"Yes","No")))</f>
        <v/>
      </c>
      <c r="R499" s="17">
        <f>IF($C499="","",IF($L499="","",IF(AND($K499=2,ISNUMBER($L499),$L499&lt;$J499),"Yes","No")))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OR($C499="",$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RANGE",IF(COUNTIF(nrES_RecID,$B499)&gt;1,"DUPLICATE RECORD",IF(AND($K499=2,COUNTIFS(nrES_PID,$D499,nrES_Code,$F499,nrES_Att,1)=0),"ATTEMPT 2 WITHOUT ATTEMPT 1",IF(AND($K499=2,$L499=""),"RETEST ROW HAS NO SCORE",IF(AND($H499="Final",$L499&lt;&gt;"",IFERROR(INDEX(nrCKfinalExamElig,MATCH($D499,rngCadetPIDs,0)),"")="No"),"FINAL EXAM AFTER FAILED FINAL PT (500.1.H)","OK")))))))</f>
        <v/>
      </c>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IF($C500="","",IF($K500="","",IF(COUNTIFS(nrES_PID,$D500,nrES_Code,$F500,nrES_Att,"&gt;"&amp;$K500,nrES_Raw,"&gt;=0")=0,"Yes","No")))</f>
        <v/>
      </c>
      <c r="Q500" s="17">
        <f>IF($C500="","",IF($L500="","",IF(AND($K500=1,ISNUMBER($L500),$L500&lt;$J500,COUNTIFS(nrES_PID,$D500,nrES_Code,$F500,nrES_Att,2,nrES_Raw,"&gt;=0")=0),"Yes","No")))</f>
        <v/>
      </c>
      <c r="R500" s="17">
        <f>IF($C500="","",IF($L500="","",IF(AND($K500=2,ISNUMBER($L500),$L500&lt;$J500),"Yes","No")))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OR($C500="",$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RANGE",IF(COUNTIF(nrES_RecID,$B500)&gt;1,"DUPLICATE RECORD",IF(AND($K500=2,COUNTIFS(nrES_PID,$D500,nrES_Code,$F500,nrES_Att,1)=0),"ATTEMPT 2 WITHOUT ATTEMPT 1",IF(AND($K500=2,$L500=""),"RETEST ROW HAS NO SCORE",IF(AND($H500="Final",$L500&lt;&gt;"",IFERROR(INDEX(nrCKfinalExamElig,MATCH($D500,rngCadetPIDs,0)),"")="No"),"FINAL EXAM AFTER FAILED FINAL PT (500.1.H)","OK")))))))</f>
        <v/>
      </c>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IF($C501="","",IF($K501="","",IF(COUNTIFS(nrES_PID,$D501,nrES_Code,$F501,nrES_Att,"&gt;"&amp;$K501,nrES_Raw,"&gt;=0")=0,"Yes","No")))</f>
        <v/>
      </c>
      <c r="Q501" s="17">
        <f>IF($C501="","",IF($L501="","",IF(AND($K501=1,ISNUMBER($L501),$L501&lt;$J501,COUNTIFS(nrES_PID,$D501,nrES_Code,$F501,nrES_Att,2,nrES_Raw,"&gt;=0")=0),"Yes","No")))</f>
        <v/>
      </c>
      <c r="R501" s="17">
        <f>IF($C501="","",IF($L501="","",IF(AND($K501=2,ISNUMBER($L501),$L501&lt;$J501),"Yes","No")))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OR($C501="",$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RANGE",IF(COUNTIF(nrES_RecID,$B501)&gt;1,"DUPLICATE RECORD",IF(AND($K501=2,COUNTIFS(nrES_PID,$D501,nrES_Code,$F501,nrES_Att,1)=0),"ATTEMPT 2 WITHOUT ATTEMPT 1",IF(AND($K501=2,$L501=""),"RETEST ROW HAS NO SCORE",IF(AND($H501="Final",$L501&lt;&gt;"",IFERROR(INDEX(nrCKfinalExamElig,MATCH($D501,rngCadetPIDs,0)),"")="No"),"FINAL EXAM AFTER FAILED FINAL PT (500.1.H)","OK")))))))</f>
        <v/>
      </c>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IF($C502="","",IF($K502="","",IF(COUNTIFS(nrES_PID,$D502,nrES_Code,$F502,nrES_Att,"&gt;"&amp;$K502,nrES_Raw,"&gt;=0")=0,"Yes","No")))</f>
        <v/>
      </c>
      <c r="Q502" s="17">
        <f>IF($C502="","",IF($L502="","",IF(AND($K502=1,ISNUMBER($L502),$L502&lt;$J502,COUNTIFS(nrES_PID,$D502,nrES_Code,$F502,nrES_Att,2,nrES_Raw,"&gt;=0")=0),"Yes","No")))</f>
        <v/>
      </c>
      <c r="R502" s="17">
        <f>IF($C502="","",IF($L502="","",IF(AND($K502=2,ISNUMBER($L502),$L502&lt;$J502),"Yes","No")))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OR($C502="",$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RANGE",IF(COUNTIF(nrES_RecID,$B502)&gt;1,"DUPLICATE RECORD",IF(AND($K502=2,COUNTIFS(nrES_PID,$D502,nrES_Code,$F502,nrES_Att,1)=0),"ATTEMPT 2 WITHOUT ATTEMPT 1",IF(AND($K502=2,$L502=""),"RETEST ROW HAS NO SCORE",IF(AND($H502="Final",$L502&lt;&gt;"",IFERROR(INDEX(nrCKfinalExamElig,MATCH($D502,rngCadetPIDs,0)),"")="No"),"FINAL EXAM AFTER FAILED FINAL PT (500.1.H)","OK")))))))</f>
        <v/>
      </c>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IF($C503="","",IF($K503="","",IF(COUNTIFS(nrES_PID,$D503,nrES_Code,$F503,nrES_Att,"&gt;"&amp;$K503,nrES_Raw,"&gt;=0")=0,"Yes","No")))</f>
        <v/>
      </c>
      <c r="Q503" s="17">
        <f>IF($C503="","",IF($L503="","",IF(AND($K503=1,ISNUMBER($L503),$L503&lt;$J503,COUNTIFS(nrES_PID,$D503,nrES_Code,$F503,nrES_Att,2,nrES_Raw,"&gt;=0")=0),"Yes","No")))</f>
        <v/>
      </c>
      <c r="R503" s="17">
        <f>IF($C503="","",IF($L503="","",IF(AND($K503=2,ISNUMBER($L503),$L503&lt;$J503),"Yes","No")))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OR($C503="",$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RANGE",IF(COUNTIF(nrES_RecID,$B503)&gt;1,"DUPLICATE RECORD",IF(AND($K503=2,COUNTIFS(nrES_PID,$D503,nrES_Code,$F503,nrES_Att,1)=0),"ATTEMPT 2 WITHOUT ATTEMPT 1",IF(AND($K503=2,$L503=""),"RETEST ROW HAS NO SCORE",IF(AND($H503="Final",$L503&lt;&gt;"",IFERROR(INDEX(nrCKfinalExamElig,MATCH($D503,rngCadetPIDs,0)),"")="No"),"FINAL EXAM AFTER FAILED FINAL PT (500.1.H)","OK")))))))</f>
        <v/>
      </c>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IF($C504="","",IF($K504="","",IF(COUNTIFS(nrES_PID,$D504,nrES_Code,$F504,nrES_Att,"&gt;"&amp;$K504,nrES_Raw,"&gt;=0")=0,"Yes","No")))</f>
        <v/>
      </c>
      <c r="Q504" s="17">
        <f>IF($C504="","",IF($L504="","",IF(AND($K504=1,ISNUMBER($L504),$L504&lt;$J504,COUNTIFS(nrES_PID,$D504,nrES_Code,$F504,nrES_Att,2,nrES_Raw,"&gt;=0")=0),"Yes","No")))</f>
        <v/>
      </c>
      <c r="R504" s="17">
        <f>IF($C504="","",IF($L504="","",IF(AND($K504=2,ISNUMBER($L504),$L504&lt;$J504),"Yes","No")))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OR($C504="",$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RANGE",IF(COUNTIF(nrES_RecID,$B504)&gt;1,"DUPLICATE RECORD",IF(AND($K504=2,COUNTIFS(nrES_PID,$D504,nrES_Code,$F504,nrES_Att,1)=0),"ATTEMPT 2 WITHOUT ATTEMPT 1",IF(AND($K504=2,$L504=""),"RETEST ROW HAS NO SCORE",IF(AND($H504="Final",$L504&lt;&gt;"",IFERROR(INDEX(nrCKfinalExamElig,MATCH($D504,rngCadetPIDs,0)),"")="No"),"FINAL EXAM AFTER FAILED FINAL PT (500.1.H)","OK")))))))</f>
        <v/>
      </c>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IF($C505="","",IF($K505="","",IF(COUNTIFS(nrES_PID,$D505,nrES_Code,$F505,nrES_Att,"&gt;"&amp;$K505,nrES_Raw,"&gt;=0")=0,"Yes","No")))</f>
        <v/>
      </c>
      <c r="Q505" s="17">
        <f>IF($C505="","",IF($L505="","",IF(AND($K505=1,ISNUMBER($L505),$L505&lt;$J505,COUNTIFS(nrES_PID,$D505,nrES_Code,$F505,nrES_Att,2,nrES_Raw,"&gt;=0")=0),"Yes","No")))</f>
        <v/>
      </c>
      <c r="R505" s="17">
        <f>IF($C505="","",IF($L505="","",IF(AND($K505=2,ISNUMBER($L505),$L505&lt;$J505),"Yes","No")))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OR($C505="",$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RANGE",IF(COUNTIF(nrES_RecID,$B505)&gt;1,"DUPLICATE RECORD",IF(AND($K505=2,COUNTIFS(nrES_PID,$D505,nrES_Code,$F505,nrES_Att,1)=0),"ATTEMPT 2 WITHOUT ATTEMPT 1",IF(AND($K505=2,$L505=""),"RETEST ROW HAS NO SCORE",IF(AND($H505="Final",$L505&lt;&gt;"",IFERROR(INDEX(nrCKfinalExamElig,MATCH($D505,rngCadetPIDs,0)),"")="No"),"FINAL EXAM AFTER FAILED FINAL PT (500.1.H)","OK")))))))</f>
        <v/>
      </c>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IF($C506="","",IF($K506="","",IF(COUNTIFS(nrES_PID,$D506,nrES_Code,$F506,nrES_Att,"&gt;"&amp;$K506,nrES_Raw,"&gt;=0")=0,"Yes","No")))</f>
        <v/>
      </c>
      <c r="Q506" s="17">
        <f>IF($C506="","",IF($L506="","",IF(AND($K506=1,ISNUMBER($L506),$L506&lt;$J506,COUNTIFS(nrES_PID,$D506,nrES_Code,$F506,nrES_Att,2,nrES_Raw,"&gt;=0")=0),"Yes","No")))</f>
        <v/>
      </c>
      <c r="R506" s="17">
        <f>IF($C506="","",IF($L506="","",IF(AND($K506=2,ISNUMBER($L506),$L506&lt;$J506),"Yes","No")))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OR($C506="",$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RANGE",IF(COUNTIF(nrES_RecID,$B506)&gt;1,"DUPLICATE RECORD",IF(AND($K506=2,COUNTIFS(nrES_PID,$D506,nrES_Code,$F506,nrES_Att,1)=0),"ATTEMPT 2 WITHOUT ATTEMPT 1",IF(AND($K506=2,$L506=""),"RETEST ROW HAS NO SCORE",IF(AND($H506="Final",$L506&lt;&gt;"",IFERROR(INDEX(nrCKfinalExamElig,MATCH($D506,rngCadetPIDs,0)),"")="No"),"FINAL EXAM AFTER FAILED FINAL PT (500.1.H)","OK")))))))</f>
        <v/>
      </c>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IF($C507="","",IF($K507="","",IF(COUNTIFS(nrES_PID,$D507,nrES_Code,$F507,nrES_Att,"&gt;"&amp;$K507,nrES_Raw,"&gt;=0")=0,"Yes","No")))</f>
        <v/>
      </c>
      <c r="Q507" s="17">
        <f>IF($C507="","",IF($L507="","",IF(AND($K507=1,ISNUMBER($L507),$L507&lt;$J507,COUNTIFS(nrES_PID,$D507,nrES_Code,$F507,nrES_Att,2,nrES_Raw,"&gt;=0")=0),"Yes","No")))</f>
        <v/>
      </c>
      <c r="R507" s="17">
        <f>IF($C507="","",IF($L507="","",IF(AND($K507=2,ISNUMBER($L507),$L507&lt;$J507),"Yes","No")))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OR($C507="",$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RANGE",IF(COUNTIF(nrES_RecID,$B507)&gt;1,"DUPLICATE RECORD",IF(AND($K507=2,COUNTIFS(nrES_PID,$D507,nrES_Code,$F507,nrES_Att,1)=0),"ATTEMPT 2 WITHOUT ATTEMPT 1",IF(AND($K507=2,$L507=""),"RETEST ROW HAS NO SCORE",IF(AND($H507="Final",$L507&lt;&gt;"",IFERROR(INDEX(nrCKfinalExamElig,MATCH($D507,rngCadetPIDs,0)),"")="No"),"FINAL EXAM AFTER FAILED FINAL PT (500.1.H)","OK")))))))</f>
        <v/>
      </c>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IF($C508="","",IF($K508="","",IF(COUNTIFS(nrES_PID,$D508,nrES_Code,$F508,nrES_Att,"&gt;"&amp;$K508,nrES_Raw,"&gt;=0")=0,"Yes","No")))</f>
        <v/>
      </c>
      <c r="Q508" s="17">
        <f>IF($C508="","",IF($L508="","",IF(AND($K508=1,ISNUMBER($L508),$L508&lt;$J508,COUNTIFS(nrES_PID,$D508,nrES_Code,$F508,nrES_Att,2,nrES_Raw,"&gt;=0")=0),"Yes","No")))</f>
        <v/>
      </c>
      <c r="R508" s="17">
        <f>IF($C508="","",IF($L508="","",IF(AND($K508=2,ISNUMBER($L508),$L508&lt;$J508),"Yes","No")))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OR($C508="",$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RANGE",IF(COUNTIF(nrES_RecID,$B508)&gt;1,"DUPLICATE RECORD",IF(AND($K508=2,COUNTIFS(nrES_PID,$D508,nrES_Code,$F508,nrES_Att,1)=0),"ATTEMPT 2 WITHOUT ATTEMPT 1",IF(AND($K508=2,$L508=""),"RETEST ROW HAS NO SCORE",IF(AND($H508="Final",$L508&lt;&gt;"",IFERROR(INDEX(nrCKfinalExamElig,MATCH($D508,rngCadetPIDs,0)),"")="No"),"FINAL EXAM AFTER FAILED FINAL PT (500.1.H)","OK")))))))</f>
        <v/>
      </c>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IF($C509="","",IF($K509="","",IF(COUNTIFS(nrES_PID,$D509,nrES_Code,$F509,nrES_Att,"&gt;"&amp;$K509,nrES_Raw,"&gt;=0")=0,"Yes","No")))</f>
        <v/>
      </c>
      <c r="Q509" s="17">
        <f>IF($C509="","",IF($L509="","",IF(AND($K509=1,ISNUMBER($L509),$L509&lt;$J509,COUNTIFS(nrES_PID,$D509,nrES_Code,$F509,nrES_Att,2,nrES_Raw,"&gt;=0")=0),"Yes","No")))</f>
        <v/>
      </c>
      <c r="R509" s="17">
        <f>IF($C509="","",IF($L509="","",IF(AND($K509=2,ISNUMBER($L509),$L509&lt;$J509),"Yes","No")))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OR($C509="",$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RANGE",IF(COUNTIF(nrES_RecID,$B509)&gt;1,"DUPLICATE RECORD",IF(AND($K509=2,COUNTIFS(nrES_PID,$D509,nrES_Code,$F509,nrES_Att,1)=0),"ATTEMPT 2 WITHOUT ATTEMPT 1",IF(AND($K509=2,$L509=""),"RETEST ROW HAS NO SCORE",IF(AND($H509="Final",$L509&lt;&gt;"",IFERROR(INDEX(nrCKfinalExamElig,MATCH($D509,rngCadetPIDs,0)),"")="No"),"FINAL EXAM AFTER FAILED FINAL PT (500.1.H)","OK")))))))</f>
        <v/>
      </c>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IF($C510="","",IF($K510="","",IF(COUNTIFS(nrES_PID,$D510,nrES_Code,$F510,nrES_Att,"&gt;"&amp;$K510,nrES_Raw,"&gt;=0")=0,"Yes","No")))</f>
        <v/>
      </c>
      <c r="Q510" s="17">
        <f>IF($C510="","",IF($L510="","",IF(AND($K510=1,ISNUMBER($L510),$L510&lt;$J510,COUNTIFS(nrES_PID,$D510,nrES_Code,$F510,nrES_Att,2,nrES_Raw,"&gt;=0")=0),"Yes","No")))</f>
        <v/>
      </c>
      <c r="R510" s="17">
        <f>IF($C510="","",IF($L510="","",IF(AND($K510=2,ISNUMBER($L510),$L510&lt;$J510),"Yes","No")))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OR($C510="",$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RANGE",IF(COUNTIF(nrES_RecID,$B510)&gt;1,"DUPLICATE RECORD",IF(AND($K510=2,COUNTIFS(nrES_PID,$D510,nrES_Code,$F510,nrES_Att,1)=0),"ATTEMPT 2 WITHOUT ATTEMPT 1",IF(AND($K510=2,$L510=""),"RETEST ROW HAS NO SCORE",IF(AND($H510="Final",$L510&lt;&gt;"",IFERROR(INDEX(nrCKfinalExamElig,MATCH($D510,rngCadetPIDs,0)),"")="No"),"FINAL EXAM AFTER FAILED FINAL PT (500.1.H)","OK")))))))</f>
        <v/>
      </c>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IF($C511="","",IF($K511="","",IF(COUNTIFS(nrES_PID,$D511,nrES_Code,$F511,nrES_Att,"&gt;"&amp;$K511,nrES_Raw,"&gt;=0")=0,"Yes","No")))</f>
        <v/>
      </c>
      <c r="Q511" s="17">
        <f>IF($C511="","",IF($L511="","",IF(AND($K511=1,ISNUMBER($L511),$L511&lt;$J511,COUNTIFS(nrES_PID,$D511,nrES_Code,$F511,nrES_Att,2,nrES_Raw,"&gt;=0")=0),"Yes","No")))</f>
        <v/>
      </c>
      <c r="R511" s="17">
        <f>IF($C511="","",IF($L511="","",IF(AND($K511=2,ISNUMBER($L511),$L511&lt;$J511),"Yes","No")))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OR($C511="",$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RANGE",IF(COUNTIF(nrES_RecID,$B511)&gt;1,"DUPLICATE RECORD",IF(AND($K511=2,COUNTIFS(nrES_PID,$D511,nrES_Code,$F511,nrES_Att,1)=0),"ATTEMPT 2 WITHOUT ATTEMPT 1",IF(AND($K511=2,$L511=""),"RETEST ROW HAS NO SCORE",IF(AND($H511="Final",$L511&lt;&gt;"",IFERROR(INDEX(nrCKfinalExamElig,MATCH($D511,rngCadetPIDs,0)),"")="No"),"FINAL EXAM AFTER FAILED FINAL PT (500.1.H)","OK")))))))</f>
        <v/>
      </c>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IF($C512="","",IF($K512="","",IF(COUNTIFS(nrES_PID,$D512,nrES_Code,$F512,nrES_Att,"&gt;"&amp;$K512,nrES_Raw,"&gt;=0")=0,"Yes","No")))</f>
        <v/>
      </c>
      <c r="Q512" s="17">
        <f>IF($C512="","",IF($L512="","",IF(AND($K512=1,ISNUMBER($L512),$L512&lt;$J512,COUNTIFS(nrES_PID,$D512,nrES_Code,$F512,nrES_Att,2,nrES_Raw,"&gt;=0")=0),"Yes","No")))</f>
        <v/>
      </c>
      <c r="R512" s="17">
        <f>IF($C512="","",IF($L512="","",IF(AND($K512=2,ISNUMBER($L512),$L512&lt;$J512),"Yes","No")))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OR($C512="",$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RANGE",IF(COUNTIF(nrES_RecID,$B512)&gt;1,"DUPLICATE RECORD",IF(AND($K512=2,COUNTIFS(nrES_PID,$D512,nrES_Code,$F512,nrES_Att,1)=0),"ATTEMPT 2 WITHOUT ATTEMPT 1",IF(AND($K512=2,$L512=""),"RETEST ROW HAS NO SCORE",IF(AND($H512="Final",$L512&lt;&gt;"",IFERROR(INDEX(nrCKfinalExamElig,MATCH($D512,rngCadetPIDs,0)),"")="No"),"FINAL EXAM AFTER FAILED FINAL PT (500.1.H)","OK")))))))</f>
        <v/>
      </c>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IF($C513="","",IF($K513="","",IF(COUNTIFS(nrES_PID,$D513,nrES_Code,$F513,nrES_Att,"&gt;"&amp;$K513,nrES_Raw,"&gt;=0")=0,"Yes","No")))</f>
        <v/>
      </c>
      <c r="Q513" s="17">
        <f>IF($C513="","",IF($L513="","",IF(AND($K513=1,ISNUMBER($L513),$L513&lt;$J513,COUNTIFS(nrES_PID,$D513,nrES_Code,$F513,nrES_Att,2,nrES_Raw,"&gt;=0")=0),"Yes","No")))</f>
        <v/>
      </c>
      <c r="R513" s="17">
        <f>IF($C513="","",IF($L513="","",IF(AND($K513=2,ISNUMBER($L513),$L513&lt;$J513),"Yes","No")))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OR($C513="",$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RANGE",IF(COUNTIF(nrES_RecID,$B513)&gt;1,"DUPLICATE RECORD",IF(AND($K513=2,COUNTIFS(nrES_PID,$D513,nrES_Code,$F513,nrES_Att,1)=0),"ATTEMPT 2 WITHOUT ATTEMPT 1",IF(AND($K513=2,$L513=""),"RETEST ROW HAS NO SCORE",IF(AND($H513="Final",$L513&lt;&gt;"",IFERROR(INDEX(nrCKfinalExamElig,MATCH($D513,rngCadetPIDs,0)),"")="No"),"FINAL EXAM AFTER FAILED FINAL PT (500.1.H)","OK")))))))</f>
        <v/>
      </c>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IF($C514="","",IF($K514="","",IF(COUNTIFS(nrES_PID,$D514,nrES_Code,$F514,nrES_Att,"&gt;"&amp;$K514,nrES_Raw,"&gt;=0")=0,"Yes","No")))</f>
        <v/>
      </c>
      <c r="Q514" s="17">
        <f>IF($C514="","",IF($L514="","",IF(AND($K514=1,ISNUMBER($L514),$L514&lt;$J514,COUNTIFS(nrES_PID,$D514,nrES_Code,$F514,nrES_Att,2,nrES_Raw,"&gt;=0")=0),"Yes","No")))</f>
        <v/>
      </c>
      <c r="R514" s="17">
        <f>IF($C514="","",IF($L514="","",IF(AND($K514=2,ISNUMBER($L514),$L514&lt;$J514),"Yes","No")))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OR($C514="",$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RANGE",IF(COUNTIF(nrES_RecID,$B514)&gt;1,"DUPLICATE RECORD",IF(AND($K514=2,COUNTIFS(nrES_PID,$D514,nrES_Code,$F514,nrES_Att,1)=0),"ATTEMPT 2 WITHOUT ATTEMPT 1",IF(AND($K514=2,$L514=""),"RETEST ROW HAS NO SCORE",IF(AND($H514="Final",$L514&lt;&gt;"",IFERROR(INDEX(nrCKfinalExamElig,MATCH($D514,rngCadetPIDs,0)),"")="No"),"FINAL EXAM AFTER FAILED FINAL PT (500.1.H)","OK")))))))</f>
        <v/>
      </c>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IF($C515="","",IF($K515="","",IF(COUNTIFS(nrES_PID,$D515,nrES_Code,$F515,nrES_Att,"&gt;"&amp;$K515,nrES_Raw,"&gt;=0")=0,"Yes","No")))</f>
        <v/>
      </c>
      <c r="Q515" s="17">
        <f>IF($C515="","",IF($L515="","",IF(AND($K515=1,ISNUMBER($L515),$L515&lt;$J515,COUNTIFS(nrES_PID,$D515,nrES_Code,$F515,nrES_Att,2,nrES_Raw,"&gt;=0")=0),"Yes","No")))</f>
        <v/>
      </c>
      <c r="R515" s="17">
        <f>IF($C515="","",IF($L515="","",IF(AND($K515=2,ISNUMBER($L515),$L515&lt;$J515),"Yes","No")))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OR($C515="",$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RANGE",IF(COUNTIF(nrES_RecID,$B515)&gt;1,"DUPLICATE RECORD",IF(AND($K515=2,COUNTIFS(nrES_PID,$D515,nrES_Code,$F515,nrES_Att,1)=0),"ATTEMPT 2 WITHOUT ATTEMPT 1",IF(AND($K515=2,$L515=""),"RETEST ROW HAS NO SCORE",IF(AND($H515="Final",$L515&lt;&gt;"",IFERROR(INDEX(nrCKfinalExamElig,MATCH($D515,rngCadetPIDs,0)),"")="No"),"FINAL EXAM AFTER FAILED FINAL PT (500.1.H)","OK")))))))</f>
        <v/>
      </c>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IF($C516="","",IF($K516="","",IF(COUNTIFS(nrES_PID,$D516,nrES_Code,$F516,nrES_Att,"&gt;"&amp;$K516,nrES_Raw,"&gt;=0")=0,"Yes","No")))</f>
        <v/>
      </c>
      <c r="Q516" s="17">
        <f>IF($C516="","",IF($L516="","",IF(AND($K516=1,ISNUMBER($L516),$L516&lt;$J516,COUNTIFS(nrES_PID,$D516,nrES_Code,$F516,nrES_Att,2,nrES_Raw,"&gt;=0")=0),"Yes","No")))</f>
        <v/>
      </c>
      <c r="R516" s="17">
        <f>IF($C516="","",IF($L516="","",IF(AND($K516=2,ISNUMBER($L516),$L516&lt;$J516),"Yes","No")))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OR($C516="",$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RANGE",IF(COUNTIF(nrES_RecID,$B516)&gt;1,"DUPLICATE RECORD",IF(AND($K516=2,COUNTIFS(nrES_PID,$D516,nrES_Code,$F516,nrES_Att,1)=0),"ATTEMPT 2 WITHOUT ATTEMPT 1",IF(AND($K516=2,$L516=""),"RETEST ROW HAS NO SCORE",IF(AND($H516="Final",$L516&lt;&gt;"",IFERROR(INDEX(nrCKfinalExamElig,MATCH($D516,rngCadetPIDs,0)),"")="No"),"FINAL EXAM AFTER FAILED FINAL PT (500.1.H)","OK")))))))</f>
        <v/>
      </c>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IF($C517="","",IF($K517="","",IF(COUNTIFS(nrES_PID,$D517,nrES_Code,$F517,nrES_Att,"&gt;"&amp;$K517,nrES_Raw,"&gt;=0")=0,"Yes","No")))</f>
        <v/>
      </c>
      <c r="Q517" s="17">
        <f>IF($C517="","",IF($L517="","",IF(AND($K517=1,ISNUMBER($L517),$L517&lt;$J517,COUNTIFS(nrES_PID,$D517,nrES_Code,$F517,nrES_Att,2,nrES_Raw,"&gt;=0")=0),"Yes","No")))</f>
        <v/>
      </c>
      <c r="R517" s="17">
        <f>IF($C517="","",IF($L517="","",IF(AND($K517=2,ISNUMBER($L517),$L517&lt;$J517),"Yes","No")))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OR($C517="",$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RANGE",IF(COUNTIF(nrES_RecID,$B517)&gt;1,"DUPLICATE RECORD",IF(AND($K517=2,COUNTIFS(nrES_PID,$D517,nrES_Code,$F517,nrES_Att,1)=0),"ATTEMPT 2 WITHOUT ATTEMPT 1",IF(AND($K517=2,$L517=""),"RETEST ROW HAS NO SCORE",IF(AND($H517="Final",$L517&lt;&gt;"",IFERROR(INDEX(nrCKfinalExamElig,MATCH($D517,rngCadetPIDs,0)),"")="No"),"FINAL EXAM AFTER FAILED FINAL PT (500.1.H)","OK")))))))</f>
        <v/>
      </c>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IF($C518="","",IF($K518="","",IF(COUNTIFS(nrES_PID,$D518,nrES_Code,$F518,nrES_Att,"&gt;"&amp;$K518,nrES_Raw,"&gt;=0")=0,"Yes","No")))</f>
        <v/>
      </c>
      <c r="Q518" s="17">
        <f>IF($C518="","",IF($L518="","",IF(AND($K518=1,ISNUMBER($L518),$L518&lt;$J518,COUNTIFS(nrES_PID,$D518,nrES_Code,$F518,nrES_Att,2,nrES_Raw,"&gt;=0")=0),"Yes","No")))</f>
        <v/>
      </c>
      <c r="R518" s="17">
        <f>IF($C518="","",IF($L518="","",IF(AND($K518=2,ISNUMBER($L518),$L518&lt;$J518),"Yes","No")))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OR($C518="",$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RANGE",IF(COUNTIF(nrES_RecID,$B518)&gt;1,"DUPLICATE RECORD",IF(AND($K518=2,COUNTIFS(nrES_PID,$D518,nrES_Code,$F518,nrES_Att,1)=0),"ATTEMPT 2 WITHOUT ATTEMPT 1",IF(AND($K518=2,$L518=""),"RETEST ROW HAS NO SCORE",IF(AND($H518="Final",$L518&lt;&gt;"",IFERROR(INDEX(nrCKfinalExamElig,MATCH($D518,rngCadetPIDs,0)),"")="No"),"FINAL EXAM AFTER FAILED FINAL PT (500.1.H)","OK")))))))</f>
        <v/>
      </c>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IF($C519="","",IF($K519="","",IF(COUNTIFS(nrES_PID,$D519,nrES_Code,$F519,nrES_Att,"&gt;"&amp;$K519,nrES_Raw,"&gt;=0")=0,"Yes","No")))</f>
        <v/>
      </c>
      <c r="Q519" s="17">
        <f>IF($C519="","",IF($L519="","",IF(AND($K519=1,ISNUMBER($L519),$L519&lt;$J519,COUNTIFS(nrES_PID,$D519,nrES_Code,$F519,nrES_Att,2,nrES_Raw,"&gt;=0")=0),"Yes","No")))</f>
        <v/>
      </c>
      <c r="R519" s="17">
        <f>IF($C519="","",IF($L519="","",IF(AND($K519=2,ISNUMBER($L519),$L519&lt;$J519),"Yes","No")))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OR($C519="",$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RANGE",IF(COUNTIF(nrES_RecID,$B519)&gt;1,"DUPLICATE RECORD",IF(AND($K519=2,COUNTIFS(nrES_PID,$D519,nrES_Code,$F519,nrES_Att,1)=0),"ATTEMPT 2 WITHOUT ATTEMPT 1",IF(AND($K519=2,$L519=""),"RETEST ROW HAS NO SCORE",IF(AND($H519="Final",$L519&lt;&gt;"",IFERROR(INDEX(nrCKfinalExamElig,MATCH($D519,rngCadetPIDs,0)),"")="No"),"FINAL EXAM AFTER FAILED FINAL PT (500.1.H)","OK")))))))</f>
        <v/>
      </c>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IF($C520="","",IF($K520="","",IF(COUNTIFS(nrES_PID,$D520,nrES_Code,$F520,nrES_Att,"&gt;"&amp;$K520,nrES_Raw,"&gt;=0")=0,"Yes","No")))</f>
        <v/>
      </c>
      <c r="Q520" s="17">
        <f>IF($C520="","",IF($L520="","",IF(AND($K520=1,ISNUMBER($L520),$L520&lt;$J520,COUNTIFS(nrES_PID,$D520,nrES_Code,$F520,nrES_Att,2,nrES_Raw,"&gt;=0")=0),"Yes","No")))</f>
        <v/>
      </c>
      <c r="R520" s="17">
        <f>IF($C520="","",IF($L520="","",IF(AND($K520=2,ISNUMBER($L520),$L520&lt;$J520),"Yes","No")))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OR($C520="",$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RANGE",IF(COUNTIF(nrES_RecID,$B520)&gt;1,"DUPLICATE RECORD",IF(AND($K520=2,COUNTIFS(nrES_PID,$D520,nrES_Code,$F520,nrES_Att,1)=0),"ATTEMPT 2 WITHOUT ATTEMPT 1",IF(AND($K520=2,$L520=""),"RETEST ROW HAS NO SCORE",IF(AND($H520="Final",$L520&lt;&gt;"",IFERROR(INDEX(nrCKfinalExamElig,MATCH($D520,rngCadetPIDs,0)),"")="No"),"FINAL EXAM AFTER FAILED FINAL PT (500.1.H)","OK")))))))</f>
        <v/>
      </c>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IF($C521="","",IF($K521="","",IF(COUNTIFS(nrES_PID,$D521,nrES_Code,$F521,nrES_Att,"&gt;"&amp;$K521,nrES_Raw,"&gt;=0")=0,"Yes","No")))</f>
        <v/>
      </c>
      <c r="Q521" s="17">
        <f>IF($C521="","",IF($L521="","",IF(AND($K521=1,ISNUMBER($L521),$L521&lt;$J521,COUNTIFS(nrES_PID,$D521,nrES_Code,$F521,nrES_Att,2,nrES_Raw,"&gt;=0")=0),"Yes","No")))</f>
        <v/>
      </c>
      <c r="R521" s="17">
        <f>IF($C521="","",IF($L521="","",IF(AND($K521=2,ISNUMBER($L521),$L521&lt;$J521),"Yes","No")))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OR($C521="",$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RANGE",IF(COUNTIF(nrES_RecID,$B521)&gt;1,"DUPLICATE RECORD",IF(AND($K521=2,COUNTIFS(nrES_PID,$D521,nrES_Code,$F521,nrES_Att,1)=0),"ATTEMPT 2 WITHOUT ATTEMPT 1",IF(AND($K521=2,$L521=""),"RETEST ROW HAS NO SCORE",IF(AND($H521="Final",$L521&lt;&gt;"",IFERROR(INDEX(nrCKfinalExamElig,MATCH($D521,rngCadetPIDs,0)),"")="No"),"FINAL EXAM AFTER FAILED FINAL PT (500.1.H)","OK")))))))</f>
        <v/>
      </c>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IF($C522="","",IF($K522="","",IF(COUNTIFS(nrES_PID,$D522,nrES_Code,$F522,nrES_Att,"&gt;"&amp;$K522,nrES_Raw,"&gt;=0")=0,"Yes","No")))</f>
        <v/>
      </c>
      <c r="Q522" s="17">
        <f>IF($C522="","",IF($L522="","",IF(AND($K522=1,ISNUMBER($L522),$L522&lt;$J522,COUNTIFS(nrES_PID,$D522,nrES_Code,$F522,nrES_Att,2,nrES_Raw,"&gt;=0")=0),"Yes","No")))</f>
        <v/>
      </c>
      <c r="R522" s="17">
        <f>IF($C522="","",IF($L522="","",IF(AND($K522=2,ISNUMBER($L522),$L522&lt;$J522),"Yes","No")))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OR($C522="",$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RANGE",IF(COUNTIF(nrES_RecID,$B522)&gt;1,"DUPLICATE RECORD",IF(AND($K522=2,COUNTIFS(nrES_PID,$D522,nrES_Code,$F522,nrES_Att,1)=0),"ATTEMPT 2 WITHOUT ATTEMPT 1",IF(AND($K522=2,$L522=""),"RETEST ROW HAS NO SCORE",IF(AND($H522="Final",$L522&lt;&gt;"",IFERROR(INDEX(nrCKfinalExamElig,MATCH($D522,rngCadetPIDs,0)),"")="No"),"FINAL EXAM AFTER FAILED FINAL PT (500.1.H)","OK")))))))</f>
        <v/>
      </c>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IF($C523="","",IF($K523="","",IF(COUNTIFS(nrES_PID,$D523,nrES_Code,$F523,nrES_Att,"&gt;"&amp;$K523,nrES_Raw,"&gt;=0")=0,"Yes","No")))</f>
        <v/>
      </c>
      <c r="Q523" s="17">
        <f>IF($C523="","",IF($L523="","",IF(AND($K523=1,ISNUMBER($L523),$L523&lt;$J523,COUNTIFS(nrES_PID,$D523,nrES_Code,$F523,nrES_Att,2,nrES_Raw,"&gt;=0")=0),"Yes","No")))</f>
        <v/>
      </c>
      <c r="R523" s="17">
        <f>IF($C523="","",IF($L523="","",IF(AND($K523=2,ISNUMBER($L523),$L523&lt;$J523),"Yes","No")))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OR($C523="",$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RANGE",IF(COUNTIF(nrES_RecID,$B523)&gt;1,"DUPLICATE RECORD",IF(AND($K523=2,COUNTIFS(nrES_PID,$D523,nrES_Code,$F523,nrES_Att,1)=0),"ATTEMPT 2 WITHOUT ATTEMPT 1",IF(AND($K523=2,$L523=""),"RETEST ROW HAS NO SCORE",IF(AND($H523="Final",$L523&lt;&gt;"",IFERROR(INDEX(nrCKfinalExamElig,MATCH($D523,rngCadetPIDs,0)),"")="No"),"FINAL EXAM AFTER FAILED FINAL PT (500.1.H)","OK")))))))</f>
        <v/>
      </c>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IF($C524="","",IF($K524="","",IF(COUNTIFS(nrES_PID,$D524,nrES_Code,$F524,nrES_Att,"&gt;"&amp;$K524,nrES_Raw,"&gt;=0")=0,"Yes","No")))</f>
        <v/>
      </c>
      <c r="Q524" s="17">
        <f>IF($C524="","",IF($L524="","",IF(AND($K524=1,ISNUMBER($L524),$L524&lt;$J524,COUNTIFS(nrES_PID,$D524,nrES_Code,$F524,nrES_Att,2,nrES_Raw,"&gt;=0")=0),"Yes","No")))</f>
        <v/>
      </c>
      <c r="R524" s="17">
        <f>IF($C524="","",IF($L524="","",IF(AND($K524=2,ISNUMBER($L524),$L524&lt;$J524),"Yes","No")))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OR($C524="",$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RANGE",IF(COUNTIF(nrES_RecID,$B524)&gt;1,"DUPLICATE RECORD",IF(AND($K524=2,COUNTIFS(nrES_PID,$D524,nrES_Code,$F524,nrES_Att,1)=0),"ATTEMPT 2 WITHOUT ATTEMPT 1",IF(AND($K524=2,$L524=""),"RETEST ROW HAS NO SCORE",IF(AND($H524="Final",$L524&lt;&gt;"",IFERROR(INDEX(nrCKfinalExamElig,MATCH($D524,rngCadetPIDs,0)),"")="No"),"FINAL EXAM AFTER FAILED FINAL PT (500.1.H)","OK")))))))</f>
        <v/>
      </c>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IF($C525="","",IF($K525="","",IF(COUNTIFS(nrES_PID,$D525,nrES_Code,$F525,nrES_Att,"&gt;"&amp;$K525,nrES_Raw,"&gt;=0")=0,"Yes","No")))</f>
        <v/>
      </c>
      <c r="Q525" s="17">
        <f>IF($C525="","",IF($L525="","",IF(AND($K525=1,ISNUMBER($L525),$L525&lt;$J525,COUNTIFS(nrES_PID,$D525,nrES_Code,$F525,nrES_Att,2,nrES_Raw,"&gt;=0")=0),"Yes","No")))</f>
        <v/>
      </c>
      <c r="R525" s="17">
        <f>IF($C525="","",IF($L525="","",IF(AND($K525=2,ISNUMBER($L525),$L525&lt;$J525),"Yes","No")))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OR($C525="",$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RANGE",IF(COUNTIF(nrES_RecID,$B525)&gt;1,"DUPLICATE RECORD",IF(AND($K525=2,COUNTIFS(nrES_PID,$D525,nrES_Code,$F525,nrES_Att,1)=0),"ATTEMPT 2 WITHOUT ATTEMPT 1",IF(AND($K525=2,$L525=""),"RETEST ROW HAS NO SCORE",IF(AND($H525="Final",$L525&lt;&gt;"",IFERROR(INDEX(nrCKfinalExamElig,MATCH($D525,rngCadetPIDs,0)),"")="No"),"FINAL EXAM AFTER FAILED FINAL PT (500.1.H)","OK")))))))</f>
        <v/>
      </c>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IF($C526="","",IF($K526="","",IF(COUNTIFS(nrES_PID,$D526,nrES_Code,$F526,nrES_Att,"&gt;"&amp;$K526,nrES_Raw,"&gt;=0")=0,"Yes","No")))</f>
        <v/>
      </c>
      <c r="Q526" s="17">
        <f>IF($C526="","",IF($L526="","",IF(AND($K526=1,ISNUMBER($L526),$L526&lt;$J526,COUNTIFS(nrES_PID,$D526,nrES_Code,$F526,nrES_Att,2,nrES_Raw,"&gt;=0")=0),"Yes","No")))</f>
        <v/>
      </c>
      <c r="R526" s="17">
        <f>IF($C526="","",IF($L526="","",IF(AND($K526=2,ISNUMBER($L526),$L526&lt;$J526),"Yes","No")))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OR($C526="",$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RANGE",IF(COUNTIF(nrES_RecID,$B526)&gt;1,"DUPLICATE RECORD",IF(AND($K526=2,COUNTIFS(nrES_PID,$D526,nrES_Code,$F526,nrES_Att,1)=0),"ATTEMPT 2 WITHOUT ATTEMPT 1",IF(AND($K526=2,$L526=""),"RETEST ROW HAS NO SCORE",IF(AND($H526="Final",$L526&lt;&gt;"",IFERROR(INDEX(nrCKfinalExamElig,MATCH($D526,rngCadetPIDs,0)),"")="No"),"FINAL EXAM AFTER FAILED FINAL PT (500.1.H)","OK")))))))</f>
        <v/>
      </c>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IF($C527="","",IF($K527="","",IF(COUNTIFS(nrES_PID,$D527,nrES_Code,$F527,nrES_Att,"&gt;"&amp;$K527,nrES_Raw,"&gt;=0")=0,"Yes","No")))</f>
        <v/>
      </c>
      <c r="Q527" s="17">
        <f>IF($C527="","",IF($L527="","",IF(AND($K527=1,ISNUMBER($L527),$L527&lt;$J527,COUNTIFS(nrES_PID,$D527,nrES_Code,$F527,nrES_Att,2,nrES_Raw,"&gt;=0")=0),"Yes","No")))</f>
        <v/>
      </c>
      <c r="R527" s="17">
        <f>IF($C527="","",IF($L527="","",IF(AND($K527=2,ISNUMBER($L527),$L527&lt;$J527),"Yes","No")))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OR($C527="",$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RANGE",IF(COUNTIF(nrES_RecID,$B527)&gt;1,"DUPLICATE RECORD",IF(AND($K527=2,COUNTIFS(nrES_PID,$D527,nrES_Code,$F527,nrES_Att,1)=0),"ATTEMPT 2 WITHOUT ATTEMPT 1",IF(AND($K527=2,$L527=""),"RETEST ROW HAS NO SCORE",IF(AND($H527="Final",$L527&lt;&gt;"",IFERROR(INDEX(nrCKfinalExamElig,MATCH($D527,rngCadetPIDs,0)),"")="No"),"FINAL EXAM AFTER FAILED FINAL PT (500.1.H)","OK")))))))</f>
        <v/>
      </c>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IF($C528="","",IF($K528="","",IF(COUNTIFS(nrES_PID,$D528,nrES_Code,$F528,nrES_Att,"&gt;"&amp;$K528,nrES_Raw,"&gt;=0")=0,"Yes","No")))</f>
        <v/>
      </c>
      <c r="Q528" s="17">
        <f>IF($C528="","",IF($L528="","",IF(AND($K528=1,ISNUMBER($L528),$L528&lt;$J528,COUNTIFS(nrES_PID,$D528,nrES_Code,$F528,nrES_Att,2,nrES_Raw,"&gt;=0")=0),"Yes","No")))</f>
        <v/>
      </c>
      <c r="R528" s="17">
        <f>IF($C528="","",IF($L528="","",IF(AND($K528=2,ISNUMBER($L528),$L528&lt;$J528),"Yes","No")))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OR($C528="",$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RANGE",IF(COUNTIF(nrES_RecID,$B528)&gt;1,"DUPLICATE RECORD",IF(AND($K528=2,COUNTIFS(nrES_PID,$D528,nrES_Code,$F528,nrES_Att,1)=0),"ATTEMPT 2 WITHOUT ATTEMPT 1",IF(AND($K528=2,$L528=""),"RETEST ROW HAS NO SCORE",IF(AND($H528="Final",$L528&lt;&gt;"",IFERROR(INDEX(nrCKfinalExamElig,MATCH($D528,rngCadetPIDs,0)),"")="No"),"FINAL EXAM AFTER FAILED FINAL PT (500.1.H)","OK")))))))</f>
        <v/>
      </c>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IF($C529="","",IF($K529="","",IF(COUNTIFS(nrES_PID,$D529,nrES_Code,$F529,nrES_Att,"&gt;"&amp;$K529,nrES_Raw,"&gt;=0")=0,"Yes","No")))</f>
        <v/>
      </c>
      <c r="Q529" s="17">
        <f>IF($C529="","",IF($L529="","",IF(AND($K529=1,ISNUMBER($L529),$L529&lt;$J529,COUNTIFS(nrES_PID,$D529,nrES_Code,$F529,nrES_Att,2,nrES_Raw,"&gt;=0")=0),"Yes","No")))</f>
        <v/>
      </c>
      <c r="R529" s="17">
        <f>IF($C529="","",IF($L529="","",IF(AND($K529=2,ISNUMBER($L529),$L529&lt;$J529),"Yes","No")))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OR($C529="",$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RANGE",IF(COUNTIF(nrES_RecID,$B529)&gt;1,"DUPLICATE RECORD",IF(AND($K529=2,COUNTIFS(nrES_PID,$D529,nrES_Code,$F529,nrES_Att,1)=0),"ATTEMPT 2 WITHOUT ATTEMPT 1",IF(AND($K529=2,$L529=""),"RETEST ROW HAS NO SCORE",IF(AND($H529="Final",$L529&lt;&gt;"",IFERROR(INDEX(nrCKfinalExamElig,MATCH($D529,rngCadetPIDs,0)),"")="No"),"FINAL EXAM AFTER FAILED FINAL PT (500.1.H)","OK")))))))</f>
        <v/>
      </c>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IF($C530="","",IF($K530="","",IF(COUNTIFS(nrES_PID,$D530,nrES_Code,$F530,nrES_Att,"&gt;"&amp;$K530,nrES_Raw,"&gt;=0")=0,"Yes","No")))</f>
        <v/>
      </c>
      <c r="Q530" s="17">
        <f>IF($C530="","",IF($L530="","",IF(AND($K530=1,ISNUMBER($L530),$L530&lt;$J530,COUNTIFS(nrES_PID,$D530,nrES_Code,$F530,nrES_Att,2,nrES_Raw,"&gt;=0")=0),"Yes","No")))</f>
        <v/>
      </c>
      <c r="R530" s="17">
        <f>IF($C530="","",IF($L530="","",IF(AND($K530=2,ISNUMBER($L530),$L530&lt;$J530),"Yes","No")))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OR($C530="",$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RANGE",IF(COUNTIF(nrES_RecID,$B530)&gt;1,"DUPLICATE RECORD",IF(AND($K530=2,COUNTIFS(nrES_PID,$D530,nrES_Code,$F530,nrES_Att,1)=0),"ATTEMPT 2 WITHOUT ATTEMPT 1",IF(AND($K530=2,$L530=""),"RETEST ROW HAS NO SCORE",IF(AND($H530="Final",$L530&lt;&gt;"",IFERROR(INDEX(nrCKfinalExamElig,MATCH($D530,rngCadetPIDs,0)),"")="No"),"FINAL EXAM AFTER FAILED FINAL PT (500.1.H)","OK")))))))</f>
        <v/>
      </c>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IF($C531="","",IF($K531="","",IF(COUNTIFS(nrES_PID,$D531,nrES_Code,$F531,nrES_Att,"&gt;"&amp;$K531,nrES_Raw,"&gt;=0")=0,"Yes","No")))</f>
        <v/>
      </c>
      <c r="Q531" s="17">
        <f>IF($C531="","",IF($L531="","",IF(AND($K531=1,ISNUMBER($L531),$L531&lt;$J531,COUNTIFS(nrES_PID,$D531,nrES_Code,$F531,nrES_Att,2,nrES_Raw,"&gt;=0")=0),"Yes","No")))</f>
        <v/>
      </c>
      <c r="R531" s="17">
        <f>IF($C531="","",IF($L531="","",IF(AND($K531=2,ISNUMBER($L531),$L531&lt;$J531),"Yes","No")))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OR($C531="",$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RANGE",IF(COUNTIF(nrES_RecID,$B531)&gt;1,"DUPLICATE RECORD",IF(AND($K531=2,COUNTIFS(nrES_PID,$D531,nrES_Code,$F531,nrES_Att,1)=0),"ATTEMPT 2 WITHOUT ATTEMPT 1",IF(AND($K531=2,$L531=""),"RETEST ROW HAS NO SCORE",IF(AND($H531="Final",$L531&lt;&gt;"",IFERROR(INDEX(nrCKfinalExamElig,MATCH($D531,rngCadetPIDs,0)),"")="No"),"FINAL EXAM AFTER FAILED FINAL PT (500.1.H)","OK")))))))</f>
        <v/>
      </c>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IF($C532="","",IF($K532="","",IF(COUNTIFS(nrES_PID,$D532,nrES_Code,$F532,nrES_Att,"&gt;"&amp;$K532,nrES_Raw,"&gt;=0")=0,"Yes","No")))</f>
        <v/>
      </c>
      <c r="Q532" s="17">
        <f>IF($C532="","",IF($L532="","",IF(AND($K532=1,ISNUMBER($L532),$L532&lt;$J532,COUNTIFS(nrES_PID,$D532,nrES_Code,$F532,nrES_Att,2,nrES_Raw,"&gt;=0")=0),"Yes","No")))</f>
        <v/>
      </c>
      <c r="R532" s="17">
        <f>IF($C532="","",IF($L532="","",IF(AND($K532=2,ISNUMBER($L532),$L532&lt;$J532),"Yes","No")))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OR($C532="",$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RANGE",IF(COUNTIF(nrES_RecID,$B532)&gt;1,"DUPLICATE RECORD",IF(AND($K532=2,COUNTIFS(nrES_PID,$D532,nrES_Code,$F532,nrES_Att,1)=0),"ATTEMPT 2 WITHOUT ATTEMPT 1",IF(AND($K532=2,$L532=""),"RETEST ROW HAS NO SCORE",IF(AND($H532="Final",$L532&lt;&gt;"",IFERROR(INDEX(nrCKfinalExamElig,MATCH($D532,rngCadetPIDs,0)),"")="No"),"FINAL EXAM AFTER FAILED FINAL PT (500.1.H)","OK")))))))</f>
        <v/>
      </c>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IF($C533="","",IF($K533="","",IF(COUNTIFS(nrES_PID,$D533,nrES_Code,$F533,nrES_Att,"&gt;"&amp;$K533,nrES_Raw,"&gt;=0")=0,"Yes","No")))</f>
        <v/>
      </c>
      <c r="Q533" s="17">
        <f>IF($C533="","",IF($L533="","",IF(AND($K533=1,ISNUMBER($L533),$L533&lt;$J533,COUNTIFS(nrES_PID,$D533,nrES_Code,$F533,nrES_Att,2,nrES_Raw,"&gt;=0")=0),"Yes","No")))</f>
        <v/>
      </c>
      <c r="R533" s="17">
        <f>IF($C533="","",IF($L533="","",IF(AND($K533=2,ISNUMBER($L533),$L533&lt;$J533),"Yes","No")))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OR($C533="",$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RANGE",IF(COUNTIF(nrES_RecID,$B533)&gt;1,"DUPLICATE RECORD",IF(AND($K533=2,COUNTIFS(nrES_PID,$D533,nrES_Code,$F533,nrES_Att,1)=0),"ATTEMPT 2 WITHOUT ATTEMPT 1",IF(AND($K533=2,$L533=""),"RETEST ROW HAS NO SCORE",IF(AND($H533="Final",$L533&lt;&gt;"",IFERROR(INDEX(nrCKfinalExamElig,MATCH($D533,rngCadetPIDs,0)),"")="No"),"FINAL EXAM AFTER FAILED FINAL PT (500.1.H)","OK")))))))</f>
        <v/>
      </c>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IF($C534="","",IF($K534="","",IF(COUNTIFS(nrES_PID,$D534,nrES_Code,$F534,nrES_Att,"&gt;"&amp;$K534,nrES_Raw,"&gt;=0")=0,"Yes","No")))</f>
        <v/>
      </c>
      <c r="Q534" s="17">
        <f>IF($C534="","",IF($L534="","",IF(AND($K534=1,ISNUMBER($L534),$L534&lt;$J534,COUNTIFS(nrES_PID,$D534,nrES_Code,$F534,nrES_Att,2,nrES_Raw,"&gt;=0")=0),"Yes","No")))</f>
        <v/>
      </c>
      <c r="R534" s="17">
        <f>IF($C534="","",IF($L534="","",IF(AND($K534=2,ISNUMBER($L534),$L534&lt;$J534),"Yes","No")))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OR($C534="",$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RANGE",IF(COUNTIF(nrES_RecID,$B534)&gt;1,"DUPLICATE RECORD",IF(AND($K534=2,COUNTIFS(nrES_PID,$D534,nrES_Code,$F534,nrES_Att,1)=0),"ATTEMPT 2 WITHOUT ATTEMPT 1",IF(AND($K534=2,$L534=""),"RETEST ROW HAS NO SCORE",IF(AND($H534="Final",$L534&lt;&gt;"",IFERROR(INDEX(nrCKfinalExamElig,MATCH($D534,rngCadetPIDs,0)),"")="No"),"FINAL EXAM AFTER FAILED FINAL PT (500.1.H)","OK")))))))</f>
        <v/>
      </c>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IF($C535="","",IF($K535="","",IF(COUNTIFS(nrES_PID,$D535,nrES_Code,$F535,nrES_Att,"&gt;"&amp;$K535,nrES_Raw,"&gt;=0")=0,"Yes","No")))</f>
        <v/>
      </c>
      <c r="Q535" s="17">
        <f>IF($C535="","",IF($L535="","",IF(AND($K535=1,ISNUMBER($L535),$L535&lt;$J535,COUNTIFS(nrES_PID,$D535,nrES_Code,$F535,nrES_Att,2,nrES_Raw,"&gt;=0")=0),"Yes","No")))</f>
        <v/>
      </c>
      <c r="R535" s="17">
        <f>IF($C535="","",IF($L535="","",IF(AND($K535=2,ISNUMBER($L535),$L535&lt;$J535),"Yes","No")))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OR($C535="",$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RANGE",IF(COUNTIF(nrES_RecID,$B535)&gt;1,"DUPLICATE RECORD",IF(AND($K535=2,COUNTIFS(nrES_PID,$D535,nrES_Code,$F535,nrES_Att,1)=0),"ATTEMPT 2 WITHOUT ATTEMPT 1",IF(AND($K535=2,$L535=""),"RETEST ROW HAS NO SCORE",IF(AND($H535="Final",$L535&lt;&gt;"",IFERROR(INDEX(nrCKfinalExamElig,MATCH($D535,rngCadetPIDs,0)),"")="No"),"FINAL EXAM AFTER FAILED FINAL PT (500.1.H)","OK")))))))</f>
        <v/>
      </c>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IF($C536="","",IF($K536="","",IF(COUNTIFS(nrES_PID,$D536,nrES_Code,$F536,nrES_Att,"&gt;"&amp;$K536,nrES_Raw,"&gt;=0")=0,"Yes","No")))</f>
        <v/>
      </c>
      <c r="Q536" s="17">
        <f>IF($C536="","",IF($L536="","",IF(AND($K536=1,ISNUMBER($L536),$L536&lt;$J536,COUNTIFS(nrES_PID,$D536,nrES_Code,$F536,nrES_Att,2,nrES_Raw,"&gt;=0")=0),"Yes","No")))</f>
        <v/>
      </c>
      <c r="R536" s="17">
        <f>IF($C536="","",IF($L536="","",IF(AND($K536=2,ISNUMBER($L536),$L536&lt;$J536),"Yes","No")))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OR($C536="",$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RANGE",IF(COUNTIF(nrES_RecID,$B536)&gt;1,"DUPLICATE RECORD",IF(AND($K536=2,COUNTIFS(nrES_PID,$D536,nrES_Code,$F536,nrES_Att,1)=0),"ATTEMPT 2 WITHOUT ATTEMPT 1",IF(AND($K536=2,$L536=""),"RETEST ROW HAS NO SCORE",IF(AND($H536="Final",$L536&lt;&gt;"",IFERROR(INDEX(nrCKfinalExamElig,MATCH($D536,rngCadetPIDs,0)),"")="No"),"FINAL EXAM AFTER FAILED FINAL PT (500.1.H)","OK")))))))</f>
        <v/>
      </c>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IF($C537="","",IF($K537="","",IF(COUNTIFS(nrES_PID,$D537,nrES_Code,$F537,nrES_Att,"&gt;"&amp;$K537,nrES_Raw,"&gt;=0")=0,"Yes","No")))</f>
        <v/>
      </c>
      <c r="Q537" s="17">
        <f>IF($C537="","",IF($L537="","",IF(AND($K537=1,ISNUMBER($L537),$L537&lt;$J537,COUNTIFS(nrES_PID,$D537,nrES_Code,$F537,nrES_Att,2,nrES_Raw,"&gt;=0")=0),"Yes","No")))</f>
        <v/>
      </c>
      <c r="R537" s="17">
        <f>IF($C537="","",IF($L537="","",IF(AND($K537=2,ISNUMBER($L537),$L537&lt;$J537),"Yes","No")))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OR($C537="",$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RANGE",IF(COUNTIF(nrES_RecID,$B537)&gt;1,"DUPLICATE RECORD",IF(AND($K537=2,COUNTIFS(nrES_PID,$D537,nrES_Code,$F537,nrES_Att,1)=0),"ATTEMPT 2 WITHOUT ATTEMPT 1",IF(AND($K537=2,$L537=""),"RETEST ROW HAS NO SCORE",IF(AND($H537="Final",$L537&lt;&gt;"",IFERROR(INDEX(nrCKfinalExamElig,MATCH($D537,rngCadetPIDs,0)),"")="No"),"FINAL EXAM AFTER FAILED FINAL PT (500.1.H)","OK")))))))</f>
        <v/>
      </c>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IF($C538="","",IF($K538="","",IF(COUNTIFS(nrES_PID,$D538,nrES_Code,$F538,nrES_Att,"&gt;"&amp;$K538,nrES_Raw,"&gt;=0")=0,"Yes","No")))</f>
        <v/>
      </c>
      <c r="Q538" s="17">
        <f>IF($C538="","",IF($L538="","",IF(AND($K538=1,ISNUMBER($L538),$L538&lt;$J538,COUNTIFS(nrES_PID,$D538,nrES_Code,$F538,nrES_Att,2,nrES_Raw,"&gt;=0")=0),"Yes","No")))</f>
        <v/>
      </c>
      <c r="R538" s="17">
        <f>IF($C538="","",IF($L538="","",IF(AND($K538=2,ISNUMBER($L538),$L538&lt;$J538),"Yes","No")))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OR($C538="",$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RANGE",IF(COUNTIF(nrES_RecID,$B538)&gt;1,"DUPLICATE RECORD",IF(AND($K538=2,COUNTIFS(nrES_PID,$D538,nrES_Code,$F538,nrES_Att,1)=0),"ATTEMPT 2 WITHOUT ATTEMPT 1",IF(AND($K538=2,$L538=""),"RETEST ROW HAS NO SCORE",IF(AND($H538="Final",$L538&lt;&gt;"",IFERROR(INDEX(nrCKfinalExamElig,MATCH($D538,rngCadetPIDs,0)),"")="No"),"FINAL EXAM AFTER FAILED FINAL PT (500.1.H)","OK")))))))</f>
        <v/>
      </c>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IF($C539="","",IF($K539="","",IF(COUNTIFS(nrES_PID,$D539,nrES_Code,$F539,nrES_Att,"&gt;"&amp;$K539,nrES_Raw,"&gt;=0")=0,"Yes","No")))</f>
        <v/>
      </c>
      <c r="Q539" s="17">
        <f>IF($C539="","",IF($L539="","",IF(AND($K539=1,ISNUMBER($L539),$L539&lt;$J539,COUNTIFS(nrES_PID,$D539,nrES_Code,$F539,nrES_Att,2,nrES_Raw,"&gt;=0")=0),"Yes","No")))</f>
        <v/>
      </c>
      <c r="R539" s="17">
        <f>IF($C539="","",IF($L539="","",IF(AND($K539=2,ISNUMBER($L539),$L539&lt;$J539),"Yes","No")))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OR($C539="",$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RANGE",IF(COUNTIF(nrES_RecID,$B539)&gt;1,"DUPLICATE RECORD",IF(AND($K539=2,COUNTIFS(nrES_PID,$D539,nrES_Code,$F539,nrES_Att,1)=0),"ATTEMPT 2 WITHOUT ATTEMPT 1",IF(AND($K539=2,$L539=""),"RETEST ROW HAS NO SCORE",IF(AND($H539="Final",$L539&lt;&gt;"",IFERROR(INDEX(nrCKfinalExamElig,MATCH($D539,rngCadetPIDs,0)),"")="No"),"FINAL EXAM AFTER FAILED FINAL PT (500.1.H)","OK")))))))</f>
        <v/>
      </c>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IF($C540="","",IF($K540="","",IF(COUNTIFS(nrES_PID,$D540,nrES_Code,$F540,nrES_Att,"&gt;"&amp;$K540,nrES_Raw,"&gt;=0")=0,"Yes","No")))</f>
        <v/>
      </c>
      <c r="Q540" s="17">
        <f>IF($C540="","",IF($L540="","",IF(AND($K540=1,ISNUMBER($L540),$L540&lt;$J540,COUNTIFS(nrES_PID,$D540,nrES_Code,$F540,nrES_Att,2,nrES_Raw,"&gt;=0")=0),"Yes","No")))</f>
        <v/>
      </c>
      <c r="R540" s="17">
        <f>IF($C540="","",IF($L540="","",IF(AND($K540=2,ISNUMBER($L540),$L540&lt;$J540),"Yes","No")))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OR($C540="",$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RANGE",IF(COUNTIF(nrES_RecID,$B540)&gt;1,"DUPLICATE RECORD",IF(AND($K540=2,COUNTIFS(nrES_PID,$D540,nrES_Code,$F540,nrES_Att,1)=0),"ATTEMPT 2 WITHOUT ATTEMPT 1",IF(AND($K540=2,$L540=""),"RETEST ROW HAS NO SCORE",IF(AND($H540="Final",$L540&lt;&gt;"",IFERROR(INDEX(nrCKfinalExamElig,MATCH($D540,rngCadetPIDs,0)),"")="No"),"FINAL EXAM AFTER FAILED FINAL PT (500.1.H)","OK")))))))</f>
        <v/>
      </c>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IF($C541="","",IF($K541="","",IF(COUNTIFS(nrES_PID,$D541,nrES_Code,$F541,nrES_Att,"&gt;"&amp;$K541,nrES_Raw,"&gt;=0")=0,"Yes","No")))</f>
        <v/>
      </c>
      <c r="Q541" s="17">
        <f>IF($C541="","",IF($L541="","",IF(AND($K541=1,ISNUMBER($L541),$L541&lt;$J541,COUNTIFS(nrES_PID,$D541,nrES_Code,$F541,nrES_Att,2,nrES_Raw,"&gt;=0")=0),"Yes","No")))</f>
        <v/>
      </c>
      <c r="R541" s="17">
        <f>IF($C541="","",IF($L541="","",IF(AND($K541=2,ISNUMBER($L541),$L541&lt;$J541),"Yes","No")))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OR($C541="",$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RANGE",IF(COUNTIF(nrES_RecID,$B541)&gt;1,"DUPLICATE RECORD",IF(AND($K541=2,COUNTIFS(nrES_PID,$D541,nrES_Code,$F541,nrES_Att,1)=0),"ATTEMPT 2 WITHOUT ATTEMPT 1",IF(AND($K541=2,$L541=""),"RETEST ROW HAS NO SCORE",IF(AND($H541="Final",$L541&lt;&gt;"",IFERROR(INDEX(nrCKfinalExamElig,MATCH($D541,rngCadetPIDs,0)),"")="No"),"FINAL EXAM AFTER FAILED FINAL PT (500.1.H)","OK")))))))</f>
        <v/>
      </c>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IF($C542="","",IF($K542="","",IF(COUNTIFS(nrES_PID,$D542,nrES_Code,$F542,nrES_Att,"&gt;"&amp;$K542,nrES_Raw,"&gt;=0")=0,"Yes","No")))</f>
        <v/>
      </c>
      <c r="Q542" s="17">
        <f>IF($C542="","",IF($L542="","",IF(AND($K542=1,ISNUMBER($L542),$L542&lt;$J542,COUNTIFS(nrES_PID,$D542,nrES_Code,$F542,nrES_Att,2,nrES_Raw,"&gt;=0")=0),"Yes","No")))</f>
        <v/>
      </c>
      <c r="R542" s="17">
        <f>IF($C542="","",IF($L542="","",IF(AND($K542=2,ISNUMBER($L542),$L542&lt;$J542),"Yes","No")))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OR($C542="",$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RANGE",IF(COUNTIF(nrES_RecID,$B542)&gt;1,"DUPLICATE RECORD",IF(AND($K542=2,COUNTIFS(nrES_PID,$D542,nrES_Code,$F542,nrES_Att,1)=0),"ATTEMPT 2 WITHOUT ATTEMPT 1",IF(AND($K542=2,$L542=""),"RETEST ROW HAS NO SCORE",IF(AND($H542="Final",$L542&lt;&gt;"",IFERROR(INDEX(nrCKfinalExamElig,MATCH($D542,rngCadetPIDs,0)),"")="No"),"FINAL EXAM AFTER FAILED FINAL PT (500.1.H)","OK")))))))</f>
        <v/>
      </c>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IF($C543="","",IF($K543="","",IF(COUNTIFS(nrES_PID,$D543,nrES_Code,$F543,nrES_Att,"&gt;"&amp;$K543,nrES_Raw,"&gt;=0")=0,"Yes","No")))</f>
        <v/>
      </c>
      <c r="Q543" s="17">
        <f>IF($C543="","",IF($L543="","",IF(AND($K543=1,ISNUMBER($L543),$L543&lt;$J543,COUNTIFS(nrES_PID,$D543,nrES_Code,$F543,nrES_Att,2,nrES_Raw,"&gt;=0")=0),"Yes","No")))</f>
        <v/>
      </c>
      <c r="R543" s="17">
        <f>IF($C543="","",IF($L543="","",IF(AND($K543=2,ISNUMBER($L543),$L543&lt;$J543),"Yes","No")))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OR($C543="",$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RANGE",IF(COUNTIF(nrES_RecID,$B543)&gt;1,"DUPLICATE RECORD",IF(AND($K543=2,COUNTIFS(nrES_PID,$D543,nrES_Code,$F543,nrES_Att,1)=0),"ATTEMPT 2 WITHOUT ATTEMPT 1",IF(AND($K543=2,$L543=""),"RETEST ROW HAS NO SCORE",IF(AND($H543="Final",$L543&lt;&gt;"",IFERROR(INDEX(nrCKfinalExamElig,MATCH($D543,rngCadetPIDs,0)),"")="No"),"FINAL EXAM AFTER FAILED FINAL PT (500.1.H)","OK")))))))</f>
        <v/>
      </c>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IF($C544="","",IF($K544="","",IF(COUNTIFS(nrES_PID,$D544,nrES_Code,$F544,nrES_Att,"&gt;"&amp;$K544,nrES_Raw,"&gt;=0")=0,"Yes","No")))</f>
        <v/>
      </c>
      <c r="Q544" s="17">
        <f>IF($C544="","",IF($L544="","",IF(AND($K544=1,ISNUMBER($L544),$L544&lt;$J544,COUNTIFS(nrES_PID,$D544,nrES_Code,$F544,nrES_Att,2,nrES_Raw,"&gt;=0")=0),"Yes","No")))</f>
        <v/>
      </c>
      <c r="R544" s="17">
        <f>IF($C544="","",IF($L544="","",IF(AND($K544=2,ISNUMBER($L544),$L544&lt;$J544),"Yes","No")))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OR($C544="",$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RANGE",IF(COUNTIF(nrES_RecID,$B544)&gt;1,"DUPLICATE RECORD",IF(AND($K544=2,COUNTIFS(nrES_PID,$D544,nrES_Code,$F544,nrES_Att,1)=0),"ATTEMPT 2 WITHOUT ATTEMPT 1",IF(AND($K544=2,$L544=""),"RETEST ROW HAS NO SCORE",IF(AND($H544="Final",$L544&lt;&gt;"",IFERROR(INDEX(nrCKfinalExamElig,MATCH($D544,rngCadetPIDs,0)),"")="No"),"FINAL EXAM AFTER FAILED FINAL PT (500.1.H)","OK")))))))</f>
        <v/>
      </c>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IF($C545="","",IF($K545="","",IF(COUNTIFS(nrES_PID,$D545,nrES_Code,$F545,nrES_Att,"&gt;"&amp;$K545,nrES_Raw,"&gt;=0")=0,"Yes","No")))</f>
        <v/>
      </c>
      <c r="Q545" s="17">
        <f>IF($C545="","",IF($L545="","",IF(AND($K545=1,ISNUMBER($L545),$L545&lt;$J545,COUNTIFS(nrES_PID,$D545,nrES_Code,$F545,nrES_Att,2,nrES_Raw,"&gt;=0")=0),"Yes","No")))</f>
        <v/>
      </c>
      <c r="R545" s="17">
        <f>IF($C545="","",IF($L545="","",IF(AND($K545=2,ISNUMBER($L545),$L545&lt;$J545),"Yes","No")))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OR($C545="",$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RANGE",IF(COUNTIF(nrES_RecID,$B545)&gt;1,"DUPLICATE RECORD",IF(AND($K545=2,COUNTIFS(nrES_PID,$D545,nrES_Code,$F545,nrES_Att,1)=0),"ATTEMPT 2 WITHOUT ATTEMPT 1",IF(AND($K545=2,$L545=""),"RETEST ROW HAS NO SCORE",IF(AND($H545="Final",$L545&lt;&gt;"",IFERROR(INDEX(nrCKfinalExamElig,MATCH($D545,rngCadetPIDs,0)),"")="No"),"FINAL EXAM AFTER FAILED FINAL PT (500.1.H)","OK")))))))</f>
        <v/>
      </c>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IF($C546="","",IF($K546="","",IF(COUNTIFS(nrES_PID,$D546,nrES_Code,$F546,nrES_Att,"&gt;"&amp;$K546,nrES_Raw,"&gt;=0")=0,"Yes","No")))</f>
        <v/>
      </c>
      <c r="Q546" s="17">
        <f>IF($C546="","",IF($L546="","",IF(AND($K546=1,ISNUMBER($L546),$L546&lt;$J546,COUNTIFS(nrES_PID,$D546,nrES_Code,$F546,nrES_Att,2,nrES_Raw,"&gt;=0")=0),"Yes","No")))</f>
        <v/>
      </c>
      <c r="R546" s="17">
        <f>IF($C546="","",IF($L546="","",IF(AND($K546=2,ISNUMBER($L546),$L546&lt;$J546),"Yes","No")))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OR($C546="",$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RANGE",IF(COUNTIF(nrES_RecID,$B546)&gt;1,"DUPLICATE RECORD",IF(AND($K546=2,COUNTIFS(nrES_PID,$D546,nrES_Code,$F546,nrES_Att,1)=0),"ATTEMPT 2 WITHOUT ATTEMPT 1",IF(AND($K546=2,$L546=""),"RETEST ROW HAS NO SCORE",IF(AND($H546="Final",$L546&lt;&gt;"",IFERROR(INDEX(nrCKfinalExamElig,MATCH($D546,rngCadetPIDs,0)),"")="No"),"FINAL EXAM AFTER FAILED FINAL PT (500.1.H)","OK")))))))</f>
        <v/>
      </c>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IF($C547="","",IF($K547="","",IF(COUNTIFS(nrES_PID,$D547,nrES_Code,$F547,nrES_Att,"&gt;"&amp;$K547,nrES_Raw,"&gt;=0")=0,"Yes","No")))</f>
        <v/>
      </c>
      <c r="Q547" s="17">
        <f>IF($C547="","",IF($L547="","",IF(AND($K547=1,ISNUMBER($L547),$L547&lt;$J547,COUNTIFS(nrES_PID,$D547,nrES_Code,$F547,nrES_Att,2,nrES_Raw,"&gt;=0")=0),"Yes","No")))</f>
        <v/>
      </c>
      <c r="R547" s="17">
        <f>IF($C547="","",IF($L547="","",IF(AND($K547=2,ISNUMBER($L547),$L547&lt;$J547),"Yes","No")))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OR($C547="",$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RANGE",IF(COUNTIF(nrES_RecID,$B547)&gt;1,"DUPLICATE RECORD",IF(AND($K547=2,COUNTIFS(nrES_PID,$D547,nrES_Code,$F547,nrES_Att,1)=0),"ATTEMPT 2 WITHOUT ATTEMPT 1",IF(AND($K547=2,$L547=""),"RETEST ROW HAS NO SCORE",IF(AND($H547="Final",$L547&lt;&gt;"",IFERROR(INDEX(nrCKfinalExamElig,MATCH($D547,rngCadetPIDs,0)),"")="No"),"FINAL EXAM AFTER FAILED FINAL PT (500.1.H)","OK")))))))</f>
        <v/>
      </c>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IF($C548="","",IF($K548="","",IF(COUNTIFS(nrES_PID,$D548,nrES_Code,$F548,nrES_Att,"&gt;"&amp;$K548,nrES_Raw,"&gt;=0")=0,"Yes","No")))</f>
        <v/>
      </c>
      <c r="Q548" s="17">
        <f>IF($C548="","",IF($L548="","",IF(AND($K548=1,ISNUMBER($L548),$L548&lt;$J548,COUNTIFS(nrES_PID,$D548,nrES_Code,$F548,nrES_Att,2,nrES_Raw,"&gt;=0")=0),"Yes","No")))</f>
        <v/>
      </c>
      <c r="R548" s="17">
        <f>IF($C548="","",IF($L548="","",IF(AND($K548=2,ISNUMBER($L548),$L548&lt;$J548),"Yes","No")))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OR($C548="",$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RANGE",IF(COUNTIF(nrES_RecID,$B548)&gt;1,"DUPLICATE RECORD",IF(AND($K548=2,COUNTIFS(nrES_PID,$D548,nrES_Code,$F548,nrES_Att,1)=0),"ATTEMPT 2 WITHOUT ATTEMPT 1",IF(AND($K548=2,$L548=""),"RETEST ROW HAS NO SCORE",IF(AND($H548="Final",$L548&lt;&gt;"",IFERROR(INDEX(nrCKfinalExamElig,MATCH($D548,rngCadetPIDs,0)),"")="No"),"FINAL EXAM AFTER FAILED FINAL PT (500.1.H)","OK")))))))</f>
        <v/>
      </c>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IF($C549="","",IF($K549="","",IF(COUNTIFS(nrES_PID,$D549,nrES_Code,$F549,nrES_Att,"&gt;"&amp;$K549,nrES_Raw,"&gt;=0")=0,"Yes","No")))</f>
        <v/>
      </c>
      <c r="Q549" s="17">
        <f>IF($C549="","",IF($L549="","",IF(AND($K549=1,ISNUMBER($L549),$L549&lt;$J549,COUNTIFS(nrES_PID,$D549,nrES_Code,$F549,nrES_Att,2,nrES_Raw,"&gt;=0")=0),"Yes","No")))</f>
        <v/>
      </c>
      <c r="R549" s="17">
        <f>IF($C549="","",IF($L549="","",IF(AND($K549=2,ISNUMBER($L549),$L549&lt;$J549),"Yes","No")))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OR($C549="",$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RANGE",IF(COUNTIF(nrES_RecID,$B549)&gt;1,"DUPLICATE RECORD",IF(AND($K549=2,COUNTIFS(nrES_PID,$D549,nrES_Code,$F549,nrES_Att,1)=0),"ATTEMPT 2 WITHOUT ATTEMPT 1",IF(AND($K549=2,$L549=""),"RETEST ROW HAS NO SCORE",IF(AND($H549="Final",$L549&lt;&gt;"",IFERROR(INDEX(nrCKfinalExamElig,MATCH($D549,rngCadetPIDs,0)),"")="No"),"FINAL EXAM AFTER FAILED FINAL PT (500.1.H)","OK")))))))</f>
        <v/>
      </c>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IF($C550="","",IF($K550="","",IF(COUNTIFS(nrES_PID,$D550,nrES_Code,$F550,nrES_Att,"&gt;"&amp;$K550,nrES_Raw,"&gt;=0")=0,"Yes","No")))</f>
        <v/>
      </c>
      <c r="Q550" s="17">
        <f>IF($C550="","",IF($L550="","",IF(AND($K550=1,ISNUMBER($L550),$L550&lt;$J550,COUNTIFS(nrES_PID,$D550,nrES_Code,$F550,nrES_Att,2,nrES_Raw,"&gt;=0")=0),"Yes","No")))</f>
        <v/>
      </c>
      <c r="R550" s="17">
        <f>IF($C550="","",IF($L550="","",IF(AND($K550=2,ISNUMBER($L550),$L550&lt;$J550),"Yes","No")))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OR($C550="",$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RANGE",IF(COUNTIF(nrES_RecID,$B550)&gt;1,"DUPLICATE RECORD",IF(AND($K550=2,COUNTIFS(nrES_PID,$D550,nrES_Code,$F550,nrES_Att,1)=0),"ATTEMPT 2 WITHOUT ATTEMPT 1",IF(AND($K550=2,$L550=""),"RETEST ROW HAS NO SCORE",IF(AND($H550="Final",$L550&lt;&gt;"",IFERROR(INDEX(nrCKfinalExamElig,MATCH($D550,rngCadetPIDs,0)),"")="No"),"FINAL EXAM AFTER FAILED FINAL PT (500.1.H)","OK")))))))</f>
        <v/>
      </c>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IF($C551="","",IF($K551="","",IF(COUNTIFS(nrES_PID,$D551,nrES_Code,$F551,nrES_Att,"&gt;"&amp;$K551,nrES_Raw,"&gt;=0")=0,"Yes","No")))</f>
        <v/>
      </c>
      <c r="Q551" s="17">
        <f>IF($C551="","",IF($L551="","",IF(AND($K551=1,ISNUMBER($L551),$L551&lt;$J551,COUNTIFS(nrES_PID,$D551,nrES_Code,$F551,nrES_Att,2,nrES_Raw,"&gt;=0")=0),"Yes","No")))</f>
        <v/>
      </c>
      <c r="R551" s="17">
        <f>IF($C551="","",IF($L551="","",IF(AND($K551=2,ISNUMBER($L551),$L551&lt;$J551),"Yes","No")))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OR($C551="",$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RANGE",IF(COUNTIF(nrES_RecID,$B551)&gt;1,"DUPLICATE RECORD",IF(AND($K551=2,COUNTIFS(nrES_PID,$D551,nrES_Code,$F551,nrES_Att,1)=0),"ATTEMPT 2 WITHOUT ATTEMPT 1",IF(AND($K551=2,$L551=""),"RETEST ROW HAS NO SCORE",IF(AND($H551="Final",$L551&lt;&gt;"",IFERROR(INDEX(nrCKfinalExamElig,MATCH($D551,rngCadetPIDs,0)),"")="No"),"FINAL EXAM AFTER FAILED FINAL PT (500.1.H)","OK")))))))</f>
        <v/>
      </c>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IF($C552="","",IF($K552="","",IF(COUNTIFS(nrES_PID,$D552,nrES_Code,$F552,nrES_Att,"&gt;"&amp;$K552,nrES_Raw,"&gt;=0")=0,"Yes","No")))</f>
        <v/>
      </c>
      <c r="Q552" s="17">
        <f>IF($C552="","",IF($L552="","",IF(AND($K552=1,ISNUMBER($L552),$L552&lt;$J552,COUNTIFS(nrES_PID,$D552,nrES_Code,$F552,nrES_Att,2,nrES_Raw,"&gt;=0")=0),"Yes","No")))</f>
        <v/>
      </c>
      <c r="R552" s="17">
        <f>IF($C552="","",IF($L552="","",IF(AND($K552=2,ISNUMBER($L552),$L552&lt;$J552),"Yes","No")))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OR($C552="",$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RANGE",IF(COUNTIF(nrES_RecID,$B552)&gt;1,"DUPLICATE RECORD",IF(AND($K552=2,COUNTIFS(nrES_PID,$D552,nrES_Code,$F552,nrES_Att,1)=0),"ATTEMPT 2 WITHOUT ATTEMPT 1",IF(AND($K552=2,$L552=""),"RETEST ROW HAS NO SCORE",IF(AND($H552="Final",$L552&lt;&gt;"",IFERROR(INDEX(nrCKfinalExamElig,MATCH($D552,rngCadetPIDs,0)),"")="No"),"FINAL EXAM AFTER FAILED FINAL PT (500.1.H)","OK")))))))</f>
        <v/>
      </c>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IF($C553="","",IF($K553="","",IF(COUNTIFS(nrES_PID,$D553,nrES_Code,$F553,nrES_Att,"&gt;"&amp;$K553,nrES_Raw,"&gt;=0")=0,"Yes","No")))</f>
        <v/>
      </c>
      <c r="Q553" s="17">
        <f>IF($C553="","",IF($L553="","",IF(AND($K553=1,ISNUMBER($L553),$L553&lt;$J553,COUNTIFS(nrES_PID,$D553,nrES_Code,$F553,nrES_Att,2,nrES_Raw,"&gt;=0")=0),"Yes","No")))</f>
        <v/>
      </c>
      <c r="R553" s="17">
        <f>IF($C553="","",IF($L553="","",IF(AND($K553=2,ISNUMBER($L553),$L553&lt;$J553),"Yes","No")))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OR($C553="",$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RANGE",IF(COUNTIF(nrES_RecID,$B553)&gt;1,"DUPLICATE RECORD",IF(AND($K553=2,COUNTIFS(nrES_PID,$D553,nrES_Code,$F553,nrES_Att,1)=0),"ATTEMPT 2 WITHOUT ATTEMPT 1",IF(AND($K553=2,$L553=""),"RETEST ROW HAS NO SCORE",IF(AND($H553="Final",$L553&lt;&gt;"",IFERROR(INDEX(nrCKfinalExamElig,MATCH($D553,rngCadetPIDs,0)),"")="No"),"FINAL EXAM AFTER FAILED FINAL PT (500.1.H)","OK")))))))</f>
        <v/>
      </c>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IF($C554="","",IF($K554="","",IF(COUNTIFS(nrES_PID,$D554,nrES_Code,$F554,nrES_Att,"&gt;"&amp;$K554,nrES_Raw,"&gt;=0")=0,"Yes","No")))</f>
        <v/>
      </c>
      <c r="Q554" s="17">
        <f>IF($C554="","",IF($L554="","",IF(AND($K554=1,ISNUMBER($L554),$L554&lt;$J554,COUNTIFS(nrES_PID,$D554,nrES_Code,$F554,nrES_Att,2,nrES_Raw,"&gt;=0")=0),"Yes","No")))</f>
        <v/>
      </c>
      <c r="R554" s="17">
        <f>IF($C554="","",IF($L554="","",IF(AND($K554=2,ISNUMBER($L554),$L554&lt;$J554),"Yes","No")))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OR($C554="",$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RANGE",IF(COUNTIF(nrES_RecID,$B554)&gt;1,"DUPLICATE RECORD",IF(AND($K554=2,COUNTIFS(nrES_PID,$D554,nrES_Code,$F554,nrES_Att,1)=0),"ATTEMPT 2 WITHOUT ATTEMPT 1",IF(AND($K554=2,$L554=""),"RETEST ROW HAS NO SCORE",IF(AND($H554="Final",$L554&lt;&gt;"",IFERROR(INDEX(nrCKfinalExamElig,MATCH($D554,rngCadetPIDs,0)),"")="No"),"FINAL EXAM AFTER FAILED FINAL PT (500.1.H)","OK")))))))</f>
        <v/>
      </c>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IF($C555="","",IF($K555="","",IF(COUNTIFS(nrES_PID,$D555,nrES_Code,$F555,nrES_Att,"&gt;"&amp;$K555,nrES_Raw,"&gt;=0")=0,"Yes","No")))</f>
        <v/>
      </c>
      <c r="Q555" s="17">
        <f>IF($C555="","",IF($L555="","",IF(AND($K555=1,ISNUMBER($L555),$L555&lt;$J555,COUNTIFS(nrES_PID,$D555,nrES_Code,$F555,nrES_Att,2,nrES_Raw,"&gt;=0")=0),"Yes","No")))</f>
        <v/>
      </c>
      <c r="R555" s="17">
        <f>IF($C555="","",IF($L555="","",IF(AND($K555=2,ISNUMBER($L555),$L555&lt;$J555),"Yes","No")))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OR($C555="",$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RANGE",IF(COUNTIF(nrES_RecID,$B555)&gt;1,"DUPLICATE RECORD",IF(AND($K555=2,COUNTIFS(nrES_PID,$D555,nrES_Code,$F555,nrES_Att,1)=0),"ATTEMPT 2 WITHOUT ATTEMPT 1",IF(AND($K555=2,$L555=""),"RETEST ROW HAS NO SCORE",IF(AND($H555="Final",$L555&lt;&gt;"",IFERROR(INDEX(nrCKfinalExamElig,MATCH($D555,rngCadetPIDs,0)),"")="No"),"FINAL EXAM AFTER FAILED FINAL PT (500.1.H)","OK")))))))</f>
        <v/>
      </c>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IF($C556="","",IF($K556="","",IF(COUNTIFS(nrES_PID,$D556,nrES_Code,$F556,nrES_Att,"&gt;"&amp;$K556,nrES_Raw,"&gt;=0")=0,"Yes","No")))</f>
        <v/>
      </c>
      <c r="Q556" s="17">
        <f>IF($C556="","",IF($L556="","",IF(AND($K556=1,ISNUMBER($L556),$L556&lt;$J556,COUNTIFS(nrES_PID,$D556,nrES_Code,$F556,nrES_Att,2,nrES_Raw,"&gt;=0")=0),"Yes","No")))</f>
        <v/>
      </c>
      <c r="R556" s="17">
        <f>IF($C556="","",IF($L556="","",IF(AND($K556=2,ISNUMBER($L556),$L556&lt;$J556),"Yes","No")))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OR($C556="",$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RANGE",IF(COUNTIF(nrES_RecID,$B556)&gt;1,"DUPLICATE RECORD",IF(AND($K556=2,COUNTIFS(nrES_PID,$D556,nrES_Code,$F556,nrES_Att,1)=0),"ATTEMPT 2 WITHOUT ATTEMPT 1",IF(AND($K556=2,$L556=""),"RETEST ROW HAS NO SCORE",IF(AND($H556="Final",$L556&lt;&gt;"",IFERROR(INDEX(nrCKfinalExamElig,MATCH($D556,rngCadetPIDs,0)),"")="No"),"FINAL EXAM AFTER FAILED FINAL PT (500.1.H)","OK")))))))</f>
        <v/>
      </c>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IF($C557="","",IF($K557="","",IF(COUNTIFS(nrES_PID,$D557,nrES_Code,$F557,nrES_Att,"&gt;"&amp;$K557,nrES_Raw,"&gt;=0")=0,"Yes","No")))</f>
        <v/>
      </c>
      <c r="Q557" s="17">
        <f>IF($C557="","",IF($L557="","",IF(AND($K557=1,ISNUMBER($L557),$L557&lt;$J557,COUNTIFS(nrES_PID,$D557,nrES_Code,$F557,nrES_Att,2,nrES_Raw,"&gt;=0")=0),"Yes","No")))</f>
        <v/>
      </c>
      <c r="R557" s="17">
        <f>IF($C557="","",IF($L557="","",IF(AND($K557=2,ISNUMBER($L557),$L557&lt;$J557),"Yes","No")))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OR($C557="",$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RANGE",IF(COUNTIF(nrES_RecID,$B557)&gt;1,"DUPLICATE RECORD",IF(AND($K557=2,COUNTIFS(nrES_PID,$D557,nrES_Code,$F557,nrES_Att,1)=0),"ATTEMPT 2 WITHOUT ATTEMPT 1",IF(AND($K557=2,$L557=""),"RETEST ROW HAS NO SCORE",IF(AND($H557="Final",$L557&lt;&gt;"",IFERROR(INDEX(nrCKfinalExamElig,MATCH($D557,rngCadetPIDs,0)),"")="No"),"FINAL EXAM AFTER FAILED FINAL PT (500.1.H)","OK")))))))</f>
        <v/>
      </c>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IF($C558="","",IF($K558="","",IF(COUNTIFS(nrES_PID,$D558,nrES_Code,$F558,nrES_Att,"&gt;"&amp;$K558,nrES_Raw,"&gt;=0")=0,"Yes","No")))</f>
        <v/>
      </c>
      <c r="Q558" s="17">
        <f>IF($C558="","",IF($L558="","",IF(AND($K558=1,ISNUMBER($L558),$L558&lt;$J558,COUNTIFS(nrES_PID,$D558,nrES_Code,$F558,nrES_Att,2,nrES_Raw,"&gt;=0")=0),"Yes","No")))</f>
        <v/>
      </c>
      <c r="R558" s="17">
        <f>IF($C558="","",IF($L558="","",IF(AND($K558=2,ISNUMBER($L558),$L558&lt;$J558),"Yes","No")))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OR($C558="",$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RANGE",IF(COUNTIF(nrES_RecID,$B558)&gt;1,"DUPLICATE RECORD",IF(AND($K558=2,COUNTIFS(nrES_PID,$D558,nrES_Code,$F558,nrES_Att,1)=0),"ATTEMPT 2 WITHOUT ATTEMPT 1",IF(AND($K558=2,$L558=""),"RETEST ROW HAS NO SCORE",IF(AND($H558="Final",$L558&lt;&gt;"",IFERROR(INDEX(nrCKfinalExamElig,MATCH($D558,rngCadetPIDs,0)),"")="No"),"FINAL EXAM AFTER FAILED FINAL PT (500.1.H)","OK")))))))</f>
        <v/>
      </c>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IF($C559="","",IF($K559="","",IF(COUNTIFS(nrES_PID,$D559,nrES_Code,$F559,nrES_Att,"&gt;"&amp;$K559,nrES_Raw,"&gt;=0")=0,"Yes","No")))</f>
        <v/>
      </c>
      <c r="Q559" s="17">
        <f>IF($C559="","",IF($L559="","",IF(AND($K559=1,ISNUMBER($L559),$L559&lt;$J559,COUNTIFS(nrES_PID,$D559,nrES_Code,$F559,nrES_Att,2,nrES_Raw,"&gt;=0")=0),"Yes","No")))</f>
        <v/>
      </c>
      <c r="R559" s="17">
        <f>IF($C559="","",IF($L559="","",IF(AND($K559=2,ISNUMBER($L559),$L559&lt;$J559),"Yes","No")))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OR($C559="",$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RANGE",IF(COUNTIF(nrES_RecID,$B559)&gt;1,"DUPLICATE RECORD",IF(AND($K559=2,COUNTIFS(nrES_PID,$D559,nrES_Code,$F559,nrES_Att,1)=0),"ATTEMPT 2 WITHOUT ATTEMPT 1",IF(AND($K559=2,$L559=""),"RETEST ROW HAS NO SCORE",IF(AND($H559="Final",$L559&lt;&gt;"",IFERROR(INDEX(nrCKfinalExamElig,MATCH($D559,rngCadetPIDs,0)),"")="No"),"FINAL EXAM AFTER FAILED FINAL PT (500.1.H)","OK")))))))</f>
        <v/>
      </c>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IF($C560="","",IF($K560="","",IF(COUNTIFS(nrES_PID,$D560,nrES_Code,$F560,nrES_Att,"&gt;"&amp;$K560,nrES_Raw,"&gt;=0")=0,"Yes","No")))</f>
        <v/>
      </c>
      <c r="Q560" s="17">
        <f>IF($C560="","",IF($L560="","",IF(AND($K560=1,ISNUMBER($L560),$L560&lt;$J560,COUNTIFS(nrES_PID,$D560,nrES_Code,$F560,nrES_Att,2,nrES_Raw,"&gt;=0")=0),"Yes","No")))</f>
        <v/>
      </c>
      <c r="R560" s="17">
        <f>IF($C560="","",IF($L560="","",IF(AND($K560=2,ISNUMBER($L560),$L560&lt;$J560),"Yes","No")))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OR($C560="",$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RANGE",IF(COUNTIF(nrES_RecID,$B560)&gt;1,"DUPLICATE RECORD",IF(AND($K560=2,COUNTIFS(nrES_PID,$D560,nrES_Code,$F560,nrES_Att,1)=0),"ATTEMPT 2 WITHOUT ATTEMPT 1",IF(AND($K560=2,$L560=""),"RETEST ROW HAS NO SCORE",IF(AND($H560="Final",$L560&lt;&gt;"",IFERROR(INDEX(nrCKfinalExamElig,MATCH($D560,rngCadetPIDs,0)),"")="No"),"FINAL EXAM AFTER FAILED FINAL PT (500.1.H)","OK")))))))</f>
        <v/>
      </c>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IF($C561="","",IF($K561="","",IF(COUNTIFS(nrES_PID,$D561,nrES_Code,$F561,nrES_Att,"&gt;"&amp;$K561,nrES_Raw,"&gt;=0")=0,"Yes","No")))</f>
        <v/>
      </c>
      <c r="Q561" s="17">
        <f>IF($C561="","",IF($L561="","",IF(AND($K561=1,ISNUMBER($L561),$L561&lt;$J561,COUNTIFS(nrES_PID,$D561,nrES_Code,$F561,nrES_Att,2,nrES_Raw,"&gt;=0")=0),"Yes","No")))</f>
        <v/>
      </c>
      <c r="R561" s="17">
        <f>IF($C561="","",IF($L561="","",IF(AND($K561=2,ISNUMBER($L561),$L561&lt;$J561),"Yes","No")))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OR($C561="",$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RANGE",IF(COUNTIF(nrES_RecID,$B561)&gt;1,"DUPLICATE RECORD",IF(AND($K561=2,COUNTIFS(nrES_PID,$D561,nrES_Code,$F561,nrES_Att,1)=0),"ATTEMPT 2 WITHOUT ATTEMPT 1",IF(AND($K561=2,$L561=""),"RETEST ROW HAS NO SCORE",IF(AND($H561="Final",$L561&lt;&gt;"",IFERROR(INDEX(nrCKfinalExamElig,MATCH($D561,rngCadetPIDs,0)),"")="No"),"FINAL EXAM AFTER FAILED FINAL PT (500.1.H)","OK")))))))</f>
        <v/>
      </c>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IF($C562="","",IF($K562="","",IF(COUNTIFS(nrES_PID,$D562,nrES_Code,$F562,nrES_Att,"&gt;"&amp;$K562,nrES_Raw,"&gt;=0")=0,"Yes","No")))</f>
        <v/>
      </c>
      <c r="Q562" s="17">
        <f>IF($C562="","",IF($L562="","",IF(AND($K562=1,ISNUMBER($L562),$L562&lt;$J562,COUNTIFS(nrES_PID,$D562,nrES_Code,$F562,nrES_Att,2,nrES_Raw,"&gt;=0")=0),"Yes","No")))</f>
        <v/>
      </c>
      <c r="R562" s="17">
        <f>IF($C562="","",IF($L562="","",IF(AND($K562=2,ISNUMBER($L562),$L562&lt;$J562),"Yes","No")))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OR($C562="",$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RANGE",IF(COUNTIF(nrES_RecID,$B562)&gt;1,"DUPLICATE RECORD",IF(AND($K562=2,COUNTIFS(nrES_PID,$D562,nrES_Code,$F562,nrES_Att,1)=0),"ATTEMPT 2 WITHOUT ATTEMPT 1",IF(AND($K562=2,$L562=""),"RETEST ROW HAS NO SCORE",IF(AND($H562="Final",$L562&lt;&gt;"",IFERROR(INDEX(nrCKfinalExamElig,MATCH($D562,rngCadetPIDs,0)),"")="No"),"FINAL EXAM AFTER FAILED FINAL PT (500.1.H)","OK")))))))</f>
        <v/>
      </c>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IF($C563="","",IF($K563="","",IF(COUNTIFS(nrES_PID,$D563,nrES_Code,$F563,nrES_Att,"&gt;"&amp;$K563,nrES_Raw,"&gt;=0")=0,"Yes","No")))</f>
        <v/>
      </c>
      <c r="Q563" s="17">
        <f>IF($C563="","",IF($L563="","",IF(AND($K563=1,ISNUMBER($L563),$L563&lt;$J563,COUNTIFS(nrES_PID,$D563,nrES_Code,$F563,nrES_Att,2,nrES_Raw,"&gt;=0")=0),"Yes","No")))</f>
        <v/>
      </c>
      <c r="R563" s="17">
        <f>IF($C563="","",IF($L563="","",IF(AND($K563=2,ISNUMBER($L563),$L563&lt;$J563),"Yes","No")))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OR($C563="",$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RANGE",IF(COUNTIF(nrES_RecID,$B563)&gt;1,"DUPLICATE RECORD",IF(AND($K563=2,COUNTIFS(nrES_PID,$D563,nrES_Code,$F563,nrES_Att,1)=0),"ATTEMPT 2 WITHOUT ATTEMPT 1",IF(AND($K563=2,$L563=""),"RETEST ROW HAS NO SCORE",IF(AND($H563="Final",$L563&lt;&gt;"",IFERROR(INDEX(nrCKfinalExamElig,MATCH($D563,rngCadetPIDs,0)),"")="No"),"FINAL EXAM AFTER FAILED FINAL PT (500.1.H)","OK")))))))</f>
        <v/>
      </c>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IF($C564="","",IF($K564="","",IF(COUNTIFS(nrES_PID,$D564,nrES_Code,$F564,nrES_Att,"&gt;"&amp;$K564,nrES_Raw,"&gt;=0")=0,"Yes","No")))</f>
        <v/>
      </c>
      <c r="Q564" s="17">
        <f>IF($C564="","",IF($L564="","",IF(AND($K564=1,ISNUMBER($L564),$L564&lt;$J564,COUNTIFS(nrES_PID,$D564,nrES_Code,$F564,nrES_Att,2,nrES_Raw,"&gt;=0")=0),"Yes","No")))</f>
        <v/>
      </c>
      <c r="R564" s="17">
        <f>IF($C564="","",IF($L564="","",IF(AND($K564=2,ISNUMBER($L564),$L564&lt;$J564),"Yes","No")))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OR($C564="",$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RANGE",IF(COUNTIF(nrES_RecID,$B564)&gt;1,"DUPLICATE RECORD",IF(AND($K564=2,COUNTIFS(nrES_PID,$D564,nrES_Code,$F564,nrES_Att,1)=0),"ATTEMPT 2 WITHOUT ATTEMPT 1",IF(AND($K564=2,$L564=""),"RETEST ROW HAS NO SCORE",IF(AND($H564="Final",$L564&lt;&gt;"",IFERROR(INDEX(nrCKfinalExamElig,MATCH($D564,rngCadetPIDs,0)),"")="No"),"FINAL EXAM AFTER FAILED FINAL PT (500.1.H)","OK")))))))</f>
        <v/>
      </c>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IF($C565="","",IF($K565="","",IF(COUNTIFS(nrES_PID,$D565,nrES_Code,$F565,nrES_Att,"&gt;"&amp;$K565,nrES_Raw,"&gt;=0")=0,"Yes","No")))</f>
        <v/>
      </c>
      <c r="Q565" s="17">
        <f>IF($C565="","",IF($L565="","",IF(AND($K565=1,ISNUMBER($L565),$L565&lt;$J565,COUNTIFS(nrES_PID,$D565,nrES_Code,$F565,nrES_Att,2,nrES_Raw,"&gt;=0")=0),"Yes","No")))</f>
        <v/>
      </c>
      <c r="R565" s="17">
        <f>IF($C565="","",IF($L565="","",IF(AND($K565=2,ISNUMBER($L565),$L565&lt;$J565),"Yes","No")))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OR($C565="",$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RANGE",IF(COUNTIF(nrES_RecID,$B565)&gt;1,"DUPLICATE RECORD",IF(AND($K565=2,COUNTIFS(nrES_PID,$D565,nrES_Code,$F565,nrES_Att,1)=0),"ATTEMPT 2 WITHOUT ATTEMPT 1",IF(AND($K565=2,$L565=""),"RETEST ROW HAS NO SCORE",IF(AND($H565="Final",$L565&lt;&gt;"",IFERROR(INDEX(nrCKfinalExamElig,MATCH($D565,rngCadetPIDs,0)),"")="No"),"FINAL EXAM AFTER FAILED FINAL PT (500.1.H)","OK")))))))</f>
        <v/>
      </c>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IF($C566="","",IF($K566="","",IF(COUNTIFS(nrES_PID,$D566,nrES_Code,$F566,nrES_Att,"&gt;"&amp;$K566,nrES_Raw,"&gt;=0")=0,"Yes","No")))</f>
        <v/>
      </c>
      <c r="Q566" s="17">
        <f>IF($C566="","",IF($L566="","",IF(AND($K566=1,ISNUMBER($L566),$L566&lt;$J566,COUNTIFS(nrES_PID,$D566,nrES_Code,$F566,nrES_Att,2,nrES_Raw,"&gt;=0")=0),"Yes","No")))</f>
        <v/>
      </c>
      <c r="R566" s="17">
        <f>IF($C566="","",IF($L566="","",IF(AND($K566=2,ISNUMBER($L566),$L566&lt;$J566),"Yes","No")))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OR($C566="",$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RANGE",IF(COUNTIF(nrES_RecID,$B566)&gt;1,"DUPLICATE RECORD",IF(AND($K566=2,COUNTIFS(nrES_PID,$D566,nrES_Code,$F566,nrES_Att,1)=0),"ATTEMPT 2 WITHOUT ATTEMPT 1",IF(AND($K566=2,$L566=""),"RETEST ROW HAS NO SCORE",IF(AND($H566="Final",$L566&lt;&gt;"",IFERROR(INDEX(nrCKfinalExamElig,MATCH($D566,rngCadetPIDs,0)),"")="No"),"FINAL EXAM AFTER FAILED FINAL PT (500.1.H)","OK")))))))</f>
        <v/>
      </c>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IF($C567="","",IF($K567="","",IF(COUNTIFS(nrES_PID,$D567,nrES_Code,$F567,nrES_Att,"&gt;"&amp;$K567,nrES_Raw,"&gt;=0")=0,"Yes","No")))</f>
        <v/>
      </c>
      <c r="Q567" s="17">
        <f>IF($C567="","",IF($L567="","",IF(AND($K567=1,ISNUMBER($L567),$L567&lt;$J567,COUNTIFS(nrES_PID,$D567,nrES_Code,$F567,nrES_Att,2,nrES_Raw,"&gt;=0")=0),"Yes","No")))</f>
        <v/>
      </c>
      <c r="R567" s="17">
        <f>IF($C567="","",IF($L567="","",IF(AND($K567=2,ISNUMBER($L567),$L567&lt;$J567),"Yes","No")))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OR($C567="",$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RANGE",IF(COUNTIF(nrES_RecID,$B567)&gt;1,"DUPLICATE RECORD",IF(AND($K567=2,COUNTIFS(nrES_PID,$D567,nrES_Code,$F567,nrES_Att,1)=0),"ATTEMPT 2 WITHOUT ATTEMPT 1",IF(AND($K567=2,$L567=""),"RETEST ROW HAS NO SCORE",IF(AND($H567="Final",$L567&lt;&gt;"",IFERROR(INDEX(nrCKfinalExamElig,MATCH($D567,rngCadetPIDs,0)),"")="No"),"FINAL EXAM AFTER FAILED FINAL PT (500.1.H)","OK")))))))</f>
        <v/>
      </c>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IF($C568="","",IF($K568="","",IF(COUNTIFS(nrES_PID,$D568,nrES_Code,$F568,nrES_Att,"&gt;"&amp;$K568,nrES_Raw,"&gt;=0")=0,"Yes","No")))</f>
        <v/>
      </c>
      <c r="Q568" s="17">
        <f>IF($C568="","",IF($L568="","",IF(AND($K568=1,ISNUMBER($L568),$L568&lt;$J568,COUNTIFS(nrES_PID,$D568,nrES_Code,$F568,nrES_Att,2,nrES_Raw,"&gt;=0")=0),"Yes","No")))</f>
        <v/>
      </c>
      <c r="R568" s="17">
        <f>IF($C568="","",IF($L568="","",IF(AND($K568=2,ISNUMBER($L568),$L568&lt;$J568),"Yes","No")))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OR($C568="",$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RANGE",IF(COUNTIF(nrES_RecID,$B568)&gt;1,"DUPLICATE RECORD",IF(AND($K568=2,COUNTIFS(nrES_PID,$D568,nrES_Code,$F568,nrES_Att,1)=0),"ATTEMPT 2 WITHOUT ATTEMPT 1",IF(AND($K568=2,$L568=""),"RETEST ROW HAS NO SCORE",IF(AND($H568="Final",$L568&lt;&gt;"",IFERROR(INDEX(nrCKfinalExamElig,MATCH($D568,rngCadetPIDs,0)),"")="No"),"FINAL EXAM AFTER FAILED FINAL PT (500.1.H)","OK")))))))</f>
        <v/>
      </c>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IF($C569="","",IF($K569="","",IF(COUNTIFS(nrES_PID,$D569,nrES_Code,$F569,nrES_Att,"&gt;"&amp;$K569,nrES_Raw,"&gt;=0")=0,"Yes","No")))</f>
        <v/>
      </c>
      <c r="Q569" s="17">
        <f>IF($C569="","",IF($L569="","",IF(AND($K569=1,ISNUMBER($L569),$L569&lt;$J569,COUNTIFS(nrES_PID,$D569,nrES_Code,$F569,nrES_Att,2,nrES_Raw,"&gt;=0")=0),"Yes","No")))</f>
        <v/>
      </c>
      <c r="R569" s="17">
        <f>IF($C569="","",IF($L569="","",IF(AND($K569=2,ISNUMBER($L569),$L569&lt;$J569),"Yes","No")))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OR($C569="",$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RANGE",IF(COUNTIF(nrES_RecID,$B569)&gt;1,"DUPLICATE RECORD",IF(AND($K569=2,COUNTIFS(nrES_PID,$D569,nrES_Code,$F569,nrES_Att,1)=0),"ATTEMPT 2 WITHOUT ATTEMPT 1",IF(AND($K569=2,$L569=""),"RETEST ROW HAS NO SCORE",IF(AND($H569="Final",$L569&lt;&gt;"",IFERROR(INDEX(nrCKfinalExamElig,MATCH($D569,rngCadetPIDs,0)),"")="No"),"FINAL EXAM AFTER FAILED FINAL PT (500.1.H)","OK")))))))</f>
        <v/>
      </c>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IF($C570="","",IF($K570="","",IF(COUNTIFS(nrES_PID,$D570,nrES_Code,$F570,nrES_Att,"&gt;"&amp;$K570,nrES_Raw,"&gt;=0")=0,"Yes","No")))</f>
        <v/>
      </c>
      <c r="Q570" s="17">
        <f>IF($C570="","",IF($L570="","",IF(AND($K570=1,ISNUMBER($L570),$L570&lt;$J570,COUNTIFS(nrES_PID,$D570,nrES_Code,$F570,nrES_Att,2,nrES_Raw,"&gt;=0")=0),"Yes","No")))</f>
        <v/>
      </c>
      <c r="R570" s="17">
        <f>IF($C570="","",IF($L570="","",IF(AND($K570=2,ISNUMBER($L570),$L570&lt;$J570),"Yes","No")))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OR($C570="",$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RANGE",IF(COUNTIF(nrES_RecID,$B570)&gt;1,"DUPLICATE RECORD",IF(AND($K570=2,COUNTIFS(nrES_PID,$D570,nrES_Code,$F570,nrES_Att,1)=0),"ATTEMPT 2 WITHOUT ATTEMPT 1",IF(AND($K570=2,$L570=""),"RETEST ROW HAS NO SCORE",IF(AND($H570="Final",$L570&lt;&gt;"",IFERROR(INDEX(nrCKfinalExamElig,MATCH($D570,rngCadetPIDs,0)),"")="No"),"FINAL EXAM AFTER FAILED FINAL PT (500.1.H)","OK")))))))</f>
        <v/>
      </c>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IF($C571="","",IF($K571="","",IF(COUNTIFS(nrES_PID,$D571,nrES_Code,$F571,nrES_Att,"&gt;"&amp;$K571,nrES_Raw,"&gt;=0")=0,"Yes","No")))</f>
        <v/>
      </c>
      <c r="Q571" s="17">
        <f>IF($C571="","",IF($L571="","",IF(AND($K571=1,ISNUMBER($L571),$L571&lt;$J571,COUNTIFS(nrES_PID,$D571,nrES_Code,$F571,nrES_Att,2,nrES_Raw,"&gt;=0")=0),"Yes","No")))</f>
        <v/>
      </c>
      <c r="R571" s="17">
        <f>IF($C571="","",IF($L571="","",IF(AND($K571=2,ISNUMBER($L571),$L571&lt;$J571),"Yes","No")))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OR($C571="",$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RANGE",IF(COUNTIF(nrES_RecID,$B571)&gt;1,"DUPLICATE RECORD",IF(AND($K571=2,COUNTIFS(nrES_PID,$D571,nrES_Code,$F571,nrES_Att,1)=0),"ATTEMPT 2 WITHOUT ATTEMPT 1",IF(AND($K571=2,$L571=""),"RETEST ROW HAS NO SCORE",IF(AND($H571="Final",$L571&lt;&gt;"",IFERROR(INDEX(nrCKfinalExamElig,MATCH($D571,rngCadetPIDs,0)),"")="No"),"FINAL EXAM AFTER FAILED FINAL PT (500.1.H)","OK")))))))</f>
        <v/>
      </c>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IF($C572="","",IF($K572="","",IF(COUNTIFS(nrES_PID,$D572,nrES_Code,$F572,nrES_Att,"&gt;"&amp;$K572,nrES_Raw,"&gt;=0")=0,"Yes","No")))</f>
        <v/>
      </c>
      <c r="Q572" s="17">
        <f>IF($C572="","",IF($L572="","",IF(AND($K572=1,ISNUMBER($L572),$L572&lt;$J572,COUNTIFS(nrES_PID,$D572,nrES_Code,$F572,nrES_Att,2,nrES_Raw,"&gt;=0")=0),"Yes","No")))</f>
        <v/>
      </c>
      <c r="R572" s="17">
        <f>IF($C572="","",IF($L572="","",IF(AND($K572=2,ISNUMBER($L572),$L572&lt;$J572),"Yes","No")))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OR($C572="",$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RANGE",IF(COUNTIF(nrES_RecID,$B572)&gt;1,"DUPLICATE RECORD",IF(AND($K572=2,COUNTIFS(nrES_PID,$D572,nrES_Code,$F572,nrES_Att,1)=0),"ATTEMPT 2 WITHOUT ATTEMPT 1",IF(AND($K572=2,$L572=""),"RETEST ROW HAS NO SCORE",IF(AND($H572="Final",$L572&lt;&gt;"",IFERROR(INDEX(nrCKfinalExamElig,MATCH($D572,rngCadetPIDs,0)),"")="No"),"FINAL EXAM AFTER FAILED FINAL PT (500.1.H)","OK")))))))</f>
        <v/>
      </c>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IF($C573="","",IF($K573="","",IF(COUNTIFS(nrES_PID,$D573,nrES_Code,$F573,nrES_Att,"&gt;"&amp;$K573,nrES_Raw,"&gt;=0")=0,"Yes","No")))</f>
        <v/>
      </c>
      <c r="Q573" s="17">
        <f>IF($C573="","",IF($L573="","",IF(AND($K573=1,ISNUMBER($L573),$L573&lt;$J573,COUNTIFS(nrES_PID,$D573,nrES_Code,$F573,nrES_Att,2,nrES_Raw,"&gt;=0")=0),"Yes","No")))</f>
        <v/>
      </c>
      <c r="R573" s="17">
        <f>IF($C573="","",IF($L573="","",IF(AND($K573=2,ISNUMBER($L573),$L573&lt;$J573),"Yes","No")))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OR($C573="",$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RANGE",IF(COUNTIF(nrES_RecID,$B573)&gt;1,"DUPLICATE RECORD",IF(AND($K573=2,COUNTIFS(nrES_PID,$D573,nrES_Code,$F573,nrES_Att,1)=0),"ATTEMPT 2 WITHOUT ATTEMPT 1",IF(AND($K573=2,$L573=""),"RETEST ROW HAS NO SCORE",IF(AND($H573="Final",$L573&lt;&gt;"",IFERROR(INDEX(nrCKfinalExamElig,MATCH($D573,rngCadetPIDs,0)),"")="No"),"FINAL EXAM AFTER FAILED FINAL PT (500.1.H)","OK")))))))</f>
        <v/>
      </c>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IF($C574="","",IF($K574="","",IF(COUNTIFS(nrES_PID,$D574,nrES_Code,$F574,nrES_Att,"&gt;"&amp;$K574,nrES_Raw,"&gt;=0")=0,"Yes","No")))</f>
        <v/>
      </c>
      <c r="Q574" s="17">
        <f>IF($C574="","",IF($L574="","",IF(AND($K574=1,ISNUMBER($L574),$L574&lt;$J574,COUNTIFS(nrES_PID,$D574,nrES_Code,$F574,nrES_Att,2,nrES_Raw,"&gt;=0")=0),"Yes","No")))</f>
        <v/>
      </c>
      <c r="R574" s="17">
        <f>IF($C574="","",IF($L574="","",IF(AND($K574=2,ISNUMBER($L574),$L574&lt;$J574),"Yes","No")))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OR($C574="",$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RANGE",IF(COUNTIF(nrES_RecID,$B574)&gt;1,"DUPLICATE RECORD",IF(AND($K574=2,COUNTIFS(nrES_PID,$D574,nrES_Code,$F574,nrES_Att,1)=0),"ATTEMPT 2 WITHOUT ATTEMPT 1",IF(AND($K574=2,$L574=""),"RETEST ROW HAS NO SCORE",IF(AND($H574="Final",$L574&lt;&gt;"",IFERROR(INDEX(nrCKfinalExamElig,MATCH($D574,rngCadetPIDs,0)),"")="No"),"FINAL EXAM AFTER FAILED FINAL PT (500.1.H)","OK")))))))</f>
        <v/>
      </c>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IF($C575="","",IF($K575="","",IF(COUNTIFS(nrES_PID,$D575,nrES_Code,$F575,nrES_Att,"&gt;"&amp;$K575,nrES_Raw,"&gt;=0")=0,"Yes","No")))</f>
        <v/>
      </c>
      <c r="Q575" s="17">
        <f>IF($C575="","",IF($L575="","",IF(AND($K575=1,ISNUMBER($L575),$L575&lt;$J575,COUNTIFS(nrES_PID,$D575,nrES_Code,$F575,nrES_Att,2,nrES_Raw,"&gt;=0")=0),"Yes","No")))</f>
        <v/>
      </c>
      <c r="R575" s="17">
        <f>IF($C575="","",IF($L575="","",IF(AND($K575=2,ISNUMBER($L575),$L575&lt;$J575),"Yes","No")))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OR($C575="",$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RANGE",IF(COUNTIF(nrES_RecID,$B575)&gt;1,"DUPLICATE RECORD",IF(AND($K575=2,COUNTIFS(nrES_PID,$D575,nrES_Code,$F575,nrES_Att,1)=0),"ATTEMPT 2 WITHOUT ATTEMPT 1",IF(AND($K575=2,$L575=""),"RETEST ROW HAS NO SCORE",IF(AND($H575="Final",$L575&lt;&gt;"",IFERROR(INDEX(nrCKfinalExamElig,MATCH($D575,rngCadetPIDs,0)),"")="No"),"FINAL EXAM AFTER FAILED FINAL PT (500.1.H)","OK")))))))</f>
        <v/>
      </c>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IF($C576="","",IF($K576="","",IF(COUNTIFS(nrES_PID,$D576,nrES_Code,$F576,nrES_Att,"&gt;"&amp;$K576,nrES_Raw,"&gt;=0")=0,"Yes","No")))</f>
        <v/>
      </c>
      <c r="Q576" s="17">
        <f>IF($C576="","",IF($L576="","",IF(AND($K576=1,ISNUMBER($L576),$L576&lt;$J576,COUNTIFS(nrES_PID,$D576,nrES_Code,$F576,nrES_Att,2,nrES_Raw,"&gt;=0")=0),"Yes","No")))</f>
        <v/>
      </c>
      <c r="R576" s="17">
        <f>IF($C576="","",IF($L576="","",IF(AND($K576=2,ISNUMBER($L576),$L576&lt;$J576),"Yes","No")))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OR($C576="",$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RANGE",IF(COUNTIF(nrES_RecID,$B576)&gt;1,"DUPLICATE RECORD",IF(AND($K576=2,COUNTIFS(nrES_PID,$D576,nrES_Code,$F576,nrES_Att,1)=0),"ATTEMPT 2 WITHOUT ATTEMPT 1",IF(AND($K576=2,$L576=""),"RETEST ROW HAS NO SCORE",IF(AND($H576="Final",$L576&lt;&gt;"",IFERROR(INDEX(nrCKfinalExamElig,MATCH($D576,rngCadetPIDs,0)),"")="No"),"FINAL EXAM AFTER FAILED FINAL PT (500.1.H)","OK")))))))</f>
        <v/>
      </c>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IF($C577="","",IF($K577="","",IF(COUNTIFS(nrES_PID,$D577,nrES_Code,$F577,nrES_Att,"&gt;"&amp;$K577,nrES_Raw,"&gt;=0")=0,"Yes","No")))</f>
        <v/>
      </c>
      <c r="Q577" s="17">
        <f>IF($C577="","",IF($L577="","",IF(AND($K577=1,ISNUMBER($L577),$L577&lt;$J577,COUNTIFS(nrES_PID,$D577,nrES_Code,$F577,nrES_Att,2,nrES_Raw,"&gt;=0")=0),"Yes","No")))</f>
        <v/>
      </c>
      <c r="R577" s="17">
        <f>IF($C577="","",IF($L577="","",IF(AND($K577=2,ISNUMBER($L577),$L577&lt;$J577),"Yes","No")))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OR($C577="",$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RANGE",IF(COUNTIF(nrES_RecID,$B577)&gt;1,"DUPLICATE RECORD",IF(AND($K577=2,COUNTIFS(nrES_PID,$D577,nrES_Code,$F577,nrES_Att,1)=0),"ATTEMPT 2 WITHOUT ATTEMPT 1",IF(AND($K577=2,$L577=""),"RETEST ROW HAS NO SCORE",IF(AND($H577="Final",$L577&lt;&gt;"",IFERROR(INDEX(nrCKfinalExamElig,MATCH($D577,rngCadetPIDs,0)),"")="No"),"FINAL EXAM AFTER FAILED FINAL PT (500.1.H)","OK")))))))</f>
        <v/>
      </c>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IF($C578="","",IF($K578="","",IF(COUNTIFS(nrES_PID,$D578,nrES_Code,$F578,nrES_Att,"&gt;"&amp;$K578,nrES_Raw,"&gt;=0")=0,"Yes","No")))</f>
        <v/>
      </c>
      <c r="Q578" s="17">
        <f>IF($C578="","",IF($L578="","",IF(AND($K578=1,ISNUMBER($L578),$L578&lt;$J578,COUNTIFS(nrES_PID,$D578,nrES_Code,$F578,nrES_Att,2,nrES_Raw,"&gt;=0")=0),"Yes","No")))</f>
        <v/>
      </c>
      <c r="R578" s="17">
        <f>IF($C578="","",IF($L578="","",IF(AND($K578=2,ISNUMBER($L578),$L578&lt;$J578),"Yes","No")))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OR($C578="",$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RANGE",IF(COUNTIF(nrES_RecID,$B578)&gt;1,"DUPLICATE RECORD",IF(AND($K578=2,COUNTIFS(nrES_PID,$D578,nrES_Code,$F578,nrES_Att,1)=0),"ATTEMPT 2 WITHOUT ATTEMPT 1",IF(AND($K578=2,$L578=""),"RETEST ROW HAS NO SCORE",IF(AND($H578="Final",$L578&lt;&gt;"",IFERROR(INDEX(nrCKfinalExamElig,MATCH($D578,rngCadetPIDs,0)),"")="No"),"FINAL EXAM AFTER FAILED FINAL PT (500.1.H)","OK")))))))</f>
        <v/>
      </c>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IF($C579="","",IF($K579="","",IF(COUNTIFS(nrES_PID,$D579,nrES_Code,$F579,nrES_Att,"&gt;"&amp;$K579,nrES_Raw,"&gt;=0")=0,"Yes","No")))</f>
        <v/>
      </c>
      <c r="Q579" s="17">
        <f>IF($C579="","",IF($L579="","",IF(AND($K579=1,ISNUMBER($L579),$L579&lt;$J579,COUNTIFS(nrES_PID,$D579,nrES_Code,$F579,nrES_Att,2,nrES_Raw,"&gt;=0")=0),"Yes","No")))</f>
        <v/>
      </c>
      <c r="R579" s="17">
        <f>IF($C579="","",IF($L579="","",IF(AND($K579=2,ISNUMBER($L579),$L579&lt;$J579),"Yes","No")))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OR($C579="",$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RANGE",IF(COUNTIF(nrES_RecID,$B579)&gt;1,"DUPLICATE RECORD",IF(AND($K579=2,COUNTIFS(nrES_PID,$D579,nrES_Code,$F579,nrES_Att,1)=0),"ATTEMPT 2 WITHOUT ATTEMPT 1",IF(AND($K579=2,$L579=""),"RETEST ROW HAS NO SCORE",IF(AND($H579="Final",$L579&lt;&gt;"",IFERROR(INDEX(nrCKfinalExamElig,MATCH($D579,rngCadetPIDs,0)),"")="No"),"FINAL EXAM AFTER FAILED FINAL PT (500.1.H)","OK")))))))</f>
        <v/>
      </c>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IF($C580="","",IF($K580="","",IF(COUNTIFS(nrES_PID,$D580,nrES_Code,$F580,nrES_Att,"&gt;"&amp;$K580,nrES_Raw,"&gt;=0")=0,"Yes","No")))</f>
        <v/>
      </c>
      <c r="Q580" s="17">
        <f>IF($C580="","",IF($L580="","",IF(AND($K580=1,ISNUMBER($L580),$L580&lt;$J580,COUNTIFS(nrES_PID,$D580,nrES_Code,$F580,nrES_Att,2,nrES_Raw,"&gt;=0")=0),"Yes","No")))</f>
        <v/>
      </c>
      <c r="R580" s="17">
        <f>IF($C580="","",IF($L580="","",IF(AND($K580=2,ISNUMBER($L580),$L580&lt;$J580),"Yes","No")))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OR($C580="",$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RANGE",IF(COUNTIF(nrES_RecID,$B580)&gt;1,"DUPLICATE RECORD",IF(AND($K580=2,COUNTIFS(nrES_PID,$D580,nrES_Code,$F580,nrES_Att,1)=0),"ATTEMPT 2 WITHOUT ATTEMPT 1",IF(AND($K580=2,$L580=""),"RETEST ROW HAS NO SCORE",IF(AND($H580="Final",$L580&lt;&gt;"",IFERROR(INDEX(nrCKfinalExamElig,MATCH($D580,rngCadetPIDs,0)),"")="No"),"FINAL EXAM AFTER FAILED FINAL PT (500.1.H)","OK")))))))</f>
        <v/>
      </c>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IF($C581="","",IF($K581="","",IF(COUNTIFS(nrES_PID,$D581,nrES_Code,$F581,nrES_Att,"&gt;"&amp;$K581,nrES_Raw,"&gt;=0")=0,"Yes","No")))</f>
        <v/>
      </c>
      <c r="Q581" s="17">
        <f>IF($C581="","",IF($L581="","",IF(AND($K581=1,ISNUMBER($L581),$L581&lt;$J581,COUNTIFS(nrES_PID,$D581,nrES_Code,$F581,nrES_Att,2,nrES_Raw,"&gt;=0")=0),"Yes","No")))</f>
        <v/>
      </c>
      <c r="R581" s="17">
        <f>IF($C581="","",IF($L581="","",IF(AND($K581=2,ISNUMBER($L581),$L581&lt;$J581),"Yes","No")))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OR($C581="",$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RANGE",IF(COUNTIF(nrES_RecID,$B581)&gt;1,"DUPLICATE RECORD",IF(AND($K581=2,COUNTIFS(nrES_PID,$D581,nrES_Code,$F581,nrES_Att,1)=0),"ATTEMPT 2 WITHOUT ATTEMPT 1",IF(AND($K581=2,$L581=""),"RETEST ROW HAS NO SCORE",IF(AND($H581="Final",$L581&lt;&gt;"",IFERROR(INDEX(nrCKfinalExamElig,MATCH($D581,rngCadetPIDs,0)),"")="No"),"FINAL EXAM AFTER FAILED FINAL PT (500.1.H)","OK")))))))</f>
        <v/>
      </c>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IF($C582="","",IF($K582="","",IF(COUNTIFS(nrES_PID,$D582,nrES_Code,$F582,nrES_Att,"&gt;"&amp;$K582,nrES_Raw,"&gt;=0")=0,"Yes","No")))</f>
        <v/>
      </c>
      <c r="Q582" s="17">
        <f>IF($C582="","",IF($L582="","",IF(AND($K582=1,ISNUMBER($L582),$L582&lt;$J582,COUNTIFS(nrES_PID,$D582,nrES_Code,$F582,nrES_Att,2,nrES_Raw,"&gt;=0")=0),"Yes","No")))</f>
        <v/>
      </c>
      <c r="R582" s="17">
        <f>IF($C582="","",IF($L582="","",IF(AND($K582=2,ISNUMBER($L582),$L582&lt;$J582),"Yes","No")))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OR($C582="",$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RANGE",IF(COUNTIF(nrES_RecID,$B582)&gt;1,"DUPLICATE RECORD",IF(AND($K582=2,COUNTIFS(nrES_PID,$D582,nrES_Code,$F582,nrES_Att,1)=0),"ATTEMPT 2 WITHOUT ATTEMPT 1",IF(AND($K582=2,$L582=""),"RETEST ROW HAS NO SCORE",IF(AND($H582="Final",$L582&lt;&gt;"",IFERROR(INDEX(nrCKfinalExamElig,MATCH($D582,rngCadetPIDs,0)),"")="No"),"FINAL EXAM AFTER FAILED FINAL PT (500.1.H)","OK")))))))</f>
        <v/>
      </c>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IF($C583="","",IF($K583="","",IF(COUNTIFS(nrES_PID,$D583,nrES_Code,$F583,nrES_Att,"&gt;"&amp;$K583,nrES_Raw,"&gt;=0")=0,"Yes","No")))</f>
        <v/>
      </c>
      <c r="Q583" s="17">
        <f>IF($C583="","",IF($L583="","",IF(AND($K583=1,ISNUMBER($L583),$L583&lt;$J583,COUNTIFS(nrES_PID,$D583,nrES_Code,$F583,nrES_Att,2,nrES_Raw,"&gt;=0")=0),"Yes","No")))</f>
        <v/>
      </c>
      <c r="R583" s="17">
        <f>IF($C583="","",IF($L583="","",IF(AND($K583=2,ISNUMBER($L583),$L583&lt;$J583),"Yes","No")))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OR($C583="",$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RANGE",IF(COUNTIF(nrES_RecID,$B583)&gt;1,"DUPLICATE RECORD",IF(AND($K583=2,COUNTIFS(nrES_PID,$D583,nrES_Code,$F583,nrES_Att,1)=0),"ATTEMPT 2 WITHOUT ATTEMPT 1",IF(AND($K583=2,$L583=""),"RETEST ROW HAS NO SCORE",IF(AND($H583="Final",$L583&lt;&gt;"",IFERROR(INDEX(nrCKfinalExamElig,MATCH($D583,rngCadetPIDs,0)),"")="No"),"FINAL EXAM AFTER FAILED FINAL PT (500.1.H)","OK")))))))</f>
        <v/>
      </c>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IF($C584="","",IF($K584="","",IF(COUNTIFS(nrES_PID,$D584,nrES_Code,$F584,nrES_Att,"&gt;"&amp;$K584,nrES_Raw,"&gt;=0")=0,"Yes","No")))</f>
        <v/>
      </c>
      <c r="Q584" s="17">
        <f>IF($C584="","",IF($L584="","",IF(AND($K584=1,ISNUMBER($L584),$L584&lt;$J584,COUNTIFS(nrES_PID,$D584,nrES_Code,$F584,nrES_Att,2,nrES_Raw,"&gt;=0")=0),"Yes","No")))</f>
        <v/>
      </c>
      <c r="R584" s="17">
        <f>IF($C584="","",IF($L584="","",IF(AND($K584=2,ISNUMBER($L584),$L584&lt;$J584),"Yes","No")))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OR($C584="",$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RANGE",IF(COUNTIF(nrES_RecID,$B584)&gt;1,"DUPLICATE RECORD",IF(AND($K584=2,COUNTIFS(nrES_PID,$D584,nrES_Code,$F584,nrES_Att,1)=0),"ATTEMPT 2 WITHOUT ATTEMPT 1",IF(AND($K584=2,$L584=""),"RETEST ROW HAS NO SCORE",IF(AND($H584="Final",$L584&lt;&gt;"",IFERROR(INDEX(nrCKfinalExamElig,MATCH($D584,rngCadetPIDs,0)),"")="No"),"FINAL EXAM AFTER FAILED FINAL PT (500.1.H)","OK")))))))</f>
        <v/>
      </c>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IF($C585="","",IF($K585="","",IF(COUNTIFS(nrES_PID,$D585,nrES_Code,$F585,nrES_Att,"&gt;"&amp;$K585,nrES_Raw,"&gt;=0")=0,"Yes","No")))</f>
        <v/>
      </c>
      <c r="Q585" s="17">
        <f>IF($C585="","",IF($L585="","",IF(AND($K585=1,ISNUMBER($L585),$L585&lt;$J585,COUNTIFS(nrES_PID,$D585,nrES_Code,$F585,nrES_Att,2,nrES_Raw,"&gt;=0")=0),"Yes","No")))</f>
        <v/>
      </c>
      <c r="R585" s="17">
        <f>IF($C585="","",IF($L585="","",IF(AND($K585=2,ISNUMBER($L585),$L585&lt;$J585),"Yes","No")))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OR($C585="",$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RANGE",IF(COUNTIF(nrES_RecID,$B585)&gt;1,"DUPLICATE RECORD",IF(AND($K585=2,COUNTIFS(nrES_PID,$D585,nrES_Code,$F585,nrES_Att,1)=0),"ATTEMPT 2 WITHOUT ATTEMPT 1",IF(AND($K585=2,$L585=""),"RETEST ROW HAS NO SCORE",IF(AND($H585="Final",$L585&lt;&gt;"",IFERROR(INDEX(nrCKfinalExamElig,MATCH($D585,rngCadetPIDs,0)),"")="No"),"FINAL EXAM AFTER FAILED FINAL PT (500.1.H)","OK")))))))</f>
        <v/>
      </c>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IF($C586="","",IF($K586="","",IF(COUNTIFS(nrES_PID,$D586,nrES_Code,$F586,nrES_Att,"&gt;"&amp;$K586,nrES_Raw,"&gt;=0")=0,"Yes","No")))</f>
        <v/>
      </c>
      <c r="Q586" s="17">
        <f>IF($C586="","",IF($L586="","",IF(AND($K586=1,ISNUMBER($L586),$L586&lt;$J586,COUNTIFS(nrES_PID,$D586,nrES_Code,$F586,nrES_Att,2,nrES_Raw,"&gt;=0")=0),"Yes","No")))</f>
        <v/>
      </c>
      <c r="R586" s="17">
        <f>IF($C586="","",IF($L586="","",IF(AND($K586=2,ISNUMBER($L586),$L586&lt;$J586),"Yes","No")))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OR($C586="",$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RANGE",IF(COUNTIF(nrES_RecID,$B586)&gt;1,"DUPLICATE RECORD",IF(AND($K586=2,COUNTIFS(nrES_PID,$D586,nrES_Code,$F586,nrES_Att,1)=0),"ATTEMPT 2 WITHOUT ATTEMPT 1",IF(AND($K586=2,$L586=""),"RETEST ROW HAS NO SCORE",IF(AND($H586="Final",$L586&lt;&gt;"",IFERROR(INDEX(nrCKfinalExamElig,MATCH($D586,rngCadetPIDs,0)),"")="No"),"FINAL EXAM AFTER FAILED FINAL PT (500.1.H)","OK")))))))</f>
        <v/>
      </c>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IF($C587="","",IF($K587="","",IF(COUNTIFS(nrES_PID,$D587,nrES_Code,$F587,nrES_Att,"&gt;"&amp;$K587,nrES_Raw,"&gt;=0")=0,"Yes","No")))</f>
        <v/>
      </c>
      <c r="Q587" s="17">
        <f>IF($C587="","",IF($L587="","",IF(AND($K587=1,ISNUMBER($L587),$L587&lt;$J587,COUNTIFS(nrES_PID,$D587,nrES_Code,$F587,nrES_Att,2,nrES_Raw,"&gt;=0")=0),"Yes","No")))</f>
        <v/>
      </c>
      <c r="R587" s="17">
        <f>IF($C587="","",IF($L587="","",IF(AND($K587=2,ISNUMBER($L587),$L587&lt;$J587),"Yes","No")))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OR($C587="",$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RANGE",IF(COUNTIF(nrES_RecID,$B587)&gt;1,"DUPLICATE RECORD",IF(AND($K587=2,COUNTIFS(nrES_PID,$D587,nrES_Code,$F587,nrES_Att,1)=0),"ATTEMPT 2 WITHOUT ATTEMPT 1",IF(AND($K587=2,$L587=""),"RETEST ROW HAS NO SCORE",IF(AND($H587="Final",$L587&lt;&gt;"",IFERROR(INDEX(nrCKfinalExamElig,MATCH($D587,rngCadetPIDs,0)),"")="No"),"FINAL EXAM AFTER FAILED FINAL PT (500.1.H)","OK")))))))</f>
        <v/>
      </c>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IF($C588="","",IF($K588="","",IF(COUNTIFS(nrES_PID,$D588,nrES_Code,$F588,nrES_Att,"&gt;"&amp;$K588,nrES_Raw,"&gt;=0")=0,"Yes","No")))</f>
        <v/>
      </c>
      <c r="Q588" s="17">
        <f>IF($C588="","",IF($L588="","",IF(AND($K588=1,ISNUMBER($L588),$L588&lt;$J588,COUNTIFS(nrES_PID,$D588,nrES_Code,$F588,nrES_Att,2,nrES_Raw,"&gt;=0")=0),"Yes","No")))</f>
        <v/>
      </c>
      <c r="R588" s="17">
        <f>IF($C588="","",IF($L588="","",IF(AND($K588=2,ISNUMBER($L588),$L588&lt;$J588),"Yes","No")))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OR($C588="",$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RANGE",IF(COUNTIF(nrES_RecID,$B588)&gt;1,"DUPLICATE RECORD",IF(AND($K588=2,COUNTIFS(nrES_PID,$D588,nrES_Code,$F588,nrES_Att,1)=0),"ATTEMPT 2 WITHOUT ATTEMPT 1",IF(AND($K588=2,$L588=""),"RETEST ROW HAS NO SCORE",IF(AND($H588="Final",$L588&lt;&gt;"",IFERROR(INDEX(nrCKfinalExamElig,MATCH($D588,rngCadetPIDs,0)),"")="No"),"FINAL EXAM AFTER FAILED FINAL PT (500.1.H)","OK")))))))</f>
        <v/>
      </c>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IF($C589="","",IF($K589="","",IF(COUNTIFS(nrES_PID,$D589,nrES_Code,$F589,nrES_Att,"&gt;"&amp;$K589,nrES_Raw,"&gt;=0")=0,"Yes","No")))</f>
        <v/>
      </c>
      <c r="Q589" s="17">
        <f>IF($C589="","",IF($L589="","",IF(AND($K589=1,ISNUMBER($L589),$L589&lt;$J589,COUNTIFS(nrES_PID,$D589,nrES_Code,$F589,nrES_Att,2,nrES_Raw,"&gt;=0")=0),"Yes","No")))</f>
        <v/>
      </c>
      <c r="R589" s="17">
        <f>IF($C589="","",IF($L589="","",IF(AND($K589=2,ISNUMBER($L589),$L589&lt;$J589),"Yes","No")))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OR($C589="",$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RANGE",IF(COUNTIF(nrES_RecID,$B589)&gt;1,"DUPLICATE RECORD",IF(AND($K589=2,COUNTIFS(nrES_PID,$D589,nrES_Code,$F589,nrES_Att,1)=0),"ATTEMPT 2 WITHOUT ATTEMPT 1",IF(AND($K589=2,$L589=""),"RETEST ROW HAS NO SCORE",IF(AND($H589="Final",$L589&lt;&gt;"",IFERROR(INDEX(nrCKfinalExamElig,MATCH($D589,rngCadetPIDs,0)),"")="No"),"FINAL EXAM AFTER FAILED FINAL PT (500.1.H)","OK")))))))</f>
        <v/>
      </c>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IF($C590="","",IF($K590="","",IF(COUNTIFS(nrES_PID,$D590,nrES_Code,$F590,nrES_Att,"&gt;"&amp;$K590,nrES_Raw,"&gt;=0")=0,"Yes","No")))</f>
        <v/>
      </c>
      <c r="Q590" s="17">
        <f>IF($C590="","",IF($L590="","",IF(AND($K590=1,ISNUMBER($L590),$L590&lt;$J590,COUNTIFS(nrES_PID,$D590,nrES_Code,$F590,nrES_Att,2,nrES_Raw,"&gt;=0")=0),"Yes","No")))</f>
        <v/>
      </c>
      <c r="R590" s="17">
        <f>IF($C590="","",IF($L590="","",IF(AND($K590=2,ISNUMBER($L590),$L590&lt;$J590),"Yes","No")))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OR($C590="",$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RANGE",IF(COUNTIF(nrES_RecID,$B590)&gt;1,"DUPLICATE RECORD",IF(AND($K590=2,COUNTIFS(nrES_PID,$D590,nrES_Code,$F590,nrES_Att,1)=0),"ATTEMPT 2 WITHOUT ATTEMPT 1",IF(AND($K590=2,$L590=""),"RETEST ROW HAS NO SCORE",IF(AND($H590="Final",$L590&lt;&gt;"",IFERROR(INDEX(nrCKfinalExamElig,MATCH($D590,rngCadetPIDs,0)),"")="No"),"FINAL EXAM AFTER FAILED FINAL PT (500.1.H)","OK")))))))</f>
        <v/>
      </c>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IF($C591="","",IF($K591="","",IF(COUNTIFS(nrES_PID,$D591,nrES_Code,$F591,nrES_Att,"&gt;"&amp;$K591,nrES_Raw,"&gt;=0")=0,"Yes","No")))</f>
        <v/>
      </c>
      <c r="Q591" s="17">
        <f>IF($C591="","",IF($L591="","",IF(AND($K591=1,ISNUMBER($L591),$L591&lt;$J591,COUNTIFS(nrES_PID,$D591,nrES_Code,$F591,nrES_Att,2,nrES_Raw,"&gt;=0")=0),"Yes","No")))</f>
        <v/>
      </c>
      <c r="R591" s="17">
        <f>IF($C591="","",IF($L591="","",IF(AND($K591=2,ISNUMBER($L591),$L591&lt;$J591),"Yes","No")))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OR($C591="",$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RANGE",IF(COUNTIF(nrES_RecID,$B591)&gt;1,"DUPLICATE RECORD",IF(AND($K591=2,COUNTIFS(nrES_PID,$D591,nrES_Code,$F591,nrES_Att,1)=0),"ATTEMPT 2 WITHOUT ATTEMPT 1",IF(AND($K591=2,$L591=""),"RETEST ROW HAS NO SCORE",IF(AND($H591="Final",$L591&lt;&gt;"",IFERROR(INDEX(nrCKfinalExamElig,MATCH($D591,rngCadetPIDs,0)),"")="No"),"FINAL EXAM AFTER FAILED FINAL PT (500.1.H)","OK")))))))</f>
        <v/>
      </c>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IF($C592="","",IF($K592="","",IF(COUNTIFS(nrES_PID,$D592,nrES_Code,$F592,nrES_Att,"&gt;"&amp;$K592,nrES_Raw,"&gt;=0")=0,"Yes","No")))</f>
        <v/>
      </c>
      <c r="Q592" s="17">
        <f>IF($C592="","",IF($L592="","",IF(AND($K592=1,ISNUMBER($L592),$L592&lt;$J592,COUNTIFS(nrES_PID,$D592,nrES_Code,$F592,nrES_Att,2,nrES_Raw,"&gt;=0")=0),"Yes","No")))</f>
        <v/>
      </c>
      <c r="R592" s="17">
        <f>IF($C592="","",IF($L592="","",IF(AND($K592=2,ISNUMBER($L592),$L592&lt;$J592),"Yes","No")))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OR($C592="",$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RANGE",IF(COUNTIF(nrES_RecID,$B592)&gt;1,"DUPLICATE RECORD",IF(AND($K592=2,COUNTIFS(nrES_PID,$D592,nrES_Code,$F592,nrES_Att,1)=0),"ATTEMPT 2 WITHOUT ATTEMPT 1",IF(AND($K592=2,$L592=""),"RETEST ROW HAS NO SCORE",IF(AND($H592="Final",$L592&lt;&gt;"",IFERROR(INDEX(nrCKfinalExamElig,MATCH($D592,rngCadetPIDs,0)),"")="No"),"FINAL EXAM AFTER FAILED FINAL PT (500.1.H)","OK")))))))</f>
        <v/>
      </c>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IF($C593="","",IF($K593="","",IF(COUNTIFS(nrES_PID,$D593,nrES_Code,$F593,nrES_Att,"&gt;"&amp;$K593,nrES_Raw,"&gt;=0")=0,"Yes","No")))</f>
        <v/>
      </c>
      <c r="Q593" s="17">
        <f>IF($C593="","",IF($L593="","",IF(AND($K593=1,ISNUMBER($L593),$L593&lt;$J593,COUNTIFS(nrES_PID,$D593,nrES_Code,$F593,nrES_Att,2,nrES_Raw,"&gt;=0")=0),"Yes","No")))</f>
        <v/>
      </c>
      <c r="R593" s="17">
        <f>IF($C593="","",IF($L593="","",IF(AND($K593=2,ISNUMBER($L593),$L593&lt;$J593),"Yes","No")))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OR($C593="",$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RANGE",IF(COUNTIF(nrES_RecID,$B593)&gt;1,"DUPLICATE RECORD",IF(AND($K593=2,COUNTIFS(nrES_PID,$D593,nrES_Code,$F593,nrES_Att,1)=0),"ATTEMPT 2 WITHOUT ATTEMPT 1",IF(AND($K593=2,$L593=""),"RETEST ROW HAS NO SCORE",IF(AND($H593="Final",$L593&lt;&gt;"",IFERROR(INDEX(nrCKfinalExamElig,MATCH($D593,rngCadetPIDs,0)),"")="No"),"FINAL EXAM AFTER FAILED FINAL PT (500.1.H)","OK")))))))</f>
        <v/>
      </c>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IF($C594="","",IF($K594="","",IF(COUNTIFS(nrES_PID,$D594,nrES_Code,$F594,nrES_Att,"&gt;"&amp;$K594,nrES_Raw,"&gt;=0")=0,"Yes","No")))</f>
        <v/>
      </c>
      <c r="Q594" s="17">
        <f>IF($C594="","",IF($L594="","",IF(AND($K594=1,ISNUMBER($L594),$L594&lt;$J594,COUNTIFS(nrES_PID,$D594,nrES_Code,$F594,nrES_Att,2,nrES_Raw,"&gt;=0")=0),"Yes","No")))</f>
        <v/>
      </c>
      <c r="R594" s="17">
        <f>IF($C594="","",IF($L594="","",IF(AND($K594=2,ISNUMBER($L594),$L594&lt;$J594),"Yes","No")))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OR($C594="",$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RANGE",IF(COUNTIF(nrES_RecID,$B594)&gt;1,"DUPLICATE RECORD",IF(AND($K594=2,COUNTIFS(nrES_PID,$D594,nrES_Code,$F594,nrES_Att,1)=0),"ATTEMPT 2 WITHOUT ATTEMPT 1",IF(AND($K594=2,$L594=""),"RETEST ROW HAS NO SCORE",IF(AND($H594="Final",$L594&lt;&gt;"",IFERROR(INDEX(nrCKfinalExamElig,MATCH($D594,rngCadetPIDs,0)),"")="No"),"FINAL EXAM AFTER FAILED FINAL PT (500.1.H)","OK")))))))</f>
        <v/>
      </c>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IF($C595="","",IF($K595="","",IF(COUNTIFS(nrES_PID,$D595,nrES_Code,$F595,nrES_Att,"&gt;"&amp;$K595,nrES_Raw,"&gt;=0")=0,"Yes","No")))</f>
        <v/>
      </c>
      <c r="Q595" s="17">
        <f>IF($C595="","",IF($L595="","",IF(AND($K595=1,ISNUMBER($L595),$L595&lt;$J595,COUNTIFS(nrES_PID,$D595,nrES_Code,$F595,nrES_Att,2,nrES_Raw,"&gt;=0")=0),"Yes","No")))</f>
        <v/>
      </c>
      <c r="R595" s="17">
        <f>IF($C595="","",IF($L595="","",IF(AND($K595=2,ISNUMBER($L595),$L595&lt;$J595),"Yes","No")))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OR($C595="",$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RANGE",IF(COUNTIF(nrES_RecID,$B595)&gt;1,"DUPLICATE RECORD",IF(AND($K595=2,COUNTIFS(nrES_PID,$D595,nrES_Code,$F595,nrES_Att,1)=0),"ATTEMPT 2 WITHOUT ATTEMPT 1",IF(AND($K595=2,$L595=""),"RETEST ROW HAS NO SCORE",IF(AND($H595="Final",$L595&lt;&gt;"",IFERROR(INDEX(nrCKfinalExamElig,MATCH($D595,rngCadetPIDs,0)),"")="No"),"FINAL EXAM AFTER FAILED FINAL PT (500.1.H)","OK")))))))</f>
        <v/>
      </c>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IF($C596="","",IF($K596="","",IF(COUNTIFS(nrES_PID,$D596,nrES_Code,$F596,nrES_Att,"&gt;"&amp;$K596,nrES_Raw,"&gt;=0")=0,"Yes","No")))</f>
        <v/>
      </c>
      <c r="Q596" s="17">
        <f>IF($C596="","",IF($L596="","",IF(AND($K596=1,ISNUMBER($L596),$L596&lt;$J596,COUNTIFS(nrES_PID,$D596,nrES_Code,$F596,nrES_Att,2,nrES_Raw,"&gt;=0")=0),"Yes","No")))</f>
        <v/>
      </c>
      <c r="R596" s="17">
        <f>IF($C596="","",IF($L596="","",IF(AND($K596=2,ISNUMBER($L596),$L596&lt;$J596),"Yes","No")))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OR($C596="",$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RANGE",IF(COUNTIF(nrES_RecID,$B596)&gt;1,"DUPLICATE RECORD",IF(AND($K596=2,COUNTIFS(nrES_PID,$D596,nrES_Code,$F596,nrES_Att,1)=0),"ATTEMPT 2 WITHOUT ATTEMPT 1",IF(AND($K596=2,$L596=""),"RETEST ROW HAS NO SCORE",IF(AND($H596="Final",$L596&lt;&gt;"",IFERROR(INDEX(nrCKfinalExamElig,MATCH($D596,rngCadetPIDs,0)),"")="No"),"FINAL EXAM AFTER FAILED FINAL PT (500.1.H)","OK")))))))</f>
        <v/>
      </c>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IF($C597="","",IF($K597="","",IF(COUNTIFS(nrES_PID,$D597,nrES_Code,$F597,nrES_Att,"&gt;"&amp;$K597,nrES_Raw,"&gt;=0")=0,"Yes","No")))</f>
        <v/>
      </c>
      <c r="Q597" s="17">
        <f>IF($C597="","",IF($L597="","",IF(AND($K597=1,ISNUMBER($L597),$L597&lt;$J597,COUNTIFS(nrES_PID,$D597,nrES_Code,$F597,nrES_Att,2,nrES_Raw,"&gt;=0")=0),"Yes","No")))</f>
        <v/>
      </c>
      <c r="R597" s="17">
        <f>IF($C597="","",IF($L597="","",IF(AND($K597=2,ISNUMBER($L597),$L597&lt;$J597),"Yes","No")))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OR($C597="",$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RANGE",IF(COUNTIF(nrES_RecID,$B597)&gt;1,"DUPLICATE RECORD",IF(AND($K597=2,COUNTIFS(nrES_PID,$D597,nrES_Code,$F597,nrES_Att,1)=0),"ATTEMPT 2 WITHOUT ATTEMPT 1",IF(AND($K597=2,$L597=""),"RETEST ROW HAS NO SCORE",IF(AND($H597="Final",$L597&lt;&gt;"",IFERROR(INDEX(nrCKfinalExamElig,MATCH($D597,rngCadetPIDs,0)),"")="No"),"FINAL EXAM AFTER FAILED FINAL PT (500.1.H)","OK")))))))</f>
        <v/>
      </c>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IF($C598="","",IF($K598="","",IF(COUNTIFS(nrES_PID,$D598,nrES_Code,$F598,nrES_Att,"&gt;"&amp;$K598,nrES_Raw,"&gt;=0")=0,"Yes","No")))</f>
        <v/>
      </c>
      <c r="Q598" s="17">
        <f>IF($C598="","",IF($L598="","",IF(AND($K598=1,ISNUMBER($L598),$L598&lt;$J598,COUNTIFS(nrES_PID,$D598,nrES_Code,$F598,nrES_Att,2,nrES_Raw,"&gt;=0")=0),"Yes","No")))</f>
        <v/>
      </c>
      <c r="R598" s="17">
        <f>IF($C598="","",IF($L598="","",IF(AND($K598=2,ISNUMBER($L598),$L598&lt;$J598),"Yes","No")))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OR($C598="",$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RANGE",IF(COUNTIF(nrES_RecID,$B598)&gt;1,"DUPLICATE RECORD",IF(AND($K598=2,COUNTIFS(nrES_PID,$D598,nrES_Code,$F598,nrES_Att,1)=0),"ATTEMPT 2 WITHOUT ATTEMPT 1",IF(AND($K598=2,$L598=""),"RETEST ROW HAS NO SCORE",IF(AND($H598="Final",$L598&lt;&gt;"",IFERROR(INDEX(nrCKfinalExamElig,MATCH($D598,rngCadetPIDs,0)),"")="No"),"FINAL EXAM AFTER FAILED FINAL PT (500.1.H)","OK")))))))</f>
        <v/>
      </c>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IF($C599="","",IF($K599="","",IF(COUNTIFS(nrES_PID,$D599,nrES_Code,$F599,nrES_Att,"&gt;"&amp;$K599,nrES_Raw,"&gt;=0")=0,"Yes","No")))</f>
        <v/>
      </c>
      <c r="Q599" s="17">
        <f>IF($C599="","",IF($L599="","",IF(AND($K599=1,ISNUMBER($L599),$L599&lt;$J599,COUNTIFS(nrES_PID,$D599,nrES_Code,$F599,nrES_Att,2,nrES_Raw,"&gt;=0")=0),"Yes","No")))</f>
        <v/>
      </c>
      <c r="R599" s="17">
        <f>IF($C599="","",IF($L599="","",IF(AND($K599=2,ISNUMBER($L599),$L599&lt;$J599),"Yes","No")))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OR($C599="",$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RANGE",IF(COUNTIF(nrES_RecID,$B599)&gt;1,"DUPLICATE RECORD",IF(AND($K599=2,COUNTIFS(nrES_PID,$D599,nrES_Code,$F599,nrES_Att,1)=0),"ATTEMPT 2 WITHOUT ATTEMPT 1",IF(AND($K599=2,$L599=""),"RETEST ROW HAS NO SCORE",IF(AND($H599="Final",$L599&lt;&gt;"",IFERROR(INDEX(nrCKfinalExamElig,MATCH($D599,rngCadetPIDs,0)),"")="No"),"FINAL EXAM AFTER FAILED FINAL PT (500.1.H)","OK")))))))</f>
        <v/>
      </c>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IF($C600="","",IF($K600="","",IF(COUNTIFS(nrES_PID,$D600,nrES_Code,$F600,nrES_Att,"&gt;"&amp;$K600,nrES_Raw,"&gt;=0")=0,"Yes","No")))</f>
        <v/>
      </c>
      <c r="Q600" s="17">
        <f>IF($C600="","",IF($L600="","",IF(AND($K600=1,ISNUMBER($L600),$L600&lt;$J600,COUNTIFS(nrES_PID,$D600,nrES_Code,$F600,nrES_Att,2,nrES_Raw,"&gt;=0")=0),"Yes","No")))</f>
        <v/>
      </c>
      <c r="R600" s="17">
        <f>IF($C600="","",IF($L600="","",IF(AND($K600=2,ISNUMBER($L600),$L600&lt;$J600),"Yes","No")))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OR($C600="",$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RANGE",IF(COUNTIF(nrES_RecID,$B600)&gt;1,"DUPLICATE RECORD",IF(AND($K600=2,COUNTIFS(nrES_PID,$D600,nrES_Code,$F600,nrES_Att,1)=0),"ATTEMPT 2 WITHOUT ATTEMPT 1",IF(AND($K600=2,$L600=""),"RETEST ROW HAS NO SCORE",IF(AND($H600="Final",$L600&lt;&gt;"",IFERROR(INDEX(nrCKfinalExamElig,MATCH($D600,rngCadetPIDs,0)),"")="No"),"FINAL EXAM AFTER FAILED FINAL PT (500.1.H)","OK")))))))</f>
        <v/>
      </c>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IF($C601="","",IF($K601="","",IF(COUNTIFS(nrES_PID,$D601,nrES_Code,$F601,nrES_Att,"&gt;"&amp;$K601,nrES_Raw,"&gt;=0")=0,"Yes","No")))</f>
        <v/>
      </c>
      <c r="Q601" s="17">
        <f>IF($C601="","",IF($L601="","",IF(AND($K601=1,ISNUMBER($L601),$L601&lt;$J601,COUNTIFS(nrES_PID,$D601,nrES_Code,$F601,nrES_Att,2,nrES_Raw,"&gt;=0")=0),"Yes","No")))</f>
        <v/>
      </c>
      <c r="R601" s="17">
        <f>IF($C601="","",IF($L601="","",IF(AND($K601=2,ISNUMBER($L601),$L601&lt;$J601),"Yes","No")))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OR($C601="",$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RANGE",IF(COUNTIF(nrES_RecID,$B601)&gt;1,"DUPLICATE RECORD",IF(AND($K601=2,COUNTIFS(nrES_PID,$D601,nrES_Code,$F601,nrES_Att,1)=0),"ATTEMPT 2 WITHOUT ATTEMPT 1",IF(AND($K601=2,$L601=""),"RETEST ROW HAS NO SCORE",IF(AND($H601="Final",$L601&lt;&gt;"",IFERROR(INDEX(nrCKfinalExamElig,MATCH($D601,rngCadetPIDs,0)),"")="No"),"FINAL EXAM AFTER FAILED FINAL PT (500.1.H)","OK")))))))</f>
        <v/>
      </c>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IF($C602="","",IF($K602="","",IF(COUNTIFS(nrES_PID,$D602,nrES_Code,$F602,nrES_Att,"&gt;"&amp;$K602,nrES_Raw,"&gt;=0")=0,"Yes","No")))</f>
        <v/>
      </c>
      <c r="Q602" s="17">
        <f>IF($C602="","",IF($L602="","",IF(AND($K602=1,ISNUMBER($L602),$L602&lt;$J602,COUNTIFS(nrES_PID,$D602,nrES_Code,$F602,nrES_Att,2,nrES_Raw,"&gt;=0")=0),"Yes","No")))</f>
        <v/>
      </c>
      <c r="R602" s="17">
        <f>IF($C602="","",IF($L602="","",IF(AND($K602=2,ISNUMBER($L602),$L602&lt;$J602),"Yes","No")))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OR($C602="",$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RANGE",IF(COUNTIF(nrES_RecID,$B602)&gt;1,"DUPLICATE RECORD",IF(AND($K602=2,COUNTIFS(nrES_PID,$D602,nrES_Code,$F602,nrES_Att,1)=0),"ATTEMPT 2 WITHOUT ATTEMPT 1",IF(AND($K602=2,$L602=""),"RETEST ROW HAS NO SCORE",IF(AND($H602="Final",$L602&lt;&gt;"",IFERROR(INDEX(nrCKfinalExamElig,MATCH($D602,rngCadetPIDs,0)),"")="No"),"FINAL EXAM AFTER FAILED FINAL PT (500.1.H)","OK")))))))</f>
        <v/>
      </c>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IF($C603="","",IF($K603="","",IF(COUNTIFS(nrES_PID,$D603,nrES_Code,$F603,nrES_Att,"&gt;"&amp;$K603,nrES_Raw,"&gt;=0")=0,"Yes","No")))</f>
        <v/>
      </c>
      <c r="Q603" s="17">
        <f>IF($C603="","",IF($L603="","",IF(AND($K603=1,ISNUMBER($L603),$L603&lt;$J603,COUNTIFS(nrES_PID,$D603,nrES_Code,$F603,nrES_Att,2,nrES_Raw,"&gt;=0")=0),"Yes","No")))</f>
        <v/>
      </c>
      <c r="R603" s="17">
        <f>IF($C603="","",IF($L603="","",IF(AND($K603=2,ISNUMBER($L603),$L603&lt;$J603),"Yes","No")))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OR($C603="",$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RANGE",IF(COUNTIF(nrES_RecID,$B603)&gt;1,"DUPLICATE RECORD",IF(AND($K603=2,COUNTIFS(nrES_PID,$D603,nrES_Code,$F603,nrES_Att,1)=0),"ATTEMPT 2 WITHOUT ATTEMPT 1",IF(AND($K603=2,$L603=""),"RETEST ROW HAS NO SCORE",IF(AND($H603="Final",$L603&lt;&gt;"",IFERROR(INDEX(nrCKfinalExamElig,MATCH($D603,rngCadetPIDs,0)),"")="No"),"FINAL EXAM AFTER FAILED FINAL PT (500.1.H)","OK")))))))</f>
        <v/>
      </c>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IF($C604="","",IF($K604="","",IF(COUNTIFS(nrES_PID,$D604,nrES_Code,$F604,nrES_Att,"&gt;"&amp;$K604,nrES_Raw,"&gt;=0")=0,"Yes","No")))</f>
        <v/>
      </c>
      <c r="Q604" s="17">
        <f>IF($C604="","",IF($L604="","",IF(AND($K604=1,ISNUMBER($L604),$L604&lt;$J604,COUNTIFS(nrES_PID,$D604,nrES_Code,$F604,nrES_Att,2,nrES_Raw,"&gt;=0")=0),"Yes","No")))</f>
        <v/>
      </c>
      <c r="R604" s="17">
        <f>IF($C604="","",IF($L604="","",IF(AND($K604=2,ISNUMBER($L604),$L604&lt;$J604),"Yes","No")))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OR($C604="",$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RANGE",IF(COUNTIF(nrES_RecID,$B604)&gt;1,"DUPLICATE RECORD",IF(AND($K604=2,COUNTIFS(nrES_PID,$D604,nrES_Code,$F604,nrES_Att,1)=0),"ATTEMPT 2 WITHOUT ATTEMPT 1",IF(AND($K604=2,$L604=""),"RETEST ROW HAS NO SCORE",IF(AND($H604="Final",$L604&lt;&gt;"",IFERROR(INDEX(nrCKfinalExamElig,MATCH($D604,rngCadetPIDs,0)),"")="No"),"FINAL EXAM AFTER FAILED FINAL PT (500.1.H)","OK")))))))</f>
        <v/>
      </c>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IF($C605="","",IF($K605="","",IF(COUNTIFS(nrES_PID,$D605,nrES_Code,$F605,nrES_Att,"&gt;"&amp;$K605,nrES_Raw,"&gt;=0")=0,"Yes","No")))</f>
        <v/>
      </c>
      <c r="Q605" s="17">
        <f>IF($C605="","",IF($L605="","",IF(AND($K605=1,ISNUMBER($L605),$L605&lt;$J605,COUNTIFS(nrES_PID,$D605,nrES_Code,$F605,nrES_Att,2,nrES_Raw,"&gt;=0")=0),"Yes","No")))</f>
        <v/>
      </c>
      <c r="R605" s="17">
        <f>IF($C605="","",IF($L605="","",IF(AND($K605=2,ISNUMBER($L605),$L605&lt;$J605),"Yes","No")))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OR($C605="",$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RANGE",IF(COUNTIF(nrES_RecID,$B605)&gt;1,"DUPLICATE RECORD",IF(AND($K605=2,COUNTIFS(nrES_PID,$D605,nrES_Code,$F605,nrES_Att,1)=0),"ATTEMPT 2 WITHOUT ATTEMPT 1",IF(AND($K605=2,$L605=""),"RETEST ROW HAS NO SCORE",IF(AND($H605="Final",$L605&lt;&gt;"",IFERROR(INDEX(nrCKfinalExamElig,MATCH($D605,rngCadetPIDs,0)),"")="No"),"FINAL EXAM AFTER FAILED FINAL PT (500.1.H)","OK")))))))</f>
        <v/>
      </c>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IF($C606="","",IF($K606="","",IF(COUNTIFS(nrES_PID,$D606,nrES_Code,$F606,nrES_Att,"&gt;"&amp;$K606,nrES_Raw,"&gt;=0")=0,"Yes","No")))</f>
        <v/>
      </c>
      <c r="Q606" s="17">
        <f>IF($C606="","",IF($L606="","",IF(AND($K606=1,ISNUMBER($L606),$L606&lt;$J606,COUNTIFS(nrES_PID,$D606,nrES_Code,$F606,nrES_Att,2,nrES_Raw,"&gt;=0")=0),"Yes","No")))</f>
        <v/>
      </c>
      <c r="R606" s="17">
        <f>IF($C606="","",IF($L606="","",IF(AND($K606=2,ISNUMBER($L606),$L606&lt;$J606),"Yes","No")))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OR($C606="",$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RANGE",IF(COUNTIF(nrES_RecID,$B606)&gt;1,"DUPLICATE RECORD",IF(AND($K606=2,COUNTIFS(nrES_PID,$D606,nrES_Code,$F606,nrES_Att,1)=0),"ATTEMPT 2 WITHOUT ATTEMPT 1",IF(AND($K606=2,$L606=""),"RETEST ROW HAS NO SCORE",IF(AND($H606="Final",$L606&lt;&gt;"",IFERROR(INDEX(nrCKfinalExamElig,MATCH($D606,rngCadetPIDs,0)),"")="No"),"FINAL EXAM AFTER FAILED FINAL PT (500.1.H)","OK")))))))</f>
        <v/>
      </c>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IF($C607="","",IF($K607="","",IF(COUNTIFS(nrES_PID,$D607,nrES_Code,$F607,nrES_Att,"&gt;"&amp;$K607,nrES_Raw,"&gt;=0")=0,"Yes","No")))</f>
        <v/>
      </c>
      <c r="Q607" s="17">
        <f>IF($C607="","",IF($L607="","",IF(AND($K607=1,ISNUMBER($L607),$L607&lt;$J607,COUNTIFS(nrES_PID,$D607,nrES_Code,$F607,nrES_Att,2,nrES_Raw,"&gt;=0")=0),"Yes","No")))</f>
        <v/>
      </c>
      <c r="R607" s="17">
        <f>IF($C607="","",IF($L607="","",IF(AND($K607=2,ISNUMBER($L607),$L607&lt;$J607),"Yes","No")))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OR($C607="",$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RANGE",IF(COUNTIF(nrES_RecID,$B607)&gt;1,"DUPLICATE RECORD",IF(AND($K607=2,COUNTIFS(nrES_PID,$D607,nrES_Code,$F607,nrES_Att,1)=0),"ATTEMPT 2 WITHOUT ATTEMPT 1",IF(AND($K607=2,$L607=""),"RETEST ROW HAS NO SCORE",IF(AND($H607="Final",$L607&lt;&gt;"",IFERROR(INDEX(nrCKfinalExamElig,MATCH($D607,rngCadetPIDs,0)),"")="No"),"FINAL EXAM AFTER FAILED FINAL PT (500.1.H)","OK")))))))</f>
        <v/>
      </c>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IF($C608="","",IF($K608="","",IF(COUNTIFS(nrES_PID,$D608,nrES_Code,$F608,nrES_Att,"&gt;"&amp;$K608,nrES_Raw,"&gt;=0")=0,"Yes","No")))</f>
        <v/>
      </c>
      <c r="Q608" s="17">
        <f>IF($C608="","",IF($L608="","",IF(AND($K608=1,ISNUMBER($L608),$L608&lt;$J608,COUNTIFS(nrES_PID,$D608,nrES_Code,$F608,nrES_Att,2,nrES_Raw,"&gt;=0")=0),"Yes","No")))</f>
        <v/>
      </c>
      <c r="R608" s="17">
        <f>IF($C608="","",IF($L608="","",IF(AND($K608=2,ISNUMBER($L608),$L608&lt;$J608),"Yes","No")))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OR($C608="",$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RANGE",IF(COUNTIF(nrES_RecID,$B608)&gt;1,"DUPLICATE RECORD",IF(AND($K608=2,COUNTIFS(nrES_PID,$D608,nrES_Code,$F608,nrES_Att,1)=0),"ATTEMPT 2 WITHOUT ATTEMPT 1",IF(AND($K608=2,$L608=""),"RETEST ROW HAS NO SCORE",IF(AND($H608="Final",$L608&lt;&gt;"",IFERROR(INDEX(nrCKfinalExamElig,MATCH($D608,rngCadetPIDs,0)),"")="No"),"FINAL EXAM AFTER FAILED FINAL PT (500.1.H)","OK")))))))</f>
        <v/>
      </c>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IF($C609="","",IF($K609="","",IF(COUNTIFS(nrES_PID,$D609,nrES_Code,$F609,nrES_Att,"&gt;"&amp;$K609,nrES_Raw,"&gt;=0")=0,"Yes","No")))</f>
        <v/>
      </c>
      <c r="Q609" s="17">
        <f>IF($C609="","",IF($L609="","",IF(AND($K609=1,ISNUMBER($L609),$L609&lt;$J609,COUNTIFS(nrES_PID,$D609,nrES_Code,$F609,nrES_Att,2,nrES_Raw,"&gt;=0")=0),"Yes","No")))</f>
        <v/>
      </c>
      <c r="R609" s="17">
        <f>IF($C609="","",IF($L609="","",IF(AND($K609=2,ISNUMBER($L609),$L609&lt;$J609),"Yes","No")))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OR($C609="",$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RANGE",IF(COUNTIF(nrES_RecID,$B609)&gt;1,"DUPLICATE RECORD",IF(AND($K609=2,COUNTIFS(nrES_PID,$D609,nrES_Code,$F609,nrES_Att,1)=0),"ATTEMPT 2 WITHOUT ATTEMPT 1",IF(AND($K609=2,$L609=""),"RETEST ROW HAS NO SCORE",IF(AND($H609="Final",$L609&lt;&gt;"",IFERROR(INDEX(nrCKfinalExamElig,MATCH($D609,rngCadetPIDs,0)),"")="No"),"FINAL EXAM AFTER FAILED FINAL PT (500.1.H)","OK")))))))</f>
        <v/>
      </c>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IF($C610="","",IF($K610="","",IF(COUNTIFS(nrES_PID,$D610,nrES_Code,$F610,nrES_Att,"&gt;"&amp;$K610,nrES_Raw,"&gt;=0")=0,"Yes","No")))</f>
        <v/>
      </c>
      <c r="Q610" s="17">
        <f>IF($C610="","",IF($L610="","",IF(AND($K610=1,ISNUMBER($L610),$L610&lt;$J610,COUNTIFS(nrES_PID,$D610,nrES_Code,$F610,nrES_Att,2,nrES_Raw,"&gt;=0")=0),"Yes","No")))</f>
        <v/>
      </c>
      <c r="R610" s="17">
        <f>IF($C610="","",IF($L610="","",IF(AND($K610=2,ISNUMBER($L610),$L610&lt;$J610),"Yes","No")))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OR($C610="",$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RANGE",IF(COUNTIF(nrES_RecID,$B610)&gt;1,"DUPLICATE RECORD",IF(AND($K610=2,COUNTIFS(nrES_PID,$D610,nrES_Code,$F610,nrES_Att,1)=0),"ATTEMPT 2 WITHOUT ATTEMPT 1",IF(AND($K610=2,$L610=""),"RETEST ROW HAS NO SCORE",IF(AND($H610="Final",$L610&lt;&gt;"",IFERROR(INDEX(nrCKfinalExamElig,MATCH($D610,rngCadetPIDs,0)),"")="No"),"FINAL EXAM AFTER FAILED FINAL PT (500.1.H)","OK")))))))</f>
        <v/>
      </c>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IF($C611="","",IF($K611="","",IF(COUNTIFS(nrES_PID,$D611,nrES_Code,$F611,nrES_Att,"&gt;"&amp;$K611,nrES_Raw,"&gt;=0")=0,"Yes","No")))</f>
        <v/>
      </c>
      <c r="Q611" s="17">
        <f>IF($C611="","",IF($L611="","",IF(AND($K611=1,ISNUMBER($L611),$L611&lt;$J611,COUNTIFS(nrES_PID,$D611,nrES_Code,$F611,nrES_Att,2,nrES_Raw,"&gt;=0")=0),"Yes","No")))</f>
        <v/>
      </c>
      <c r="R611" s="17">
        <f>IF($C611="","",IF($L611="","",IF(AND($K611=2,ISNUMBER($L611),$L611&lt;$J611),"Yes","No")))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OR($C611="",$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RANGE",IF(COUNTIF(nrES_RecID,$B611)&gt;1,"DUPLICATE RECORD",IF(AND($K611=2,COUNTIFS(nrES_PID,$D611,nrES_Code,$F611,nrES_Att,1)=0),"ATTEMPT 2 WITHOUT ATTEMPT 1",IF(AND($K611=2,$L611=""),"RETEST ROW HAS NO SCORE",IF(AND($H611="Final",$L611&lt;&gt;"",IFERROR(INDEX(nrCKfinalExamElig,MATCH($D611,rngCadetPIDs,0)),"")="No"),"FINAL EXAM AFTER FAILED FINAL PT (500.1.H)","OK")))))))</f>
        <v/>
      </c>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IF($C612="","",IF($K612="","",IF(COUNTIFS(nrES_PID,$D612,nrES_Code,$F612,nrES_Att,"&gt;"&amp;$K612,nrES_Raw,"&gt;=0")=0,"Yes","No")))</f>
        <v/>
      </c>
      <c r="Q612" s="17">
        <f>IF($C612="","",IF($L612="","",IF(AND($K612=1,ISNUMBER($L612),$L612&lt;$J612,COUNTIFS(nrES_PID,$D612,nrES_Code,$F612,nrES_Att,2,nrES_Raw,"&gt;=0")=0),"Yes","No")))</f>
        <v/>
      </c>
      <c r="R612" s="17">
        <f>IF($C612="","",IF($L612="","",IF(AND($K612=2,ISNUMBER($L612),$L612&lt;$J612),"Yes","No")))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OR($C612="",$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RANGE",IF(COUNTIF(nrES_RecID,$B612)&gt;1,"DUPLICATE RECORD",IF(AND($K612=2,COUNTIFS(nrES_PID,$D612,nrES_Code,$F612,nrES_Att,1)=0),"ATTEMPT 2 WITHOUT ATTEMPT 1",IF(AND($K612=2,$L612=""),"RETEST ROW HAS NO SCORE",IF(AND($H612="Final",$L612&lt;&gt;"",IFERROR(INDEX(nrCKfinalExamElig,MATCH($D612,rngCadetPIDs,0)),"")="No"),"FINAL EXAM AFTER FAILED FINAL PT (500.1.H)","OK")))))))</f>
        <v/>
      </c>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IF($C613="","",IF($K613="","",IF(COUNTIFS(nrES_PID,$D613,nrES_Code,$F613,nrES_Att,"&gt;"&amp;$K613,nrES_Raw,"&gt;=0")=0,"Yes","No")))</f>
        <v/>
      </c>
      <c r="Q613" s="17">
        <f>IF($C613="","",IF($L613="","",IF(AND($K613=1,ISNUMBER($L613),$L613&lt;$J613,COUNTIFS(nrES_PID,$D613,nrES_Code,$F613,nrES_Att,2,nrES_Raw,"&gt;=0")=0),"Yes","No")))</f>
        <v/>
      </c>
      <c r="R613" s="17">
        <f>IF($C613="","",IF($L613="","",IF(AND($K613=2,ISNUMBER($L613),$L613&lt;$J613),"Yes","No")))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OR($C613="",$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RANGE",IF(COUNTIF(nrES_RecID,$B613)&gt;1,"DUPLICATE RECORD",IF(AND($K613=2,COUNTIFS(nrES_PID,$D613,nrES_Code,$F613,nrES_Att,1)=0),"ATTEMPT 2 WITHOUT ATTEMPT 1",IF(AND($K613=2,$L613=""),"RETEST ROW HAS NO SCORE",IF(AND($H613="Final",$L613&lt;&gt;"",IFERROR(INDEX(nrCKfinalExamElig,MATCH($D613,rngCadetPIDs,0)),"")="No"),"FINAL EXAM AFTER FAILED FINAL PT (500.1.H)","OK")))))))</f>
        <v/>
      </c>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IF($C614="","",IF($K614="","",IF(COUNTIFS(nrES_PID,$D614,nrES_Code,$F614,nrES_Att,"&gt;"&amp;$K614,nrES_Raw,"&gt;=0")=0,"Yes","No")))</f>
        <v/>
      </c>
      <c r="Q614" s="17">
        <f>IF($C614="","",IF($L614="","",IF(AND($K614=1,ISNUMBER($L614),$L614&lt;$J614,COUNTIFS(nrES_PID,$D614,nrES_Code,$F614,nrES_Att,2,nrES_Raw,"&gt;=0")=0),"Yes","No")))</f>
        <v/>
      </c>
      <c r="R614" s="17">
        <f>IF($C614="","",IF($L614="","",IF(AND($K614=2,ISNUMBER($L614),$L614&lt;$J614),"Yes","No")))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OR($C614="",$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RANGE",IF(COUNTIF(nrES_RecID,$B614)&gt;1,"DUPLICATE RECORD",IF(AND($K614=2,COUNTIFS(nrES_PID,$D614,nrES_Code,$F614,nrES_Att,1)=0),"ATTEMPT 2 WITHOUT ATTEMPT 1",IF(AND($K614=2,$L614=""),"RETEST ROW HAS NO SCORE",IF(AND($H614="Final",$L614&lt;&gt;"",IFERROR(INDEX(nrCKfinalExamElig,MATCH($D614,rngCadetPIDs,0)),"")="No"),"FINAL EXAM AFTER FAILED FINAL PT (500.1.H)","OK")))))))</f>
        <v/>
      </c>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IF($C615="","",IF($K615="","",IF(COUNTIFS(nrES_PID,$D615,nrES_Code,$F615,nrES_Att,"&gt;"&amp;$K615,nrES_Raw,"&gt;=0")=0,"Yes","No")))</f>
        <v/>
      </c>
      <c r="Q615" s="17">
        <f>IF($C615="","",IF($L615="","",IF(AND($K615=1,ISNUMBER($L615),$L615&lt;$J615,COUNTIFS(nrES_PID,$D615,nrES_Code,$F615,nrES_Att,2,nrES_Raw,"&gt;=0")=0),"Yes","No")))</f>
        <v/>
      </c>
      <c r="R615" s="17">
        <f>IF($C615="","",IF($L615="","",IF(AND($K615=2,ISNUMBER($L615),$L615&lt;$J615),"Yes","No")))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OR($C615="",$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RANGE",IF(COUNTIF(nrES_RecID,$B615)&gt;1,"DUPLICATE RECORD",IF(AND($K615=2,COUNTIFS(nrES_PID,$D615,nrES_Code,$F615,nrES_Att,1)=0),"ATTEMPT 2 WITHOUT ATTEMPT 1",IF(AND($K615=2,$L615=""),"RETEST ROW HAS NO SCORE",IF(AND($H615="Final",$L615&lt;&gt;"",IFERROR(INDEX(nrCKfinalExamElig,MATCH($D615,rngCadetPIDs,0)),"")="No"),"FINAL EXAM AFTER FAILED FINAL PT (500.1.H)","OK")))))))</f>
        <v/>
      </c>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IF($C616="","",IF($K616="","",IF(COUNTIFS(nrES_PID,$D616,nrES_Code,$F616,nrES_Att,"&gt;"&amp;$K616,nrES_Raw,"&gt;=0")=0,"Yes","No")))</f>
        <v/>
      </c>
      <c r="Q616" s="17">
        <f>IF($C616="","",IF($L616="","",IF(AND($K616=1,ISNUMBER($L616),$L616&lt;$J616,COUNTIFS(nrES_PID,$D616,nrES_Code,$F616,nrES_Att,2,nrES_Raw,"&gt;=0")=0),"Yes","No")))</f>
        <v/>
      </c>
      <c r="R616" s="17">
        <f>IF($C616="","",IF($L616="","",IF(AND($K616=2,ISNUMBER($L616),$L616&lt;$J616),"Yes","No")))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OR($C616="",$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RANGE",IF(COUNTIF(nrES_RecID,$B616)&gt;1,"DUPLICATE RECORD",IF(AND($K616=2,COUNTIFS(nrES_PID,$D616,nrES_Code,$F616,nrES_Att,1)=0),"ATTEMPT 2 WITHOUT ATTEMPT 1",IF(AND($K616=2,$L616=""),"RETEST ROW HAS NO SCORE",IF(AND($H616="Final",$L616&lt;&gt;"",IFERROR(INDEX(nrCKfinalExamElig,MATCH($D616,rngCadetPIDs,0)),"")="No"),"FINAL EXAM AFTER FAILED FINAL PT (500.1.H)","OK")))))))</f>
        <v/>
      </c>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IF($C617="","",IF($K617="","",IF(COUNTIFS(nrES_PID,$D617,nrES_Code,$F617,nrES_Att,"&gt;"&amp;$K617,nrES_Raw,"&gt;=0")=0,"Yes","No")))</f>
        <v/>
      </c>
      <c r="Q617" s="17">
        <f>IF($C617="","",IF($L617="","",IF(AND($K617=1,ISNUMBER($L617),$L617&lt;$J617,COUNTIFS(nrES_PID,$D617,nrES_Code,$F617,nrES_Att,2,nrES_Raw,"&gt;=0")=0),"Yes","No")))</f>
        <v/>
      </c>
      <c r="R617" s="17">
        <f>IF($C617="","",IF($L617="","",IF(AND($K617=2,ISNUMBER($L617),$L617&lt;$J617),"Yes","No")))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OR($C617="",$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RANGE",IF(COUNTIF(nrES_RecID,$B617)&gt;1,"DUPLICATE RECORD",IF(AND($K617=2,COUNTIFS(nrES_PID,$D617,nrES_Code,$F617,nrES_Att,1)=0),"ATTEMPT 2 WITHOUT ATTEMPT 1",IF(AND($K617=2,$L617=""),"RETEST ROW HAS NO SCORE",IF(AND($H617="Final",$L617&lt;&gt;"",IFERROR(INDEX(nrCKfinalExamElig,MATCH($D617,rngCadetPIDs,0)),"")="No"),"FINAL EXAM AFTER FAILED FINAL PT (500.1.H)","OK")))))))</f>
        <v/>
      </c>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IF($C618="","",IF($K618="","",IF(COUNTIFS(nrES_PID,$D618,nrES_Code,$F618,nrES_Att,"&gt;"&amp;$K618,nrES_Raw,"&gt;=0")=0,"Yes","No")))</f>
        <v/>
      </c>
      <c r="Q618" s="17">
        <f>IF($C618="","",IF($L618="","",IF(AND($K618=1,ISNUMBER($L618),$L618&lt;$J618,COUNTIFS(nrES_PID,$D618,nrES_Code,$F618,nrES_Att,2,nrES_Raw,"&gt;=0")=0),"Yes","No")))</f>
        <v/>
      </c>
      <c r="R618" s="17">
        <f>IF($C618="","",IF($L618="","",IF(AND($K618=2,ISNUMBER($L618),$L618&lt;$J618),"Yes","No")))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OR($C618="",$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RANGE",IF(COUNTIF(nrES_RecID,$B618)&gt;1,"DUPLICATE RECORD",IF(AND($K618=2,COUNTIFS(nrES_PID,$D618,nrES_Code,$F618,nrES_Att,1)=0),"ATTEMPT 2 WITHOUT ATTEMPT 1",IF(AND($K618=2,$L618=""),"RETEST ROW HAS NO SCORE",IF(AND($H618="Final",$L618&lt;&gt;"",IFERROR(INDEX(nrCKfinalExamElig,MATCH($D618,rngCadetPIDs,0)),"")="No"),"FINAL EXAM AFTER FAILED FINAL PT (500.1.H)","OK")))))))</f>
        <v/>
      </c>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IF($C619="","",IF($K619="","",IF(COUNTIFS(nrES_PID,$D619,nrES_Code,$F619,nrES_Att,"&gt;"&amp;$K619,nrES_Raw,"&gt;=0")=0,"Yes","No")))</f>
        <v/>
      </c>
      <c r="Q619" s="17">
        <f>IF($C619="","",IF($L619="","",IF(AND($K619=1,ISNUMBER($L619),$L619&lt;$J619,COUNTIFS(nrES_PID,$D619,nrES_Code,$F619,nrES_Att,2,nrES_Raw,"&gt;=0")=0),"Yes","No")))</f>
        <v/>
      </c>
      <c r="R619" s="17">
        <f>IF($C619="","",IF($L619="","",IF(AND($K619=2,ISNUMBER($L619),$L619&lt;$J619),"Yes","No")))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OR($C619="",$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RANGE",IF(COUNTIF(nrES_RecID,$B619)&gt;1,"DUPLICATE RECORD",IF(AND($K619=2,COUNTIFS(nrES_PID,$D619,nrES_Code,$F619,nrES_Att,1)=0),"ATTEMPT 2 WITHOUT ATTEMPT 1",IF(AND($K619=2,$L619=""),"RETEST ROW HAS NO SCORE",IF(AND($H619="Final",$L619&lt;&gt;"",IFERROR(INDEX(nrCKfinalExamElig,MATCH($D619,rngCadetPIDs,0)),"")="No"),"FINAL EXAM AFTER FAILED FINAL PT (500.1.H)","OK")))))))</f>
        <v/>
      </c>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IF($C620="","",IF($K620="","",IF(COUNTIFS(nrES_PID,$D620,nrES_Code,$F620,nrES_Att,"&gt;"&amp;$K620,nrES_Raw,"&gt;=0")=0,"Yes","No")))</f>
        <v/>
      </c>
      <c r="Q620" s="17">
        <f>IF($C620="","",IF($L620="","",IF(AND($K620=1,ISNUMBER($L620),$L620&lt;$J620,COUNTIFS(nrES_PID,$D620,nrES_Code,$F620,nrES_Att,2,nrES_Raw,"&gt;=0")=0),"Yes","No")))</f>
        <v/>
      </c>
      <c r="R620" s="17">
        <f>IF($C620="","",IF($L620="","",IF(AND($K620=2,ISNUMBER($L620),$L620&lt;$J620),"Yes","No")))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OR($C620="",$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RANGE",IF(COUNTIF(nrES_RecID,$B620)&gt;1,"DUPLICATE RECORD",IF(AND($K620=2,COUNTIFS(nrES_PID,$D620,nrES_Code,$F620,nrES_Att,1)=0),"ATTEMPT 2 WITHOUT ATTEMPT 1",IF(AND($K620=2,$L620=""),"RETEST ROW HAS NO SCORE",IF(AND($H620="Final",$L620&lt;&gt;"",IFERROR(INDEX(nrCKfinalExamElig,MATCH($D620,rngCadetPIDs,0)),"")="No"),"FINAL EXAM AFTER FAILED FINAL PT (500.1.H)","OK")))))))</f>
        <v/>
      </c>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IF($C621="","",IF($K621="","",IF(COUNTIFS(nrES_PID,$D621,nrES_Code,$F621,nrES_Att,"&gt;"&amp;$K621,nrES_Raw,"&gt;=0")=0,"Yes","No")))</f>
        <v/>
      </c>
      <c r="Q621" s="17">
        <f>IF($C621="","",IF($L621="","",IF(AND($K621=1,ISNUMBER($L621),$L621&lt;$J621,COUNTIFS(nrES_PID,$D621,nrES_Code,$F621,nrES_Att,2,nrES_Raw,"&gt;=0")=0),"Yes","No")))</f>
        <v/>
      </c>
      <c r="R621" s="17">
        <f>IF($C621="","",IF($L621="","",IF(AND($K621=2,ISNUMBER($L621),$L621&lt;$J621),"Yes","No")))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OR($C621="",$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RANGE",IF(COUNTIF(nrES_RecID,$B621)&gt;1,"DUPLICATE RECORD",IF(AND($K621=2,COUNTIFS(nrES_PID,$D621,nrES_Code,$F621,nrES_Att,1)=0),"ATTEMPT 2 WITHOUT ATTEMPT 1",IF(AND($K621=2,$L621=""),"RETEST ROW HAS NO SCORE",IF(AND($H621="Final",$L621&lt;&gt;"",IFERROR(INDEX(nrCKfinalExamElig,MATCH($D621,rngCadetPIDs,0)),"")="No"),"FINAL EXAM AFTER FAILED FINAL PT (500.1.H)","OK")))))))</f>
        <v/>
      </c>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IF($C622="","",IF($K622="","",IF(COUNTIFS(nrES_PID,$D622,nrES_Code,$F622,nrES_Att,"&gt;"&amp;$K622,nrES_Raw,"&gt;=0")=0,"Yes","No")))</f>
        <v/>
      </c>
      <c r="Q622" s="17">
        <f>IF($C622="","",IF($L622="","",IF(AND($K622=1,ISNUMBER($L622),$L622&lt;$J622,COUNTIFS(nrES_PID,$D622,nrES_Code,$F622,nrES_Att,2,nrES_Raw,"&gt;=0")=0),"Yes","No")))</f>
        <v/>
      </c>
      <c r="R622" s="17">
        <f>IF($C622="","",IF($L622="","",IF(AND($K622=2,ISNUMBER($L622),$L622&lt;$J622),"Yes","No")))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OR($C622="",$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RANGE",IF(COUNTIF(nrES_RecID,$B622)&gt;1,"DUPLICATE RECORD",IF(AND($K622=2,COUNTIFS(nrES_PID,$D622,nrES_Code,$F622,nrES_Att,1)=0),"ATTEMPT 2 WITHOUT ATTEMPT 1",IF(AND($K622=2,$L622=""),"RETEST ROW HAS NO SCORE",IF(AND($H622="Final",$L622&lt;&gt;"",IFERROR(INDEX(nrCKfinalExamElig,MATCH($D622,rngCadetPIDs,0)),"")="No"),"FINAL EXAM AFTER FAILED FINAL PT (500.1.H)","OK")))))))</f>
        <v/>
      </c>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IF($C623="","",IF($K623="","",IF(COUNTIFS(nrES_PID,$D623,nrES_Code,$F623,nrES_Att,"&gt;"&amp;$K623,nrES_Raw,"&gt;=0")=0,"Yes","No")))</f>
        <v/>
      </c>
      <c r="Q623" s="17">
        <f>IF($C623="","",IF($L623="","",IF(AND($K623=1,ISNUMBER($L623),$L623&lt;$J623,COUNTIFS(nrES_PID,$D623,nrES_Code,$F623,nrES_Att,2,nrES_Raw,"&gt;=0")=0),"Yes","No")))</f>
        <v/>
      </c>
      <c r="R623" s="17">
        <f>IF($C623="","",IF($L623="","",IF(AND($K623=2,ISNUMBER($L623),$L623&lt;$J623),"Yes","No")))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OR($C623="",$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RANGE",IF(COUNTIF(nrES_RecID,$B623)&gt;1,"DUPLICATE RECORD",IF(AND($K623=2,COUNTIFS(nrES_PID,$D623,nrES_Code,$F623,nrES_Att,1)=0),"ATTEMPT 2 WITHOUT ATTEMPT 1",IF(AND($K623=2,$L623=""),"RETEST ROW HAS NO SCORE",IF(AND($H623="Final",$L623&lt;&gt;"",IFERROR(INDEX(nrCKfinalExamElig,MATCH($D623,rngCadetPIDs,0)),"")="No"),"FINAL EXAM AFTER FAILED FINAL PT (500.1.H)","OK")))))))</f>
        <v/>
      </c>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IF($C624="","",IF($K624="","",IF(COUNTIFS(nrES_PID,$D624,nrES_Code,$F624,nrES_Att,"&gt;"&amp;$K624,nrES_Raw,"&gt;=0")=0,"Yes","No")))</f>
        <v/>
      </c>
      <c r="Q624" s="17">
        <f>IF($C624="","",IF($L624="","",IF(AND($K624=1,ISNUMBER($L624),$L624&lt;$J624,COUNTIFS(nrES_PID,$D624,nrES_Code,$F624,nrES_Att,2,nrES_Raw,"&gt;=0")=0),"Yes","No")))</f>
        <v/>
      </c>
      <c r="R624" s="17">
        <f>IF($C624="","",IF($L624="","",IF(AND($K624=2,ISNUMBER($L624),$L624&lt;$J624),"Yes","No")))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OR($C624="",$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RANGE",IF(COUNTIF(nrES_RecID,$B624)&gt;1,"DUPLICATE RECORD",IF(AND($K624=2,COUNTIFS(nrES_PID,$D624,nrES_Code,$F624,nrES_Att,1)=0),"ATTEMPT 2 WITHOUT ATTEMPT 1",IF(AND($K624=2,$L624=""),"RETEST ROW HAS NO SCORE",IF(AND($H624="Final",$L624&lt;&gt;"",IFERROR(INDEX(nrCKfinalExamElig,MATCH($D624,rngCadetPIDs,0)),"")="No"),"FINAL EXAM AFTER FAILED FINAL PT (500.1.H)","OK")))))))</f>
        <v/>
      </c>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IF($C625="","",IF($K625="","",IF(COUNTIFS(nrES_PID,$D625,nrES_Code,$F625,nrES_Att,"&gt;"&amp;$K625,nrES_Raw,"&gt;=0")=0,"Yes","No")))</f>
        <v/>
      </c>
      <c r="Q625" s="17">
        <f>IF($C625="","",IF($L625="","",IF(AND($K625=1,ISNUMBER($L625),$L625&lt;$J625,COUNTIFS(nrES_PID,$D625,nrES_Code,$F625,nrES_Att,2,nrES_Raw,"&gt;=0")=0),"Yes","No")))</f>
        <v/>
      </c>
      <c r="R625" s="17">
        <f>IF($C625="","",IF($L625="","",IF(AND($K625=2,ISNUMBER($L625),$L625&lt;$J625),"Yes","No")))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OR($C625="",$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RANGE",IF(COUNTIF(nrES_RecID,$B625)&gt;1,"DUPLICATE RECORD",IF(AND($K625=2,COUNTIFS(nrES_PID,$D625,nrES_Code,$F625,nrES_Att,1)=0),"ATTEMPT 2 WITHOUT ATTEMPT 1",IF(AND($K625=2,$L625=""),"RETEST ROW HAS NO SCORE",IF(AND($H625="Final",$L625&lt;&gt;"",IFERROR(INDEX(nrCKfinalExamElig,MATCH($D625,rngCadetPIDs,0)),"")="No"),"FINAL EXAM AFTER FAILED FINAL PT (500.1.H)","OK")))))))</f>
        <v/>
      </c>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IF($C626="","",IF($K626="","",IF(COUNTIFS(nrES_PID,$D626,nrES_Code,$F626,nrES_Att,"&gt;"&amp;$K626,nrES_Raw,"&gt;=0")=0,"Yes","No")))</f>
        <v/>
      </c>
      <c r="Q626" s="17">
        <f>IF($C626="","",IF($L626="","",IF(AND($K626=1,ISNUMBER($L626),$L626&lt;$J626,COUNTIFS(nrES_PID,$D626,nrES_Code,$F626,nrES_Att,2,nrES_Raw,"&gt;=0")=0),"Yes","No")))</f>
        <v/>
      </c>
      <c r="R626" s="17">
        <f>IF($C626="","",IF($L626="","",IF(AND($K626=2,ISNUMBER($L626),$L626&lt;$J626),"Yes","No")))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OR($C626="",$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RANGE",IF(COUNTIF(nrES_RecID,$B626)&gt;1,"DUPLICATE RECORD",IF(AND($K626=2,COUNTIFS(nrES_PID,$D626,nrES_Code,$F626,nrES_Att,1)=0),"ATTEMPT 2 WITHOUT ATTEMPT 1",IF(AND($K626=2,$L626=""),"RETEST ROW HAS NO SCORE",IF(AND($H626="Final",$L626&lt;&gt;"",IFERROR(INDEX(nrCKfinalExamElig,MATCH($D626,rngCadetPIDs,0)),"")="No"),"FINAL EXAM AFTER FAILED FINAL PT (500.1.H)","OK")))))))</f>
        <v/>
      </c>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IF($C627="","",IF($K627="","",IF(COUNTIFS(nrES_PID,$D627,nrES_Code,$F627,nrES_Att,"&gt;"&amp;$K627,nrES_Raw,"&gt;=0")=0,"Yes","No")))</f>
        <v/>
      </c>
      <c r="Q627" s="17">
        <f>IF($C627="","",IF($L627="","",IF(AND($K627=1,ISNUMBER($L627),$L627&lt;$J627,COUNTIFS(nrES_PID,$D627,nrES_Code,$F627,nrES_Att,2,nrES_Raw,"&gt;=0")=0),"Yes","No")))</f>
        <v/>
      </c>
      <c r="R627" s="17">
        <f>IF($C627="","",IF($L627="","",IF(AND($K627=2,ISNUMBER($L627),$L627&lt;$J627),"Yes","No")))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OR($C627="",$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RANGE",IF(COUNTIF(nrES_RecID,$B627)&gt;1,"DUPLICATE RECORD",IF(AND($K627=2,COUNTIFS(nrES_PID,$D627,nrES_Code,$F627,nrES_Att,1)=0),"ATTEMPT 2 WITHOUT ATTEMPT 1",IF(AND($K627=2,$L627=""),"RETEST ROW HAS NO SCORE",IF(AND($H627="Final",$L627&lt;&gt;"",IFERROR(INDEX(nrCKfinalExamElig,MATCH($D627,rngCadetPIDs,0)),"")="No"),"FINAL EXAM AFTER FAILED FINAL PT (500.1.H)","OK")))))))</f>
        <v/>
      </c>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IF($C628="","",IF($K628="","",IF(COUNTIFS(nrES_PID,$D628,nrES_Code,$F628,nrES_Att,"&gt;"&amp;$K628,nrES_Raw,"&gt;=0")=0,"Yes","No")))</f>
        <v/>
      </c>
      <c r="Q628" s="17">
        <f>IF($C628="","",IF($L628="","",IF(AND($K628=1,ISNUMBER($L628),$L628&lt;$J628,COUNTIFS(nrES_PID,$D628,nrES_Code,$F628,nrES_Att,2,nrES_Raw,"&gt;=0")=0),"Yes","No")))</f>
        <v/>
      </c>
      <c r="R628" s="17">
        <f>IF($C628="","",IF($L628="","",IF(AND($K628=2,ISNUMBER($L628),$L628&lt;$J628),"Yes","No")))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OR($C628="",$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RANGE",IF(COUNTIF(nrES_RecID,$B628)&gt;1,"DUPLICATE RECORD",IF(AND($K628=2,COUNTIFS(nrES_PID,$D628,nrES_Code,$F628,nrES_Att,1)=0),"ATTEMPT 2 WITHOUT ATTEMPT 1",IF(AND($K628=2,$L628=""),"RETEST ROW HAS NO SCORE",IF(AND($H628="Final",$L628&lt;&gt;"",IFERROR(INDEX(nrCKfinalExamElig,MATCH($D628,rngCadetPIDs,0)),"")="No"),"FINAL EXAM AFTER FAILED FINAL PT (500.1.H)","OK")))))))</f>
        <v/>
      </c>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IF($C629="","",IF($K629="","",IF(COUNTIFS(nrES_PID,$D629,nrES_Code,$F629,nrES_Att,"&gt;"&amp;$K629,nrES_Raw,"&gt;=0")=0,"Yes","No")))</f>
        <v/>
      </c>
      <c r="Q629" s="17">
        <f>IF($C629="","",IF($L629="","",IF(AND($K629=1,ISNUMBER($L629),$L629&lt;$J629,COUNTIFS(nrES_PID,$D629,nrES_Code,$F629,nrES_Att,2,nrES_Raw,"&gt;=0")=0),"Yes","No")))</f>
        <v/>
      </c>
      <c r="R629" s="17">
        <f>IF($C629="","",IF($L629="","",IF(AND($K629=2,ISNUMBER($L629),$L629&lt;$J629),"Yes","No")))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OR($C629="",$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RANGE",IF(COUNTIF(nrES_RecID,$B629)&gt;1,"DUPLICATE RECORD",IF(AND($K629=2,COUNTIFS(nrES_PID,$D629,nrES_Code,$F629,nrES_Att,1)=0),"ATTEMPT 2 WITHOUT ATTEMPT 1",IF(AND($K629=2,$L629=""),"RETEST ROW HAS NO SCORE",IF(AND($H629="Final",$L629&lt;&gt;"",IFERROR(INDEX(nrCKfinalExamElig,MATCH($D629,rngCadetPIDs,0)),"")="No"),"FINAL EXAM AFTER FAILED FINAL PT (500.1.H)","OK")))))))</f>
        <v/>
      </c>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IF($C630="","",IF($K630="","",IF(COUNTIFS(nrES_PID,$D630,nrES_Code,$F630,nrES_Att,"&gt;"&amp;$K630,nrES_Raw,"&gt;=0")=0,"Yes","No")))</f>
        <v/>
      </c>
      <c r="Q630" s="17">
        <f>IF($C630="","",IF($L630="","",IF(AND($K630=1,ISNUMBER($L630),$L630&lt;$J630,COUNTIFS(nrES_PID,$D630,nrES_Code,$F630,nrES_Att,2,nrES_Raw,"&gt;=0")=0),"Yes","No")))</f>
        <v/>
      </c>
      <c r="R630" s="17">
        <f>IF($C630="","",IF($L630="","",IF(AND($K630=2,ISNUMBER($L630),$L630&lt;$J630),"Yes","No")))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OR($C630="",$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RANGE",IF(COUNTIF(nrES_RecID,$B630)&gt;1,"DUPLICATE RECORD",IF(AND($K630=2,COUNTIFS(nrES_PID,$D630,nrES_Code,$F630,nrES_Att,1)=0),"ATTEMPT 2 WITHOUT ATTEMPT 1",IF(AND($K630=2,$L630=""),"RETEST ROW HAS NO SCORE",IF(AND($H630="Final",$L630&lt;&gt;"",IFERROR(INDEX(nrCKfinalExamElig,MATCH($D630,rngCadetPIDs,0)),"")="No"),"FINAL EXAM AFTER FAILED FINAL PT (500.1.H)","OK")))))))</f>
        <v/>
      </c>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IF($C631="","",IF($K631="","",IF(COUNTIFS(nrES_PID,$D631,nrES_Code,$F631,nrES_Att,"&gt;"&amp;$K631,nrES_Raw,"&gt;=0")=0,"Yes","No")))</f>
        <v/>
      </c>
      <c r="Q631" s="17">
        <f>IF($C631="","",IF($L631="","",IF(AND($K631=1,ISNUMBER($L631),$L631&lt;$J631,COUNTIFS(nrES_PID,$D631,nrES_Code,$F631,nrES_Att,2,nrES_Raw,"&gt;=0")=0),"Yes","No")))</f>
        <v/>
      </c>
      <c r="R631" s="17">
        <f>IF($C631="","",IF($L631="","",IF(AND($K631=2,ISNUMBER($L631),$L631&lt;$J631),"Yes","No")))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OR($C631="",$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RANGE",IF(COUNTIF(nrES_RecID,$B631)&gt;1,"DUPLICATE RECORD",IF(AND($K631=2,COUNTIFS(nrES_PID,$D631,nrES_Code,$F631,nrES_Att,1)=0),"ATTEMPT 2 WITHOUT ATTEMPT 1",IF(AND($K631=2,$L631=""),"RETEST ROW HAS NO SCORE",IF(AND($H631="Final",$L631&lt;&gt;"",IFERROR(INDEX(nrCKfinalExamElig,MATCH($D631,rngCadetPIDs,0)),"")="No"),"FINAL EXAM AFTER FAILED FINAL PT (500.1.H)","OK")))))))</f>
        <v/>
      </c>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IF($C632="","",IF($K632="","",IF(COUNTIFS(nrES_PID,$D632,nrES_Code,$F632,nrES_Att,"&gt;"&amp;$K632,nrES_Raw,"&gt;=0")=0,"Yes","No")))</f>
        <v/>
      </c>
      <c r="Q632" s="17">
        <f>IF($C632="","",IF($L632="","",IF(AND($K632=1,ISNUMBER($L632),$L632&lt;$J632,COUNTIFS(nrES_PID,$D632,nrES_Code,$F632,nrES_Att,2,nrES_Raw,"&gt;=0")=0),"Yes","No")))</f>
        <v/>
      </c>
      <c r="R632" s="17">
        <f>IF($C632="","",IF($L632="","",IF(AND($K632=2,ISNUMBER($L632),$L632&lt;$J632),"Yes","No")))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OR($C632="",$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RANGE",IF(COUNTIF(nrES_RecID,$B632)&gt;1,"DUPLICATE RECORD",IF(AND($K632=2,COUNTIFS(nrES_PID,$D632,nrES_Code,$F632,nrES_Att,1)=0),"ATTEMPT 2 WITHOUT ATTEMPT 1",IF(AND($K632=2,$L632=""),"RETEST ROW HAS NO SCORE",IF(AND($H632="Final",$L632&lt;&gt;"",IFERROR(INDEX(nrCKfinalExamElig,MATCH($D632,rngCadetPIDs,0)),"")="No"),"FINAL EXAM AFTER FAILED FINAL PT (500.1.H)","OK")))))))</f>
        <v/>
      </c>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IF($C633="","",IF($K633="","",IF(COUNTIFS(nrES_PID,$D633,nrES_Code,$F633,nrES_Att,"&gt;"&amp;$K633,nrES_Raw,"&gt;=0")=0,"Yes","No")))</f>
        <v/>
      </c>
      <c r="Q633" s="17">
        <f>IF($C633="","",IF($L633="","",IF(AND($K633=1,ISNUMBER($L633),$L633&lt;$J633,COUNTIFS(nrES_PID,$D633,nrES_Code,$F633,nrES_Att,2,nrES_Raw,"&gt;=0")=0),"Yes","No")))</f>
        <v/>
      </c>
      <c r="R633" s="17">
        <f>IF($C633="","",IF($L633="","",IF(AND($K633=2,ISNUMBER($L633),$L633&lt;$J633),"Yes","No")))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OR($C633="",$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RANGE",IF(COUNTIF(nrES_RecID,$B633)&gt;1,"DUPLICATE RECORD",IF(AND($K633=2,COUNTIFS(nrES_PID,$D633,nrES_Code,$F633,nrES_Att,1)=0),"ATTEMPT 2 WITHOUT ATTEMPT 1",IF(AND($K633=2,$L633=""),"RETEST ROW HAS NO SCORE",IF(AND($H633="Final",$L633&lt;&gt;"",IFERROR(INDEX(nrCKfinalExamElig,MATCH($D633,rngCadetPIDs,0)),"")="No"),"FINAL EXAM AFTER FAILED FINAL PT (500.1.H)","OK")))))))</f>
        <v/>
      </c>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IF($C634="","",IF($K634="","",IF(COUNTIFS(nrES_PID,$D634,nrES_Code,$F634,nrES_Att,"&gt;"&amp;$K634,nrES_Raw,"&gt;=0")=0,"Yes","No")))</f>
        <v/>
      </c>
      <c r="Q634" s="17">
        <f>IF($C634="","",IF($L634="","",IF(AND($K634=1,ISNUMBER($L634),$L634&lt;$J634,COUNTIFS(nrES_PID,$D634,nrES_Code,$F634,nrES_Att,2,nrES_Raw,"&gt;=0")=0),"Yes","No")))</f>
        <v/>
      </c>
      <c r="R634" s="17">
        <f>IF($C634="","",IF($L634="","",IF(AND($K634=2,ISNUMBER($L634),$L634&lt;$J634),"Yes","No")))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OR($C634="",$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RANGE",IF(COUNTIF(nrES_RecID,$B634)&gt;1,"DUPLICATE RECORD",IF(AND($K634=2,COUNTIFS(nrES_PID,$D634,nrES_Code,$F634,nrES_Att,1)=0),"ATTEMPT 2 WITHOUT ATTEMPT 1",IF(AND($K634=2,$L634=""),"RETEST ROW HAS NO SCORE",IF(AND($H634="Final",$L634&lt;&gt;"",IFERROR(INDEX(nrCKfinalExamElig,MATCH($D634,rngCadetPIDs,0)),"")="No"),"FINAL EXAM AFTER FAILED FINAL PT (500.1.H)","OK")))))))</f>
        <v/>
      </c>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IF($C635="","",IF($K635="","",IF(COUNTIFS(nrES_PID,$D635,nrES_Code,$F635,nrES_Att,"&gt;"&amp;$K635,nrES_Raw,"&gt;=0")=0,"Yes","No")))</f>
        <v/>
      </c>
      <c r="Q635" s="17">
        <f>IF($C635="","",IF($L635="","",IF(AND($K635=1,ISNUMBER($L635),$L635&lt;$J635,COUNTIFS(nrES_PID,$D635,nrES_Code,$F635,nrES_Att,2,nrES_Raw,"&gt;=0")=0),"Yes","No")))</f>
        <v/>
      </c>
      <c r="R635" s="17">
        <f>IF($C635="","",IF($L635="","",IF(AND($K635=2,ISNUMBER($L635),$L635&lt;$J635),"Yes","No")))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OR($C635="",$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RANGE",IF(COUNTIF(nrES_RecID,$B635)&gt;1,"DUPLICATE RECORD",IF(AND($K635=2,COUNTIFS(nrES_PID,$D635,nrES_Code,$F635,nrES_Att,1)=0),"ATTEMPT 2 WITHOUT ATTEMPT 1",IF(AND($K635=2,$L635=""),"RETEST ROW HAS NO SCORE",IF(AND($H635="Final",$L635&lt;&gt;"",IFERROR(INDEX(nrCKfinalExamElig,MATCH($D635,rngCadetPIDs,0)),"")="No"),"FINAL EXAM AFTER FAILED FINAL PT (500.1.H)","OK")))))))</f>
        <v/>
      </c>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IF($C636="","",IF($K636="","",IF(COUNTIFS(nrES_PID,$D636,nrES_Code,$F636,nrES_Att,"&gt;"&amp;$K636,nrES_Raw,"&gt;=0")=0,"Yes","No")))</f>
        <v/>
      </c>
      <c r="Q636" s="17">
        <f>IF($C636="","",IF($L636="","",IF(AND($K636=1,ISNUMBER($L636),$L636&lt;$J636,COUNTIFS(nrES_PID,$D636,nrES_Code,$F636,nrES_Att,2,nrES_Raw,"&gt;=0")=0),"Yes","No")))</f>
        <v/>
      </c>
      <c r="R636" s="17">
        <f>IF($C636="","",IF($L636="","",IF(AND($K636=2,ISNUMBER($L636),$L636&lt;$J636),"Yes","No")))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OR($C636="",$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RANGE",IF(COUNTIF(nrES_RecID,$B636)&gt;1,"DUPLICATE RECORD",IF(AND($K636=2,COUNTIFS(nrES_PID,$D636,nrES_Code,$F636,nrES_Att,1)=0),"ATTEMPT 2 WITHOUT ATTEMPT 1",IF(AND($K636=2,$L636=""),"RETEST ROW HAS NO SCORE",IF(AND($H636="Final",$L636&lt;&gt;"",IFERROR(INDEX(nrCKfinalExamElig,MATCH($D636,rngCadetPIDs,0)),"")="No"),"FINAL EXAM AFTER FAILED FINAL PT (500.1.H)","OK")))))))</f>
        <v/>
      </c>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IF($C637="","",IF($K637="","",IF(COUNTIFS(nrES_PID,$D637,nrES_Code,$F637,nrES_Att,"&gt;"&amp;$K637,nrES_Raw,"&gt;=0")=0,"Yes","No")))</f>
        <v/>
      </c>
      <c r="Q637" s="17">
        <f>IF($C637="","",IF($L637="","",IF(AND($K637=1,ISNUMBER($L637),$L637&lt;$J637,COUNTIFS(nrES_PID,$D637,nrES_Code,$F637,nrES_Att,2,nrES_Raw,"&gt;=0")=0),"Yes","No")))</f>
        <v/>
      </c>
      <c r="R637" s="17">
        <f>IF($C637="","",IF($L637="","",IF(AND($K637=2,ISNUMBER($L637),$L637&lt;$J637),"Yes","No")))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OR($C637="",$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RANGE",IF(COUNTIF(nrES_RecID,$B637)&gt;1,"DUPLICATE RECORD",IF(AND($K637=2,COUNTIFS(nrES_PID,$D637,nrES_Code,$F637,nrES_Att,1)=0),"ATTEMPT 2 WITHOUT ATTEMPT 1",IF(AND($K637=2,$L637=""),"RETEST ROW HAS NO SCORE",IF(AND($H637="Final",$L637&lt;&gt;"",IFERROR(INDEX(nrCKfinalExamElig,MATCH($D637,rngCadetPIDs,0)),"")="No"),"FINAL EXAM AFTER FAILED FINAL PT (500.1.H)","OK")))))))</f>
        <v/>
      </c>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IF($C638="","",IF($K638="","",IF(COUNTIFS(nrES_PID,$D638,nrES_Code,$F638,nrES_Att,"&gt;"&amp;$K638,nrES_Raw,"&gt;=0")=0,"Yes","No")))</f>
        <v/>
      </c>
      <c r="Q638" s="17">
        <f>IF($C638="","",IF($L638="","",IF(AND($K638=1,ISNUMBER($L638),$L638&lt;$J638,COUNTIFS(nrES_PID,$D638,nrES_Code,$F638,nrES_Att,2,nrES_Raw,"&gt;=0")=0),"Yes","No")))</f>
        <v/>
      </c>
      <c r="R638" s="17">
        <f>IF($C638="","",IF($L638="","",IF(AND($K638=2,ISNUMBER($L638),$L638&lt;$J638),"Yes","No")))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OR($C638="",$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RANGE",IF(COUNTIF(nrES_RecID,$B638)&gt;1,"DUPLICATE RECORD",IF(AND($K638=2,COUNTIFS(nrES_PID,$D638,nrES_Code,$F638,nrES_Att,1)=0),"ATTEMPT 2 WITHOUT ATTEMPT 1",IF(AND($K638=2,$L638=""),"RETEST ROW HAS NO SCORE",IF(AND($H638="Final",$L638&lt;&gt;"",IFERROR(INDEX(nrCKfinalExamElig,MATCH($D638,rngCadetPIDs,0)),"")="No"),"FINAL EXAM AFTER FAILED FINAL PT (500.1.H)","OK")))))))</f>
        <v/>
      </c>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IF($C639="","",IF($K639="","",IF(COUNTIFS(nrES_PID,$D639,nrES_Code,$F639,nrES_Att,"&gt;"&amp;$K639,nrES_Raw,"&gt;=0")=0,"Yes","No")))</f>
        <v/>
      </c>
      <c r="Q639" s="17">
        <f>IF($C639="","",IF($L639="","",IF(AND($K639=1,ISNUMBER($L639),$L639&lt;$J639,COUNTIFS(nrES_PID,$D639,nrES_Code,$F639,nrES_Att,2,nrES_Raw,"&gt;=0")=0),"Yes","No")))</f>
        <v/>
      </c>
      <c r="R639" s="17">
        <f>IF($C639="","",IF($L639="","",IF(AND($K639=2,ISNUMBER($L639),$L639&lt;$J639),"Yes","No")))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OR($C639="",$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RANGE",IF(COUNTIF(nrES_RecID,$B639)&gt;1,"DUPLICATE RECORD",IF(AND($K639=2,COUNTIFS(nrES_PID,$D639,nrES_Code,$F639,nrES_Att,1)=0),"ATTEMPT 2 WITHOUT ATTEMPT 1",IF(AND($K639=2,$L639=""),"RETEST ROW HAS NO SCORE",IF(AND($H639="Final",$L639&lt;&gt;"",IFERROR(INDEX(nrCKfinalExamElig,MATCH($D639,rngCadetPIDs,0)),"")="No"),"FINAL EXAM AFTER FAILED FINAL PT (500.1.H)","OK")))))))</f>
        <v/>
      </c>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IF($C640="","",IF($K640="","",IF(COUNTIFS(nrES_PID,$D640,nrES_Code,$F640,nrES_Att,"&gt;"&amp;$K640,nrES_Raw,"&gt;=0")=0,"Yes","No")))</f>
        <v/>
      </c>
      <c r="Q640" s="17">
        <f>IF($C640="","",IF($L640="","",IF(AND($K640=1,ISNUMBER($L640),$L640&lt;$J640,COUNTIFS(nrES_PID,$D640,nrES_Code,$F640,nrES_Att,2,nrES_Raw,"&gt;=0")=0),"Yes","No")))</f>
        <v/>
      </c>
      <c r="R640" s="17">
        <f>IF($C640="","",IF($L640="","",IF(AND($K640=2,ISNUMBER($L640),$L640&lt;$J640),"Yes","No")))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OR($C640="",$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RANGE",IF(COUNTIF(nrES_RecID,$B640)&gt;1,"DUPLICATE RECORD",IF(AND($K640=2,COUNTIFS(nrES_PID,$D640,nrES_Code,$F640,nrES_Att,1)=0),"ATTEMPT 2 WITHOUT ATTEMPT 1",IF(AND($K640=2,$L640=""),"RETEST ROW HAS NO SCORE",IF(AND($H640="Final",$L640&lt;&gt;"",IFERROR(INDEX(nrCKfinalExamElig,MATCH($D640,rngCadetPIDs,0)),"")="No"),"FINAL EXAM AFTER FAILED FINAL PT (500.1.H)","OK")))))))</f>
        <v/>
      </c>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IF($C641="","",IF($K641="","",IF(COUNTIFS(nrES_PID,$D641,nrES_Code,$F641,nrES_Att,"&gt;"&amp;$K641,nrES_Raw,"&gt;=0")=0,"Yes","No")))</f>
        <v/>
      </c>
      <c r="Q641" s="17">
        <f>IF($C641="","",IF($L641="","",IF(AND($K641=1,ISNUMBER($L641),$L641&lt;$J641,COUNTIFS(nrES_PID,$D641,nrES_Code,$F641,nrES_Att,2,nrES_Raw,"&gt;=0")=0),"Yes","No")))</f>
        <v/>
      </c>
      <c r="R641" s="17">
        <f>IF($C641="","",IF($L641="","",IF(AND($K641=2,ISNUMBER($L641),$L641&lt;$J641),"Yes","No")))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OR($C641="",$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RANGE",IF(COUNTIF(nrES_RecID,$B641)&gt;1,"DUPLICATE RECORD",IF(AND($K641=2,COUNTIFS(nrES_PID,$D641,nrES_Code,$F641,nrES_Att,1)=0),"ATTEMPT 2 WITHOUT ATTEMPT 1",IF(AND($K641=2,$L641=""),"RETEST ROW HAS NO SCORE",IF(AND($H641="Final",$L641&lt;&gt;"",IFERROR(INDEX(nrCKfinalExamElig,MATCH($D641,rngCadetPIDs,0)),"")="No"),"FINAL EXAM AFTER FAILED FINAL PT (500.1.H)","OK")))))))</f>
        <v/>
      </c>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IF($C642="","",IF($K642="","",IF(COUNTIFS(nrES_PID,$D642,nrES_Code,$F642,nrES_Att,"&gt;"&amp;$K642,nrES_Raw,"&gt;=0")=0,"Yes","No")))</f>
        <v/>
      </c>
      <c r="Q642" s="17">
        <f>IF($C642="","",IF($L642="","",IF(AND($K642=1,ISNUMBER($L642),$L642&lt;$J642,COUNTIFS(nrES_PID,$D642,nrES_Code,$F642,nrES_Att,2,nrES_Raw,"&gt;=0")=0),"Yes","No")))</f>
        <v/>
      </c>
      <c r="R642" s="17">
        <f>IF($C642="","",IF($L642="","",IF(AND($K642=2,ISNUMBER($L642),$L642&lt;$J642),"Yes","No")))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OR($C642="",$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RANGE",IF(COUNTIF(nrES_RecID,$B642)&gt;1,"DUPLICATE RECORD",IF(AND($K642=2,COUNTIFS(nrES_PID,$D642,nrES_Code,$F642,nrES_Att,1)=0),"ATTEMPT 2 WITHOUT ATTEMPT 1",IF(AND($K642=2,$L642=""),"RETEST ROW HAS NO SCORE",IF(AND($H642="Final",$L642&lt;&gt;"",IFERROR(INDEX(nrCKfinalExamElig,MATCH($D642,rngCadetPIDs,0)),"")="No"),"FINAL EXAM AFTER FAILED FINAL PT (500.1.H)","OK")))))))</f>
        <v/>
      </c>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IF($C643="","",IF($K643="","",IF(COUNTIFS(nrES_PID,$D643,nrES_Code,$F643,nrES_Att,"&gt;"&amp;$K643,nrES_Raw,"&gt;=0")=0,"Yes","No")))</f>
        <v/>
      </c>
      <c r="Q643" s="17">
        <f>IF($C643="","",IF($L643="","",IF(AND($K643=1,ISNUMBER($L643),$L643&lt;$J643,COUNTIFS(nrES_PID,$D643,nrES_Code,$F643,nrES_Att,2,nrES_Raw,"&gt;=0")=0),"Yes","No")))</f>
        <v/>
      </c>
      <c r="R643" s="17">
        <f>IF($C643="","",IF($L643="","",IF(AND($K643=2,ISNUMBER($L643),$L643&lt;$J643),"Yes","No")))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OR($C643="",$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RANGE",IF(COUNTIF(nrES_RecID,$B643)&gt;1,"DUPLICATE RECORD",IF(AND($K643=2,COUNTIFS(nrES_PID,$D643,nrES_Code,$F643,nrES_Att,1)=0),"ATTEMPT 2 WITHOUT ATTEMPT 1",IF(AND($K643=2,$L643=""),"RETEST ROW HAS NO SCORE",IF(AND($H643="Final",$L643&lt;&gt;"",IFERROR(INDEX(nrCKfinalExamElig,MATCH($D643,rngCadetPIDs,0)),"")="No"),"FINAL EXAM AFTER FAILED FINAL PT (500.1.H)","OK")))))))</f>
        <v/>
      </c>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IF($C644="","",IF($K644="","",IF(COUNTIFS(nrES_PID,$D644,nrES_Code,$F644,nrES_Att,"&gt;"&amp;$K644,nrES_Raw,"&gt;=0")=0,"Yes","No")))</f>
        <v/>
      </c>
      <c r="Q644" s="17">
        <f>IF($C644="","",IF($L644="","",IF(AND($K644=1,ISNUMBER($L644),$L644&lt;$J644,COUNTIFS(nrES_PID,$D644,nrES_Code,$F644,nrES_Att,2,nrES_Raw,"&gt;=0")=0),"Yes","No")))</f>
        <v/>
      </c>
      <c r="R644" s="17">
        <f>IF($C644="","",IF($L644="","",IF(AND($K644=2,ISNUMBER($L644),$L644&lt;$J644),"Yes","No")))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OR($C644="",$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RANGE",IF(COUNTIF(nrES_RecID,$B644)&gt;1,"DUPLICATE RECORD",IF(AND($K644=2,COUNTIFS(nrES_PID,$D644,nrES_Code,$F644,nrES_Att,1)=0),"ATTEMPT 2 WITHOUT ATTEMPT 1",IF(AND($K644=2,$L644=""),"RETEST ROW HAS NO SCORE",IF(AND($H644="Final",$L644&lt;&gt;"",IFERROR(INDEX(nrCKfinalExamElig,MATCH($D644,rngCadetPIDs,0)),"")="No"),"FINAL EXAM AFTER FAILED FINAL PT (500.1.H)","OK")))))))</f>
        <v/>
      </c>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IF($C645="","",IF($K645="","",IF(COUNTIFS(nrES_PID,$D645,nrES_Code,$F645,nrES_Att,"&gt;"&amp;$K645,nrES_Raw,"&gt;=0")=0,"Yes","No")))</f>
        <v/>
      </c>
      <c r="Q645" s="17">
        <f>IF($C645="","",IF($L645="","",IF(AND($K645=1,ISNUMBER($L645),$L645&lt;$J645,COUNTIFS(nrES_PID,$D645,nrES_Code,$F645,nrES_Att,2,nrES_Raw,"&gt;=0")=0),"Yes","No")))</f>
        <v/>
      </c>
      <c r="R645" s="17">
        <f>IF($C645="","",IF($L645="","",IF(AND($K645=2,ISNUMBER($L645),$L645&lt;$J645),"Yes","No")))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OR($C645="",$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RANGE",IF(COUNTIF(nrES_RecID,$B645)&gt;1,"DUPLICATE RECORD",IF(AND($K645=2,COUNTIFS(nrES_PID,$D645,nrES_Code,$F645,nrES_Att,1)=0),"ATTEMPT 2 WITHOUT ATTEMPT 1",IF(AND($K645=2,$L645=""),"RETEST ROW HAS NO SCORE",IF(AND($H645="Final",$L645&lt;&gt;"",IFERROR(INDEX(nrCKfinalExamElig,MATCH($D645,rngCadetPIDs,0)),"")="No"),"FINAL EXAM AFTER FAILED FINAL PT (500.1.H)","OK")))))))</f>
        <v/>
      </c>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IF($C646="","",IF($K646="","",IF(COUNTIFS(nrES_PID,$D646,nrES_Code,$F646,nrES_Att,"&gt;"&amp;$K646,nrES_Raw,"&gt;=0")=0,"Yes","No")))</f>
        <v/>
      </c>
      <c r="Q646" s="17">
        <f>IF($C646="","",IF($L646="","",IF(AND($K646=1,ISNUMBER($L646),$L646&lt;$J646,COUNTIFS(nrES_PID,$D646,nrES_Code,$F646,nrES_Att,2,nrES_Raw,"&gt;=0")=0),"Yes","No")))</f>
        <v/>
      </c>
      <c r="R646" s="17">
        <f>IF($C646="","",IF($L646="","",IF(AND($K646=2,ISNUMBER($L646),$L646&lt;$J646),"Yes","No")))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OR($C646="",$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RANGE",IF(COUNTIF(nrES_RecID,$B646)&gt;1,"DUPLICATE RECORD",IF(AND($K646=2,COUNTIFS(nrES_PID,$D646,nrES_Code,$F646,nrES_Att,1)=0),"ATTEMPT 2 WITHOUT ATTEMPT 1",IF(AND($K646=2,$L646=""),"RETEST ROW HAS NO SCORE",IF(AND($H646="Final",$L646&lt;&gt;"",IFERROR(INDEX(nrCKfinalExamElig,MATCH($D646,rngCadetPIDs,0)),"")="No"),"FINAL EXAM AFTER FAILED FINAL PT (500.1.H)","OK")))))))</f>
        <v/>
      </c>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IF($C647="","",IF($K647="","",IF(COUNTIFS(nrES_PID,$D647,nrES_Code,$F647,nrES_Att,"&gt;"&amp;$K647,nrES_Raw,"&gt;=0")=0,"Yes","No")))</f>
        <v/>
      </c>
      <c r="Q647" s="17">
        <f>IF($C647="","",IF($L647="","",IF(AND($K647=1,ISNUMBER($L647),$L647&lt;$J647,COUNTIFS(nrES_PID,$D647,nrES_Code,$F647,nrES_Att,2,nrES_Raw,"&gt;=0")=0),"Yes","No")))</f>
        <v/>
      </c>
      <c r="R647" s="17">
        <f>IF($C647="","",IF($L647="","",IF(AND($K647=2,ISNUMBER($L647),$L647&lt;$J647),"Yes","No")))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OR($C647="",$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RANGE",IF(COUNTIF(nrES_RecID,$B647)&gt;1,"DUPLICATE RECORD",IF(AND($K647=2,COUNTIFS(nrES_PID,$D647,nrES_Code,$F647,nrES_Att,1)=0),"ATTEMPT 2 WITHOUT ATTEMPT 1",IF(AND($K647=2,$L647=""),"RETEST ROW HAS NO SCORE",IF(AND($H647="Final",$L647&lt;&gt;"",IFERROR(INDEX(nrCKfinalExamElig,MATCH($D647,rngCadetPIDs,0)),"")="No"),"FINAL EXAM AFTER FAILED FINAL PT (500.1.H)","OK")))))))</f>
        <v/>
      </c>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IF($C648="","",IF($K648="","",IF(COUNTIFS(nrES_PID,$D648,nrES_Code,$F648,nrES_Att,"&gt;"&amp;$K648,nrES_Raw,"&gt;=0")=0,"Yes","No")))</f>
        <v/>
      </c>
      <c r="Q648" s="17">
        <f>IF($C648="","",IF($L648="","",IF(AND($K648=1,ISNUMBER($L648),$L648&lt;$J648,COUNTIFS(nrES_PID,$D648,nrES_Code,$F648,nrES_Att,2,nrES_Raw,"&gt;=0")=0),"Yes","No")))</f>
        <v/>
      </c>
      <c r="R648" s="17">
        <f>IF($C648="","",IF($L648="","",IF(AND($K648=2,ISNUMBER($L648),$L648&lt;$J648),"Yes","No")))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OR($C648="",$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RANGE",IF(COUNTIF(nrES_RecID,$B648)&gt;1,"DUPLICATE RECORD",IF(AND($K648=2,COUNTIFS(nrES_PID,$D648,nrES_Code,$F648,nrES_Att,1)=0),"ATTEMPT 2 WITHOUT ATTEMPT 1",IF(AND($K648=2,$L648=""),"RETEST ROW HAS NO SCORE",IF(AND($H648="Final",$L648&lt;&gt;"",IFERROR(INDEX(nrCKfinalExamElig,MATCH($D648,rngCadetPIDs,0)),"")="No"),"FINAL EXAM AFTER FAILED FINAL PT (500.1.H)","OK")))))))</f>
        <v/>
      </c>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IF($C649="","",IF($K649="","",IF(COUNTIFS(nrES_PID,$D649,nrES_Code,$F649,nrES_Att,"&gt;"&amp;$K649,nrES_Raw,"&gt;=0")=0,"Yes","No")))</f>
        <v/>
      </c>
      <c r="Q649" s="17">
        <f>IF($C649="","",IF($L649="","",IF(AND($K649=1,ISNUMBER($L649),$L649&lt;$J649,COUNTIFS(nrES_PID,$D649,nrES_Code,$F649,nrES_Att,2,nrES_Raw,"&gt;=0")=0),"Yes","No")))</f>
        <v/>
      </c>
      <c r="R649" s="17">
        <f>IF($C649="","",IF($L649="","",IF(AND($K649=2,ISNUMBER($L649),$L649&lt;$J649),"Yes","No")))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OR($C649="",$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RANGE",IF(COUNTIF(nrES_RecID,$B649)&gt;1,"DUPLICATE RECORD",IF(AND($K649=2,COUNTIFS(nrES_PID,$D649,nrES_Code,$F649,nrES_Att,1)=0),"ATTEMPT 2 WITHOUT ATTEMPT 1",IF(AND($K649=2,$L649=""),"RETEST ROW HAS NO SCORE",IF(AND($H649="Final",$L649&lt;&gt;"",IFERROR(INDEX(nrCKfinalExamElig,MATCH($D649,rngCadetPIDs,0)),"")="No"),"FINAL EXAM AFTER FAILED FINAL PT (500.1.H)","OK")))))))</f>
        <v/>
      </c>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IF($C650="","",IF($K650="","",IF(COUNTIFS(nrES_PID,$D650,nrES_Code,$F650,nrES_Att,"&gt;"&amp;$K650,nrES_Raw,"&gt;=0")=0,"Yes","No")))</f>
        <v/>
      </c>
      <c r="Q650" s="17">
        <f>IF($C650="","",IF($L650="","",IF(AND($K650=1,ISNUMBER($L650),$L650&lt;$J650,COUNTIFS(nrES_PID,$D650,nrES_Code,$F650,nrES_Att,2,nrES_Raw,"&gt;=0")=0),"Yes","No")))</f>
        <v/>
      </c>
      <c r="R650" s="17">
        <f>IF($C650="","",IF($L650="","",IF(AND($K650=2,ISNUMBER($L650),$L650&lt;$J650),"Yes","No")))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OR($C650="",$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RANGE",IF(COUNTIF(nrES_RecID,$B650)&gt;1,"DUPLICATE RECORD",IF(AND($K650=2,COUNTIFS(nrES_PID,$D650,nrES_Code,$F650,nrES_Att,1)=0),"ATTEMPT 2 WITHOUT ATTEMPT 1",IF(AND($K650=2,$L650=""),"RETEST ROW HAS NO SCORE",IF(AND($H650="Final",$L650&lt;&gt;"",IFERROR(INDEX(nrCKfinalExamElig,MATCH($D650,rngCadetPIDs,0)),"")="No"),"FINAL EXAM AFTER FAILED FINAL PT (500.1.H)","OK")))))))</f>
        <v/>
      </c>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IF($C651="","",IF($K651="","",IF(COUNTIFS(nrES_PID,$D651,nrES_Code,$F651,nrES_Att,"&gt;"&amp;$K651,nrES_Raw,"&gt;=0")=0,"Yes","No")))</f>
        <v/>
      </c>
      <c r="Q651" s="17">
        <f>IF($C651="","",IF($L651="","",IF(AND($K651=1,ISNUMBER($L651),$L651&lt;$J651,COUNTIFS(nrES_PID,$D651,nrES_Code,$F651,nrES_Att,2,nrES_Raw,"&gt;=0")=0),"Yes","No")))</f>
        <v/>
      </c>
      <c r="R651" s="17">
        <f>IF($C651="","",IF($L651="","",IF(AND($K651=2,ISNUMBER($L651),$L651&lt;$J651),"Yes","No")))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OR($C651="",$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RANGE",IF(COUNTIF(nrES_RecID,$B651)&gt;1,"DUPLICATE RECORD",IF(AND($K651=2,COUNTIFS(nrES_PID,$D651,nrES_Code,$F651,nrES_Att,1)=0),"ATTEMPT 2 WITHOUT ATTEMPT 1",IF(AND($K651=2,$L651=""),"RETEST ROW HAS NO SCORE",IF(AND($H651="Final",$L651&lt;&gt;"",IFERROR(INDEX(nrCKfinalExamElig,MATCH($D651,rngCadetPIDs,0)),"")="No"),"FINAL EXAM AFTER FAILED FINAL PT (500.1.H)","OK")))))))</f>
        <v/>
      </c>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IF($C652="","",IF($K652="","",IF(COUNTIFS(nrES_PID,$D652,nrES_Code,$F652,nrES_Att,"&gt;"&amp;$K652,nrES_Raw,"&gt;=0")=0,"Yes","No")))</f>
        <v/>
      </c>
      <c r="Q652" s="17">
        <f>IF($C652="","",IF($L652="","",IF(AND($K652=1,ISNUMBER($L652),$L652&lt;$J652,COUNTIFS(nrES_PID,$D652,nrES_Code,$F652,nrES_Att,2,nrES_Raw,"&gt;=0")=0),"Yes","No")))</f>
        <v/>
      </c>
      <c r="R652" s="17">
        <f>IF($C652="","",IF($L652="","",IF(AND($K652=2,ISNUMBER($L652),$L652&lt;$J652),"Yes","No")))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OR($C652="",$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RANGE",IF(COUNTIF(nrES_RecID,$B652)&gt;1,"DUPLICATE RECORD",IF(AND($K652=2,COUNTIFS(nrES_PID,$D652,nrES_Code,$F652,nrES_Att,1)=0),"ATTEMPT 2 WITHOUT ATTEMPT 1",IF(AND($K652=2,$L652=""),"RETEST ROW HAS NO SCORE",IF(AND($H652="Final",$L652&lt;&gt;"",IFERROR(INDEX(nrCKfinalExamElig,MATCH($D652,rngCadetPIDs,0)),"")="No"),"FINAL EXAM AFTER FAILED FINAL PT (500.1.H)","OK")))))))</f>
        <v/>
      </c>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IF($C653="","",IF($K653="","",IF(COUNTIFS(nrES_PID,$D653,nrES_Code,$F653,nrES_Att,"&gt;"&amp;$K653,nrES_Raw,"&gt;=0")=0,"Yes","No")))</f>
        <v/>
      </c>
      <c r="Q653" s="17">
        <f>IF($C653="","",IF($L653="","",IF(AND($K653=1,ISNUMBER($L653),$L653&lt;$J653,COUNTIFS(nrES_PID,$D653,nrES_Code,$F653,nrES_Att,2,nrES_Raw,"&gt;=0")=0),"Yes","No")))</f>
        <v/>
      </c>
      <c r="R653" s="17">
        <f>IF($C653="","",IF($L653="","",IF(AND($K653=2,ISNUMBER($L653),$L653&lt;$J653),"Yes","No")))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OR($C653="",$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RANGE",IF(COUNTIF(nrES_RecID,$B653)&gt;1,"DUPLICATE RECORD",IF(AND($K653=2,COUNTIFS(nrES_PID,$D653,nrES_Code,$F653,nrES_Att,1)=0),"ATTEMPT 2 WITHOUT ATTEMPT 1",IF(AND($K653=2,$L653=""),"RETEST ROW HAS NO SCORE",IF(AND($H653="Final",$L653&lt;&gt;"",IFERROR(INDEX(nrCKfinalExamElig,MATCH($D653,rngCadetPIDs,0)),"")="No"),"FINAL EXAM AFTER FAILED FINAL PT (500.1.H)","OK")))))))</f>
        <v/>
      </c>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IF($C654="","",IF($K654="","",IF(COUNTIFS(nrES_PID,$D654,nrES_Code,$F654,nrES_Att,"&gt;"&amp;$K654,nrES_Raw,"&gt;=0")=0,"Yes","No")))</f>
        <v/>
      </c>
      <c r="Q654" s="17">
        <f>IF($C654="","",IF($L654="","",IF(AND($K654=1,ISNUMBER($L654),$L654&lt;$J654,COUNTIFS(nrES_PID,$D654,nrES_Code,$F654,nrES_Att,2,nrES_Raw,"&gt;=0")=0),"Yes","No")))</f>
        <v/>
      </c>
      <c r="R654" s="17">
        <f>IF($C654="","",IF($L654="","",IF(AND($K654=2,ISNUMBER($L654),$L654&lt;$J654),"Yes","No")))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OR($C654="",$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RANGE",IF(COUNTIF(nrES_RecID,$B654)&gt;1,"DUPLICATE RECORD",IF(AND($K654=2,COUNTIFS(nrES_PID,$D654,nrES_Code,$F654,nrES_Att,1)=0),"ATTEMPT 2 WITHOUT ATTEMPT 1",IF(AND($K654=2,$L654=""),"RETEST ROW HAS NO SCORE",IF(AND($H654="Final",$L654&lt;&gt;"",IFERROR(INDEX(nrCKfinalExamElig,MATCH($D654,rngCadetPIDs,0)),"")="No"),"FINAL EXAM AFTER FAILED FINAL PT (500.1.H)","OK")))))))</f>
        <v/>
      </c>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IF($C655="","",IF($K655="","",IF(COUNTIFS(nrES_PID,$D655,nrES_Code,$F655,nrES_Att,"&gt;"&amp;$K655,nrES_Raw,"&gt;=0")=0,"Yes","No")))</f>
        <v/>
      </c>
      <c r="Q655" s="17">
        <f>IF($C655="","",IF($L655="","",IF(AND($K655=1,ISNUMBER($L655),$L655&lt;$J655,COUNTIFS(nrES_PID,$D655,nrES_Code,$F655,nrES_Att,2,nrES_Raw,"&gt;=0")=0),"Yes","No")))</f>
        <v/>
      </c>
      <c r="R655" s="17">
        <f>IF($C655="","",IF($L655="","",IF(AND($K655=2,ISNUMBER($L655),$L655&lt;$J655),"Yes","No")))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OR($C655="",$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RANGE",IF(COUNTIF(nrES_RecID,$B655)&gt;1,"DUPLICATE RECORD",IF(AND($K655=2,COUNTIFS(nrES_PID,$D655,nrES_Code,$F655,nrES_Att,1)=0),"ATTEMPT 2 WITHOUT ATTEMPT 1",IF(AND($K655=2,$L655=""),"RETEST ROW HAS NO SCORE",IF(AND($H655="Final",$L655&lt;&gt;"",IFERROR(INDEX(nrCKfinalExamElig,MATCH($D655,rngCadetPIDs,0)),"")="No"),"FINAL EXAM AFTER FAILED FINAL PT (500.1.H)","OK")))))))</f>
        <v/>
      </c>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IF($C656="","",IF($K656="","",IF(COUNTIFS(nrES_PID,$D656,nrES_Code,$F656,nrES_Att,"&gt;"&amp;$K656,nrES_Raw,"&gt;=0")=0,"Yes","No")))</f>
        <v/>
      </c>
      <c r="Q656" s="17">
        <f>IF($C656="","",IF($L656="","",IF(AND($K656=1,ISNUMBER($L656),$L656&lt;$J656,COUNTIFS(nrES_PID,$D656,nrES_Code,$F656,nrES_Att,2,nrES_Raw,"&gt;=0")=0),"Yes","No")))</f>
        <v/>
      </c>
      <c r="R656" s="17">
        <f>IF($C656="","",IF($L656="","",IF(AND($K656=2,ISNUMBER($L656),$L656&lt;$J656),"Yes","No")))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OR($C656="",$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RANGE",IF(COUNTIF(nrES_RecID,$B656)&gt;1,"DUPLICATE RECORD",IF(AND($K656=2,COUNTIFS(nrES_PID,$D656,nrES_Code,$F656,nrES_Att,1)=0),"ATTEMPT 2 WITHOUT ATTEMPT 1",IF(AND($K656=2,$L656=""),"RETEST ROW HAS NO SCORE",IF(AND($H656="Final",$L656&lt;&gt;"",IFERROR(INDEX(nrCKfinalExamElig,MATCH($D656,rngCadetPIDs,0)),"")="No"),"FINAL EXAM AFTER FAILED FINAL PT (500.1.H)","OK")))))))</f>
        <v/>
      </c>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IF($C657="","",IF($K657="","",IF(COUNTIFS(nrES_PID,$D657,nrES_Code,$F657,nrES_Att,"&gt;"&amp;$K657,nrES_Raw,"&gt;=0")=0,"Yes","No")))</f>
        <v/>
      </c>
      <c r="Q657" s="17">
        <f>IF($C657="","",IF($L657="","",IF(AND($K657=1,ISNUMBER($L657),$L657&lt;$J657,COUNTIFS(nrES_PID,$D657,nrES_Code,$F657,nrES_Att,2,nrES_Raw,"&gt;=0")=0),"Yes","No")))</f>
        <v/>
      </c>
      <c r="R657" s="17">
        <f>IF($C657="","",IF($L657="","",IF(AND($K657=2,ISNUMBER($L657),$L657&lt;$J657),"Yes","No")))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OR($C657="",$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RANGE",IF(COUNTIF(nrES_RecID,$B657)&gt;1,"DUPLICATE RECORD",IF(AND($K657=2,COUNTIFS(nrES_PID,$D657,nrES_Code,$F657,nrES_Att,1)=0),"ATTEMPT 2 WITHOUT ATTEMPT 1",IF(AND($K657=2,$L657=""),"RETEST ROW HAS NO SCORE",IF(AND($H657="Final",$L657&lt;&gt;"",IFERROR(INDEX(nrCKfinalExamElig,MATCH($D657,rngCadetPIDs,0)),"")="No"),"FINAL EXAM AFTER FAILED FINAL PT (500.1.H)","OK")))))))</f>
        <v/>
      </c>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IF($C658="","",IF($K658="","",IF(COUNTIFS(nrES_PID,$D658,nrES_Code,$F658,nrES_Att,"&gt;"&amp;$K658,nrES_Raw,"&gt;=0")=0,"Yes","No")))</f>
        <v/>
      </c>
      <c r="Q658" s="17">
        <f>IF($C658="","",IF($L658="","",IF(AND($K658=1,ISNUMBER($L658),$L658&lt;$J658,COUNTIFS(nrES_PID,$D658,nrES_Code,$F658,nrES_Att,2,nrES_Raw,"&gt;=0")=0),"Yes","No")))</f>
        <v/>
      </c>
      <c r="R658" s="17">
        <f>IF($C658="","",IF($L658="","",IF(AND($K658=2,ISNUMBER($L658),$L658&lt;$J658),"Yes","No")))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OR($C658="",$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RANGE",IF(COUNTIF(nrES_RecID,$B658)&gt;1,"DUPLICATE RECORD",IF(AND($K658=2,COUNTIFS(nrES_PID,$D658,nrES_Code,$F658,nrES_Att,1)=0),"ATTEMPT 2 WITHOUT ATTEMPT 1",IF(AND($K658=2,$L658=""),"RETEST ROW HAS NO SCORE",IF(AND($H658="Final",$L658&lt;&gt;"",IFERROR(INDEX(nrCKfinalExamElig,MATCH($D658,rngCadetPIDs,0)),"")="No"),"FINAL EXAM AFTER FAILED FINAL PT (500.1.H)","OK")))))))</f>
        <v/>
      </c>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IF($C659="","",IF($K659="","",IF(COUNTIFS(nrES_PID,$D659,nrES_Code,$F659,nrES_Att,"&gt;"&amp;$K659,nrES_Raw,"&gt;=0")=0,"Yes","No")))</f>
        <v/>
      </c>
      <c r="Q659" s="17">
        <f>IF($C659="","",IF($L659="","",IF(AND($K659=1,ISNUMBER($L659),$L659&lt;$J659,COUNTIFS(nrES_PID,$D659,nrES_Code,$F659,nrES_Att,2,nrES_Raw,"&gt;=0")=0),"Yes","No")))</f>
        <v/>
      </c>
      <c r="R659" s="17">
        <f>IF($C659="","",IF($L659="","",IF(AND($K659=2,ISNUMBER($L659),$L659&lt;$J659),"Yes","No")))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OR($C659="",$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RANGE",IF(COUNTIF(nrES_RecID,$B659)&gt;1,"DUPLICATE RECORD",IF(AND($K659=2,COUNTIFS(nrES_PID,$D659,nrES_Code,$F659,nrES_Att,1)=0),"ATTEMPT 2 WITHOUT ATTEMPT 1",IF(AND($K659=2,$L659=""),"RETEST ROW HAS NO SCORE",IF(AND($H659="Final",$L659&lt;&gt;"",IFERROR(INDEX(nrCKfinalExamElig,MATCH($D659,rngCadetPIDs,0)),"")="No"),"FINAL EXAM AFTER FAILED FINAL PT (500.1.H)","OK")))))))</f>
        <v/>
      </c>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IF($C660="","",IF($K660="","",IF(COUNTIFS(nrES_PID,$D660,nrES_Code,$F660,nrES_Att,"&gt;"&amp;$K660,nrES_Raw,"&gt;=0")=0,"Yes","No")))</f>
        <v/>
      </c>
      <c r="Q660" s="17">
        <f>IF($C660="","",IF($L660="","",IF(AND($K660=1,ISNUMBER($L660),$L660&lt;$J660,COUNTIFS(nrES_PID,$D660,nrES_Code,$F660,nrES_Att,2,nrES_Raw,"&gt;=0")=0),"Yes","No")))</f>
        <v/>
      </c>
      <c r="R660" s="17">
        <f>IF($C660="","",IF($L660="","",IF(AND($K660=2,ISNUMBER($L660),$L660&lt;$J660),"Yes","No")))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OR($C660="",$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RANGE",IF(COUNTIF(nrES_RecID,$B660)&gt;1,"DUPLICATE RECORD",IF(AND($K660=2,COUNTIFS(nrES_PID,$D660,nrES_Code,$F660,nrES_Att,1)=0),"ATTEMPT 2 WITHOUT ATTEMPT 1",IF(AND($K660=2,$L660=""),"RETEST ROW HAS NO SCORE",IF(AND($H660="Final",$L660&lt;&gt;"",IFERROR(INDEX(nrCKfinalExamElig,MATCH($D660,rngCadetPIDs,0)),"")="No"),"FINAL EXAM AFTER FAILED FINAL PT (500.1.H)","OK")))))))</f>
        <v/>
      </c>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IF($C661="","",IF($K661="","",IF(COUNTIFS(nrES_PID,$D661,nrES_Code,$F661,nrES_Att,"&gt;"&amp;$K661,nrES_Raw,"&gt;=0")=0,"Yes","No")))</f>
        <v/>
      </c>
      <c r="Q661" s="17">
        <f>IF($C661="","",IF($L661="","",IF(AND($K661=1,ISNUMBER($L661),$L661&lt;$J661,COUNTIFS(nrES_PID,$D661,nrES_Code,$F661,nrES_Att,2,nrES_Raw,"&gt;=0")=0),"Yes","No")))</f>
        <v/>
      </c>
      <c r="R661" s="17">
        <f>IF($C661="","",IF($L661="","",IF(AND($K661=2,ISNUMBER($L661),$L661&lt;$J661),"Yes","No")))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OR($C661="",$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RANGE",IF(COUNTIF(nrES_RecID,$B661)&gt;1,"DUPLICATE RECORD",IF(AND($K661=2,COUNTIFS(nrES_PID,$D661,nrES_Code,$F661,nrES_Att,1)=0),"ATTEMPT 2 WITHOUT ATTEMPT 1",IF(AND($K661=2,$L661=""),"RETEST ROW HAS NO SCORE",IF(AND($H661="Final",$L661&lt;&gt;"",IFERROR(INDEX(nrCKfinalExamElig,MATCH($D661,rngCadetPIDs,0)),"")="No"),"FINAL EXAM AFTER FAILED FINAL PT (500.1.H)","OK")))))))</f>
        <v/>
      </c>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IF($C662="","",IF($K662="","",IF(COUNTIFS(nrES_PID,$D662,nrES_Code,$F662,nrES_Att,"&gt;"&amp;$K662,nrES_Raw,"&gt;=0")=0,"Yes","No")))</f>
        <v/>
      </c>
      <c r="Q662" s="17">
        <f>IF($C662="","",IF($L662="","",IF(AND($K662=1,ISNUMBER($L662),$L662&lt;$J662,COUNTIFS(nrES_PID,$D662,nrES_Code,$F662,nrES_Att,2,nrES_Raw,"&gt;=0")=0),"Yes","No")))</f>
        <v/>
      </c>
      <c r="R662" s="17">
        <f>IF($C662="","",IF($L662="","",IF(AND($K662=2,ISNUMBER($L662),$L662&lt;$J662),"Yes","No")))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OR($C662="",$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RANGE",IF(COUNTIF(nrES_RecID,$B662)&gt;1,"DUPLICATE RECORD",IF(AND($K662=2,COUNTIFS(nrES_PID,$D662,nrES_Code,$F662,nrES_Att,1)=0),"ATTEMPT 2 WITHOUT ATTEMPT 1",IF(AND($K662=2,$L662=""),"RETEST ROW HAS NO SCORE",IF(AND($H662="Final",$L662&lt;&gt;"",IFERROR(INDEX(nrCKfinalExamElig,MATCH($D662,rngCadetPIDs,0)),"")="No"),"FINAL EXAM AFTER FAILED FINAL PT (500.1.H)","OK")))))))</f>
        <v/>
      </c>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IF($C663="","",IF($K663="","",IF(COUNTIFS(nrES_PID,$D663,nrES_Code,$F663,nrES_Att,"&gt;"&amp;$K663,nrES_Raw,"&gt;=0")=0,"Yes","No")))</f>
        <v/>
      </c>
      <c r="Q663" s="17">
        <f>IF($C663="","",IF($L663="","",IF(AND($K663=1,ISNUMBER($L663),$L663&lt;$J663,COUNTIFS(nrES_PID,$D663,nrES_Code,$F663,nrES_Att,2,nrES_Raw,"&gt;=0")=0),"Yes","No")))</f>
        <v/>
      </c>
      <c r="R663" s="17">
        <f>IF($C663="","",IF($L663="","",IF(AND($K663=2,ISNUMBER($L663),$L663&lt;$J663),"Yes","No")))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OR($C663="",$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RANGE",IF(COUNTIF(nrES_RecID,$B663)&gt;1,"DUPLICATE RECORD",IF(AND($K663=2,COUNTIFS(nrES_PID,$D663,nrES_Code,$F663,nrES_Att,1)=0),"ATTEMPT 2 WITHOUT ATTEMPT 1",IF(AND($K663=2,$L663=""),"RETEST ROW HAS NO SCORE",IF(AND($H663="Final",$L663&lt;&gt;"",IFERROR(INDEX(nrCKfinalExamElig,MATCH($D663,rngCadetPIDs,0)),"")="No"),"FINAL EXAM AFTER FAILED FINAL PT (500.1.H)","OK")))))))</f>
        <v/>
      </c>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IF($C664="","",IF($K664="","",IF(COUNTIFS(nrES_PID,$D664,nrES_Code,$F664,nrES_Att,"&gt;"&amp;$K664,nrES_Raw,"&gt;=0")=0,"Yes","No")))</f>
        <v/>
      </c>
      <c r="Q664" s="17">
        <f>IF($C664="","",IF($L664="","",IF(AND($K664=1,ISNUMBER($L664),$L664&lt;$J664,COUNTIFS(nrES_PID,$D664,nrES_Code,$F664,nrES_Att,2,nrES_Raw,"&gt;=0")=0),"Yes","No")))</f>
        <v/>
      </c>
      <c r="R664" s="17">
        <f>IF($C664="","",IF($L664="","",IF(AND($K664=2,ISNUMBER($L664),$L664&lt;$J664),"Yes","No")))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OR($C664="",$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RANGE",IF(COUNTIF(nrES_RecID,$B664)&gt;1,"DUPLICATE RECORD",IF(AND($K664=2,COUNTIFS(nrES_PID,$D664,nrES_Code,$F664,nrES_Att,1)=0),"ATTEMPT 2 WITHOUT ATTEMPT 1",IF(AND($K664=2,$L664=""),"RETEST ROW HAS NO SCORE",IF(AND($H664="Final",$L664&lt;&gt;"",IFERROR(INDEX(nrCKfinalExamElig,MATCH($D664,rngCadetPIDs,0)),"")="No"),"FINAL EXAM AFTER FAILED FINAL PT (500.1.H)","OK")))))))</f>
        <v/>
      </c>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IF($C665="","",IF($K665="","",IF(COUNTIFS(nrES_PID,$D665,nrES_Code,$F665,nrES_Att,"&gt;"&amp;$K665,nrES_Raw,"&gt;=0")=0,"Yes","No")))</f>
        <v/>
      </c>
      <c r="Q665" s="17">
        <f>IF($C665="","",IF($L665="","",IF(AND($K665=1,ISNUMBER($L665),$L665&lt;$J665,COUNTIFS(nrES_PID,$D665,nrES_Code,$F665,nrES_Att,2,nrES_Raw,"&gt;=0")=0),"Yes","No")))</f>
        <v/>
      </c>
      <c r="R665" s="17">
        <f>IF($C665="","",IF($L665="","",IF(AND($K665=2,ISNUMBER($L665),$L665&lt;$J665),"Yes","No")))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OR($C665="",$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RANGE",IF(COUNTIF(nrES_RecID,$B665)&gt;1,"DUPLICATE RECORD",IF(AND($K665=2,COUNTIFS(nrES_PID,$D665,nrES_Code,$F665,nrES_Att,1)=0),"ATTEMPT 2 WITHOUT ATTEMPT 1",IF(AND($K665=2,$L665=""),"RETEST ROW HAS NO SCORE",IF(AND($H665="Final",$L665&lt;&gt;"",IFERROR(INDEX(nrCKfinalExamElig,MATCH($D665,rngCadetPIDs,0)),"")="No"),"FINAL EXAM AFTER FAILED FINAL PT (500.1.H)","OK")))))))</f>
        <v/>
      </c>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IF($C666="","",IF($K666="","",IF(COUNTIFS(nrES_PID,$D666,nrES_Code,$F666,nrES_Att,"&gt;"&amp;$K666,nrES_Raw,"&gt;=0")=0,"Yes","No")))</f>
        <v/>
      </c>
      <c r="Q666" s="17">
        <f>IF($C666="","",IF($L666="","",IF(AND($K666=1,ISNUMBER($L666),$L666&lt;$J666,COUNTIFS(nrES_PID,$D666,nrES_Code,$F666,nrES_Att,2,nrES_Raw,"&gt;=0")=0),"Yes","No")))</f>
        <v/>
      </c>
      <c r="R666" s="17">
        <f>IF($C666="","",IF($L666="","",IF(AND($K666=2,ISNUMBER($L666),$L666&lt;$J666),"Yes","No")))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OR($C666="",$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RANGE",IF(COUNTIF(nrES_RecID,$B666)&gt;1,"DUPLICATE RECORD",IF(AND($K666=2,COUNTIFS(nrES_PID,$D666,nrES_Code,$F666,nrES_Att,1)=0),"ATTEMPT 2 WITHOUT ATTEMPT 1",IF(AND($K666=2,$L666=""),"RETEST ROW HAS NO SCORE",IF(AND($H666="Final",$L666&lt;&gt;"",IFERROR(INDEX(nrCKfinalExamElig,MATCH($D666,rngCadetPIDs,0)),"")="No"),"FINAL EXAM AFTER FAILED FINAL PT (500.1.H)","OK")))))))</f>
        <v/>
      </c>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IF($C667="","",IF($K667="","",IF(COUNTIFS(nrES_PID,$D667,nrES_Code,$F667,nrES_Att,"&gt;"&amp;$K667,nrES_Raw,"&gt;=0")=0,"Yes","No")))</f>
        <v/>
      </c>
      <c r="Q667" s="17">
        <f>IF($C667="","",IF($L667="","",IF(AND($K667=1,ISNUMBER($L667),$L667&lt;$J667,COUNTIFS(nrES_PID,$D667,nrES_Code,$F667,nrES_Att,2,nrES_Raw,"&gt;=0")=0),"Yes","No")))</f>
        <v/>
      </c>
      <c r="R667" s="17">
        <f>IF($C667="","",IF($L667="","",IF(AND($K667=2,ISNUMBER($L667),$L667&lt;$J667),"Yes","No")))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OR($C667="",$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RANGE",IF(COUNTIF(nrES_RecID,$B667)&gt;1,"DUPLICATE RECORD",IF(AND($K667=2,COUNTIFS(nrES_PID,$D667,nrES_Code,$F667,nrES_Att,1)=0),"ATTEMPT 2 WITHOUT ATTEMPT 1",IF(AND($K667=2,$L667=""),"RETEST ROW HAS NO SCORE",IF(AND($H667="Final",$L667&lt;&gt;"",IFERROR(INDEX(nrCKfinalExamElig,MATCH($D667,rngCadetPIDs,0)),"")="No"),"FINAL EXAM AFTER FAILED FINAL PT (500.1.H)","OK")))))))</f>
        <v/>
      </c>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IF($C668="","",IF($K668="","",IF(COUNTIFS(nrES_PID,$D668,nrES_Code,$F668,nrES_Att,"&gt;"&amp;$K668,nrES_Raw,"&gt;=0")=0,"Yes","No")))</f>
        <v/>
      </c>
      <c r="Q668" s="17">
        <f>IF($C668="","",IF($L668="","",IF(AND($K668=1,ISNUMBER($L668),$L668&lt;$J668,COUNTIFS(nrES_PID,$D668,nrES_Code,$F668,nrES_Att,2,nrES_Raw,"&gt;=0")=0),"Yes","No")))</f>
        <v/>
      </c>
      <c r="R668" s="17">
        <f>IF($C668="","",IF($L668="","",IF(AND($K668=2,ISNUMBER($L668),$L668&lt;$J668),"Yes","No")))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OR($C668="",$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RANGE",IF(COUNTIF(nrES_RecID,$B668)&gt;1,"DUPLICATE RECORD",IF(AND($K668=2,COUNTIFS(nrES_PID,$D668,nrES_Code,$F668,nrES_Att,1)=0),"ATTEMPT 2 WITHOUT ATTEMPT 1",IF(AND($K668=2,$L668=""),"RETEST ROW HAS NO SCORE",IF(AND($H668="Final",$L668&lt;&gt;"",IFERROR(INDEX(nrCKfinalExamElig,MATCH($D668,rngCadetPIDs,0)),"")="No"),"FINAL EXAM AFTER FAILED FINAL PT (500.1.H)","OK")))))))</f>
        <v/>
      </c>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IF($C669="","",IF($K669="","",IF(COUNTIFS(nrES_PID,$D669,nrES_Code,$F669,nrES_Att,"&gt;"&amp;$K669,nrES_Raw,"&gt;=0")=0,"Yes","No")))</f>
        <v/>
      </c>
      <c r="Q669" s="17">
        <f>IF($C669="","",IF($L669="","",IF(AND($K669=1,ISNUMBER($L669),$L669&lt;$J669,COUNTIFS(nrES_PID,$D669,nrES_Code,$F669,nrES_Att,2,nrES_Raw,"&gt;=0")=0),"Yes","No")))</f>
        <v/>
      </c>
      <c r="R669" s="17">
        <f>IF($C669="","",IF($L669="","",IF(AND($K669=2,ISNUMBER($L669),$L669&lt;$J669),"Yes","No")))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OR($C669="",$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RANGE",IF(COUNTIF(nrES_RecID,$B669)&gt;1,"DUPLICATE RECORD",IF(AND($K669=2,COUNTIFS(nrES_PID,$D669,nrES_Code,$F669,nrES_Att,1)=0),"ATTEMPT 2 WITHOUT ATTEMPT 1",IF(AND($K669=2,$L669=""),"RETEST ROW HAS NO SCORE",IF(AND($H669="Final",$L669&lt;&gt;"",IFERROR(INDEX(nrCKfinalExamElig,MATCH($D669,rngCadetPIDs,0)),"")="No"),"FINAL EXAM AFTER FAILED FINAL PT (500.1.H)","OK")))))))</f>
        <v/>
      </c>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IF($C670="","",IF($K670="","",IF(COUNTIFS(nrES_PID,$D670,nrES_Code,$F670,nrES_Att,"&gt;"&amp;$K670,nrES_Raw,"&gt;=0")=0,"Yes","No")))</f>
        <v/>
      </c>
      <c r="Q670" s="17">
        <f>IF($C670="","",IF($L670="","",IF(AND($K670=1,ISNUMBER($L670),$L670&lt;$J670,COUNTIFS(nrES_PID,$D670,nrES_Code,$F670,nrES_Att,2,nrES_Raw,"&gt;=0")=0),"Yes","No")))</f>
        <v/>
      </c>
      <c r="R670" s="17">
        <f>IF($C670="","",IF($L670="","",IF(AND($K670=2,ISNUMBER($L670),$L670&lt;$J670),"Yes","No")))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OR($C670="",$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RANGE",IF(COUNTIF(nrES_RecID,$B670)&gt;1,"DUPLICATE RECORD",IF(AND($K670=2,COUNTIFS(nrES_PID,$D670,nrES_Code,$F670,nrES_Att,1)=0),"ATTEMPT 2 WITHOUT ATTEMPT 1",IF(AND($K670=2,$L670=""),"RETEST ROW HAS NO SCORE",IF(AND($H670="Final",$L670&lt;&gt;"",IFERROR(INDEX(nrCKfinalExamElig,MATCH($D670,rngCadetPIDs,0)),"")="No"),"FINAL EXAM AFTER FAILED FINAL PT (500.1.H)","OK")))))))</f>
        <v/>
      </c>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IF($C671="","",IF($K671="","",IF(COUNTIFS(nrES_PID,$D671,nrES_Code,$F671,nrES_Att,"&gt;"&amp;$K671,nrES_Raw,"&gt;=0")=0,"Yes","No")))</f>
        <v/>
      </c>
      <c r="Q671" s="17">
        <f>IF($C671="","",IF($L671="","",IF(AND($K671=1,ISNUMBER($L671),$L671&lt;$J671,COUNTIFS(nrES_PID,$D671,nrES_Code,$F671,nrES_Att,2,nrES_Raw,"&gt;=0")=0),"Yes","No")))</f>
        <v/>
      </c>
      <c r="R671" s="17">
        <f>IF($C671="","",IF($L671="","",IF(AND($K671=2,ISNUMBER($L671),$L671&lt;$J671),"Yes","No")))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OR($C671="",$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RANGE",IF(COUNTIF(nrES_RecID,$B671)&gt;1,"DUPLICATE RECORD",IF(AND($K671=2,COUNTIFS(nrES_PID,$D671,nrES_Code,$F671,nrES_Att,1)=0),"ATTEMPT 2 WITHOUT ATTEMPT 1",IF(AND($K671=2,$L671=""),"RETEST ROW HAS NO SCORE",IF(AND($H671="Final",$L671&lt;&gt;"",IFERROR(INDEX(nrCKfinalExamElig,MATCH($D671,rngCadetPIDs,0)),"")="No"),"FINAL EXAM AFTER FAILED FINAL PT (500.1.H)","OK")))))))</f>
        <v/>
      </c>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IF($C672="","",IF($K672="","",IF(COUNTIFS(nrES_PID,$D672,nrES_Code,$F672,nrES_Att,"&gt;"&amp;$K672,nrES_Raw,"&gt;=0")=0,"Yes","No")))</f>
        <v/>
      </c>
      <c r="Q672" s="17">
        <f>IF($C672="","",IF($L672="","",IF(AND($K672=1,ISNUMBER($L672),$L672&lt;$J672,COUNTIFS(nrES_PID,$D672,nrES_Code,$F672,nrES_Att,2,nrES_Raw,"&gt;=0")=0),"Yes","No")))</f>
        <v/>
      </c>
      <c r="R672" s="17">
        <f>IF($C672="","",IF($L672="","",IF(AND($K672=2,ISNUMBER($L672),$L672&lt;$J672),"Yes","No")))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OR($C672="",$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RANGE",IF(COUNTIF(nrES_RecID,$B672)&gt;1,"DUPLICATE RECORD",IF(AND($K672=2,COUNTIFS(nrES_PID,$D672,nrES_Code,$F672,nrES_Att,1)=0),"ATTEMPT 2 WITHOUT ATTEMPT 1",IF(AND($K672=2,$L672=""),"RETEST ROW HAS NO SCORE",IF(AND($H672="Final",$L672&lt;&gt;"",IFERROR(INDEX(nrCKfinalExamElig,MATCH($D672,rngCadetPIDs,0)),"")="No"),"FINAL EXAM AFTER FAILED FINAL PT (500.1.H)","OK")))))))</f>
        <v/>
      </c>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IF($C673="","",IF($K673="","",IF(COUNTIFS(nrES_PID,$D673,nrES_Code,$F673,nrES_Att,"&gt;"&amp;$K673,nrES_Raw,"&gt;=0")=0,"Yes","No")))</f>
        <v/>
      </c>
      <c r="Q673" s="17">
        <f>IF($C673="","",IF($L673="","",IF(AND($K673=1,ISNUMBER($L673),$L673&lt;$J673,COUNTIFS(nrES_PID,$D673,nrES_Code,$F673,nrES_Att,2,nrES_Raw,"&gt;=0")=0),"Yes","No")))</f>
        <v/>
      </c>
      <c r="R673" s="17">
        <f>IF($C673="","",IF($L673="","",IF(AND($K673=2,ISNUMBER($L673),$L673&lt;$J673),"Yes","No")))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OR($C673="",$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RANGE",IF(COUNTIF(nrES_RecID,$B673)&gt;1,"DUPLICATE RECORD",IF(AND($K673=2,COUNTIFS(nrES_PID,$D673,nrES_Code,$F673,nrES_Att,1)=0),"ATTEMPT 2 WITHOUT ATTEMPT 1",IF(AND($K673=2,$L673=""),"RETEST ROW HAS NO SCORE",IF(AND($H673="Final",$L673&lt;&gt;"",IFERROR(INDEX(nrCKfinalExamElig,MATCH($D673,rngCadetPIDs,0)),"")="No"),"FINAL EXAM AFTER FAILED FINAL PT (500.1.H)","OK")))))))</f>
        <v/>
      </c>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IF($C674="","",IF($K674="","",IF(COUNTIFS(nrES_PID,$D674,nrES_Code,$F674,nrES_Att,"&gt;"&amp;$K674,nrES_Raw,"&gt;=0")=0,"Yes","No")))</f>
        <v/>
      </c>
      <c r="Q674" s="17">
        <f>IF($C674="","",IF($L674="","",IF(AND($K674=1,ISNUMBER($L674),$L674&lt;$J674,COUNTIFS(nrES_PID,$D674,nrES_Code,$F674,nrES_Att,2,nrES_Raw,"&gt;=0")=0),"Yes","No")))</f>
        <v/>
      </c>
      <c r="R674" s="17">
        <f>IF($C674="","",IF($L674="","",IF(AND($K674=2,ISNUMBER($L674),$L674&lt;$J674),"Yes","No")))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OR($C674="",$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RANGE",IF(COUNTIF(nrES_RecID,$B674)&gt;1,"DUPLICATE RECORD",IF(AND($K674=2,COUNTIFS(nrES_PID,$D674,nrES_Code,$F674,nrES_Att,1)=0),"ATTEMPT 2 WITHOUT ATTEMPT 1",IF(AND($K674=2,$L674=""),"RETEST ROW HAS NO SCORE",IF(AND($H674="Final",$L674&lt;&gt;"",IFERROR(INDEX(nrCKfinalExamElig,MATCH($D674,rngCadetPIDs,0)),"")="No"),"FINAL EXAM AFTER FAILED FINAL PT (500.1.H)","OK")))))))</f>
        <v/>
      </c>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IF($C675="","",IF($K675="","",IF(COUNTIFS(nrES_PID,$D675,nrES_Code,$F675,nrES_Att,"&gt;"&amp;$K675,nrES_Raw,"&gt;=0")=0,"Yes","No")))</f>
        <v/>
      </c>
      <c r="Q675" s="17">
        <f>IF($C675="","",IF($L675="","",IF(AND($K675=1,ISNUMBER($L675),$L675&lt;$J675,COUNTIFS(nrES_PID,$D675,nrES_Code,$F675,nrES_Att,2,nrES_Raw,"&gt;=0")=0),"Yes","No")))</f>
        <v/>
      </c>
      <c r="R675" s="17">
        <f>IF($C675="","",IF($L675="","",IF(AND($K675=2,ISNUMBER($L675),$L675&lt;$J675),"Yes","No")))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OR($C675="",$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RANGE",IF(COUNTIF(nrES_RecID,$B675)&gt;1,"DUPLICATE RECORD",IF(AND($K675=2,COUNTIFS(nrES_PID,$D675,nrES_Code,$F675,nrES_Att,1)=0),"ATTEMPT 2 WITHOUT ATTEMPT 1",IF(AND($K675=2,$L675=""),"RETEST ROW HAS NO SCORE",IF(AND($H675="Final",$L675&lt;&gt;"",IFERROR(INDEX(nrCKfinalExamElig,MATCH($D675,rngCadetPIDs,0)),"")="No"),"FINAL EXAM AFTER FAILED FINAL PT (500.1.H)","OK")))))))</f>
        <v/>
      </c>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IF($C676="","",IF($K676="","",IF(COUNTIFS(nrES_PID,$D676,nrES_Code,$F676,nrES_Att,"&gt;"&amp;$K676,nrES_Raw,"&gt;=0")=0,"Yes","No")))</f>
        <v/>
      </c>
      <c r="Q676" s="17">
        <f>IF($C676="","",IF($L676="","",IF(AND($K676=1,ISNUMBER($L676),$L676&lt;$J676,COUNTIFS(nrES_PID,$D676,nrES_Code,$F676,nrES_Att,2,nrES_Raw,"&gt;=0")=0),"Yes","No")))</f>
        <v/>
      </c>
      <c r="R676" s="17">
        <f>IF($C676="","",IF($L676="","",IF(AND($K676=2,ISNUMBER($L676),$L676&lt;$J676),"Yes","No")))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OR($C676="",$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RANGE",IF(COUNTIF(nrES_RecID,$B676)&gt;1,"DUPLICATE RECORD",IF(AND($K676=2,COUNTIFS(nrES_PID,$D676,nrES_Code,$F676,nrES_Att,1)=0),"ATTEMPT 2 WITHOUT ATTEMPT 1",IF(AND($K676=2,$L676=""),"RETEST ROW HAS NO SCORE",IF(AND($H676="Final",$L676&lt;&gt;"",IFERROR(INDEX(nrCKfinalExamElig,MATCH($D676,rngCadetPIDs,0)),"")="No"),"FINAL EXAM AFTER FAILED FINAL PT (500.1.H)","OK")))))))</f>
        <v/>
      </c>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IF($C677="","",IF($K677="","",IF(COUNTIFS(nrES_PID,$D677,nrES_Code,$F677,nrES_Att,"&gt;"&amp;$K677,nrES_Raw,"&gt;=0")=0,"Yes","No")))</f>
        <v/>
      </c>
      <c r="Q677" s="17">
        <f>IF($C677="","",IF($L677="","",IF(AND($K677=1,ISNUMBER($L677),$L677&lt;$J677,COUNTIFS(nrES_PID,$D677,nrES_Code,$F677,nrES_Att,2,nrES_Raw,"&gt;=0")=0),"Yes","No")))</f>
        <v/>
      </c>
      <c r="R677" s="17">
        <f>IF($C677="","",IF($L677="","",IF(AND($K677=2,ISNUMBER($L677),$L677&lt;$J677),"Yes","No")))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OR($C677="",$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RANGE",IF(COUNTIF(nrES_RecID,$B677)&gt;1,"DUPLICATE RECORD",IF(AND($K677=2,COUNTIFS(nrES_PID,$D677,nrES_Code,$F677,nrES_Att,1)=0),"ATTEMPT 2 WITHOUT ATTEMPT 1",IF(AND($K677=2,$L677=""),"RETEST ROW HAS NO SCORE",IF(AND($H677="Final",$L677&lt;&gt;"",IFERROR(INDEX(nrCKfinalExamElig,MATCH($D677,rngCadetPIDs,0)),"")="No"),"FINAL EXAM AFTER FAILED FINAL PT (500.1.H)","OK")))))))</f>
        <v/>
      </c>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IF($C678="","",IF($K678="","",IF(COUNTIFS(nrES_PID,$D678,nrES_Code,$F678,nrES_Att,"&gt;"&amp;$K678,nrES_Raw,"&gt;=0")=0,"Yes","No")))</f>
        <v/>
      </c>
      <c r="Q678" s="17">
        <f>IF($C678="","",IF($L678="","",IF(AND($K678=1,ISNUMBER($L678),$L678&lt;$J678,COUNTIFS(nrES_PID,$D678,nrES_Code,$F678,nrES_Att,2,nrES_Raw,"&gt;=0")=0),"Yes","No")))</f>
        <v/>
      </c>
      <c r="R678" s="17">
        <f>IF($C678="","",IF($L678="","",IF(AND($K678=2,ISNUMBER($L678),$L678&lt;$J678),"Yes","No")))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OR($C678="",$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RANGE",IF(COUNTIF(nrES_RecID,$B678)&gt;1,"DUPLICATE RECORD",IF(AND($K678=2,COUNTIFS(nrES_PID,$D678,nrES_Code,$F678,nrES_Att,1)=0),"ATTEMPT 2 WITHOUT ATTEMPT 1",IF(AND($K678=2,$L678=""),"RETEST ROW HAS NO SCORE",IF(AND($H678="Final",$L678&lt;&gt;"",IFERROR(INDEX(nrCKfinalExamElig,MATCH($D678,rngCadetPIDs,0)),"")="No"),"FINAL EXAM AFTER FAILED FINAL PT (500.1.H)","OK")))))))</f>
        <v/>
      </c>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IF($C679="","",IF($K679="","",IF(COUNTIFS(nrES_PID,$D679,nrES_Code,$F679,nrES_Att,"&gt;"&amp;$K679,nrES_Raw,"&gt;=0")=0,"Yes","No")))</f>
        <v/>
      </c>
      <c r="Q679" s="17">
        <f>IF($C679="","",IF($L679="","",IF(AND($K679=1,ISNUMBER($L679),$L679&lt;$J679,COUNTIFS(nrES_PID,$D679,nrES_Code,$F679,nrES_Att,2,nrES_Raw,"&gt;=0")=0),"Yes","No")))</f>
        <v/>
      </c>
      <c r="R679" s="17">
        <f>IF($C679="","",IF($L679="","",IF(AND($K679=2,ISNUMBER($L679),$L679&lt;$J679),"Yes","No")))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OR($C679="",$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RANGE",IF(COUNTIF(nrES_RecID,$B679)&gt;1,"DUPLICATE RECORD",IF(AND($K679=2,COUNTIFS(nrES_PID,$D679,nrES_Code,$F679,nrES_Att,1)=0),"ATTEMPT 2 WITHOUT ATTEMPT 1",IF(AND($K679=2,$L679=""),"RETEST ROW HAS NO SCORE",IF(AND($H679="Final",$L679&lt;&gt;"",IFERROR(INDEX(nrCKfinalExamElig,MATCH($D679,rngCadetPIDs,0)),"")="No"),"FINAL EXAM AFTER FAILED FINAL PT (500.1.H)","OK")))))))</f>
        <v/>
      </c>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IF($C680="","",IF($K680="","",IF(COUNTIFS(nrES_PID,$D680,nrES_Code,$F680,nrES_Att,"&gt;"&amp;$K680,nrES_Raw,"&gt;=0")=0,"Yes","No")))</f>
        <v/>
      </c>
      <c r="Q680" s="17">
        <f>IF($C680="","",IF($L680="","",IF(AND($K680=1,ISNUMBER($L680),$L680&lt;$J680,COUNTIFS(nrES_PID,$D680,nrES_Code,$F680,nrES_Att,2,nrES_Raw,"&gt;=0")=0),"Yes","No")))</f>
        <v/>
      </c>
      <c r="R680" s="17">
        <f>IF($C680="","",IF($L680="","",IF(AND($K680=2,ISNUMBER($L680),$L680&lt;$J680),"Yes","No")))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OR($C680="",$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RANGE",IF(COUNTIF(nrES_RecID,$B680)&gt;1,"DUPLICATE RECORD",IF(AND($K680=2,COUNTIFS(nrES_PID,$D680,nrES_Code,$F680,nrES_Att,1)=0),"ATTEMPT 2 WITHOUT ATTEMPT 1",IF(AND($K680=2,$L680=""),"RETEST ROW HAS NO SCORE",IF(AND($H680="Final",$L680&lt;&gt;"",IFERROR(INDEX(nrCKfinalExamElig,MATCH($D680,rngCadetPIDs,0)),"")="No"),"FINAL EXAM AFTER FAILED FINAL PT (500.1.H)","OK")))))))</f>
        <v/>
      </c>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IF($C681="","",IF($K681="","",IF(COUNTIFS(nrES_PID,$D681,nrES_Code,$F681,nrES_Att,"&gt;"&amp;$K681,nrES_Raw,"&gt;=0")=0,"Yes","No")))</f>
        <v/>
      </c>
      <c r="Q681" s="17">
        <f>IF($C681="","",IF($L681="","",IF(AND($K681=1,ISNUMBER($L681),$L681&lt;$J681,COUNTIFS(nrES_PID,$D681,nrES_Code,$F681,nrES_Att,2,nrES_Raw,"&gt;=0")=0),"Yes","No")))</f>
        <v/>
      </c>
      <c r="R681" s="17">
        <f>IF($C681="","",IF($L681="","",IF(AND($K681=2,ISNUMBER($L681),$L681&lt;$J681),"Yes","No")))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OR($C681="",$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RANGE",IF(COUNTIF(nrES_RecID,$B681)&gt;1,"DUPLICATE RECORD",IF(AND($K681=2,COUNTIFS(nrES_PID,$D681,nrES_Code,$F681,nrES_Att,1)=0),"ATTEMPT 2 WITHOUT ATTEMPT 1",IF(AND($K681=2,$L681=""),"RETEST ROW HAS NO SCORE",IF(AND($H681="Final",$L681&lt;&gt;"",IFERROR(INDEX(nrCKfinalExamElig,MATCH($D681,rngCadetPIDs,0)),"")="No"),"FINAL EXAM AFTER FAILED FINAL PT (500.1.H)","OK")))))))</f>
        <v/>
      </c>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IF($C682="","",IF($K682="","",IF(COUNTIFS(nrES_PID,$D682,nrES_Code,$F682,nrES_Att,"&gt;"&amp;$K682,nrES_Raw,"&gt;=0")=0,"Yes","No")))</f>
        <v/>
      </c>
      <c r="Q682" s="17">
        <f>IF($C682="","",IF($L682="","",IF(AND($K682=1,ISNUMBER($L682),$L682&lt;$J682,COUNTIFS(nrES_PID,$D682,nrES_Code,$F682,nrES_Att,2,nrES_Raw,"&gt;=0")=0),"Yes","No")))</f>
        <v/>
      </c>
      <c r="R682" s="17">
        <f>IF($C682="","",IF($L682="","",IF(AND($K682=2,ISNUMBER($L682),$L682&lt;$J682),"Yes","No")))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OR($C682="",$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RANGE",IF(COUNTIF(nrES_RecID,$B682)&gt;1,"DUPLICATE RECORD",IF(AND($K682=2,COUNTIFS(nrES_PID,$D682,nrES_Code,$F682,nrES_Att,1)=0),"ATTEMPT 2 WITHOUT ATTEMPT 1",IF(AND($K682=2,$L682=""),"RETEST ROW HAS NO SCORE",IF(AND($H682="Final",$L682&lt;&gt;"",IFERROR(INDEX(nrCKfinalExamElig,MATCH($D682,rngCadetPIDs,0)),"")="No"),"FINAL EXAM AFTER FAILED FINAL PT (500.1.H)","OK")))))))</f>
        <v/>
      </c>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IF($C683="","",IF($K683="","",IF(COUNTIFS(nrES_PID,$D683,nrES_Code,$F683,nrES_Att,"&gt;"&amp;$K683,nrES_Raw,"&gt;=0")=0,"Yes","No")))</f>
        <v/>
      </c>
      <c r="Q683" s="17">
        <f>IF($C683="","",IF($L683="","",IF(AND($K683=1,ISNUMBER($L683),$L683&lt;$J683,COUNTIFS(nrES_PID,$D683,nrES_Code,$F683,nrES_Att,2,nrES_Raw,"&gt;=0")=0),"Yes","No")))</f>
        <v/>
      </c>
      <c r="R683" s="17">
        <f>IF($C683="","",IF($L683="","",IF(AND($K683=2,ISNUMBER($L683),$L683&lt;$J683),"Yes","No")))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OR($C683="",$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RANGE",IF(COUNTIF(nrES_RecID,$B683)&gt;1,"DUPLICATE RECORD",IF(AND($K683=2,COUNTIFS(nrES_PID,$D683,nrES_Code,$F683,nrES_Att,1)=0),"ATTEMPT 2 WITHOUT ATTEMPT 1",IF(AND($K683=2,$L683=""),"RETEST ROW HAS NO SCORE",IF(AND($H683="Final",$L683&lt;&gt;"",IFERROR(INDEX(nrCKfinalExamElig,MATCH($D683,rngCadetPIDs,0)),"")="No"),"FINAL EXAM AFTER FAILED FINAL PT (500.1.H)","OK")))))))</f>
        <v/>
      </c>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IF($C684="","",IF($K684="","",IF(COUNTIFS(nrES_PID,$D684,nrES_Code,$F684,nrES_Att,"&gt;"&amp;$K684,nrES_Raw,"&gt;=0")=0,"Yes","No")))</f>
        <v/>
      </c>
      <c r="Q684" s="17">
        <f>IF($C684="","",IF($L684="","",IF(AND($K684=1,ISNUMBER($L684),$L684&lt;$J684,COUNTIFS(nrES_PID,$D684,nrES_Code,$F684,nrES_Att,2,nrES_Raw,"&gt;=0")=0),"Yes","No")))</f>
        <v/>
      </c>
      <c r="R684" s="17">
        <f>IF($C684="","",IF($L684="","",IF(AND($K684=2,ISNUMBER($L684),$L684&lt;$J684),"Yes","No")))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OR($C684="",$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RANGE",IF(COUNTIF(nrES_RecID,$B684)&gt;1,"DUPLICATE RECORD",IF(AND($K684=2,COUNTIFS(nrES_PID,$D684,nrES_Code,$F684,nrES_Att,1)=0),"ATTEMPT 2 WITHOUT ATTEMPT 1",IF(AND($K684=2,$L684=""),"RETEST ROW HAS NO SCORE",IF(AND($H684="Final",$L684&lt;&gt;"",IFERROR(INDEX(nrCKfinalExamElig,MATCH($D684,rngCadetPIDs,0)),"")="No"),"FINAL EXAM AFTER FAILED FINAL PT (500.1.H)","OK")))))))</f>
        <v/>
      </c>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IF($C685="","",IF($K685="","",IF(COUNTIFS(nrES_PID,$D685,nrES_Code,$F685,nrES_Att,"&gt;"&amp;$K685,nrES_Raw,"&gt;=0")=0,"Yes","No")))</f>
        <v/>
      </c>
      <c r="Q685" s="17">
        <f>IF($C685="","",IF($L685="","",IF(AND($K685=1,ISNUMBER($L685),$L685&lt;$J685,COUNTIFS(nrES_PID,$D685,nrES_Code,$F685,nrES_Att,2,nrES_Raw,"&gt;=0")=0),"Yes","No")))</f>
        <v/>
      </c>
      <c r="R685" s="17">
        <f>IF($C685="","",IF($L685="","",IF(AND($K685=2,ISNUMBER($L685),$L685&lt;$J685),"Yes","No")))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OR($C685="",$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RANGE",IF(COUNTIF(nrES_RecID,$B685)&gt;1,"DUPLICATE RECORD",IF(AND($K685=2,COUNTIFS(nrES_PID,$D685,nrES_Code,$F685,nrES_Att,1)=0),"ATTEMPT 2 WITHOUT ATTEMPT 1",IF(AND($K685=2,$L685=""),"RETEST ROW HAS NO SCORE",IF(AND($H685="Final",$L685&lt;&gt;"",IFERROR(INDEX(nrCKfinalExamElig,MATCH($D685,rngCadetPIDs,0)),"")="No"),"FINAL EXAM AFTER FAILED FINAL PT (500.1.H)","OK")))))))</f>
        <v/>
      </c>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IF($C686="","",IF($K686="","",IF(COUNTIFS(nrES_PID,$D686,nrES_Code,$F686,nrES_Att,"&gt;"&amp;$K686,nrES_Raw,"&gt;=0")=0,"Yes","No")))</f>
        <v/>
      </c>
      <c r="Q686" s="17">
        <f>IF($C686="","",IF($L686="","",IF(AND($K686=1,ISNUMBER($L686),$L686&lt;$J686,COUNTIFS(nrES_PID,$D686,nrES_Code,$F686,nrES_Att,2,nrES_Raw,"&gt;=0")=0),"Yes","No")))</f>
        <v/>
      </c>
      <c r="R686" s="17">
        <f>IF($C686="","",IF($L686="","",IF(AND($K686=2,ISNUMBER($L686),$L686&lt;$J686),"Yes","No")))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OR($C686="",$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RANGE",IF(COUNTIF(nrES_RecID,$B686)&gt;1,"DUPLICATE RECORD",IF(AND($K686=2,COUNTIFS(nrES_PID,$D686,nrES_Code,$F686,nrES_Att,1)=0),"ATTEMPT 2 WITHOUT ATTEMPT 1",IF(AND($K686=2,$L686=""),"RETEST ROW HAS NO SCORE",IF(AND($H686="Final",$L686&lt;&gt;"",IFERROR(INDEX(nrCKfinalExamElig,MATCH($D686,rngCadetPIDs,0)),"")="No"),"FINAL EXAM AFTER FAILED FINAL PT (500.1.H)","OK")))))))</f>
        <v/>
      </c>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IF($C687="","",IF($K687="","",IF(COUNTIFS(nrES_PID,$D687,nrES_Code,$F687,nrES_Att,"&gt;"&amp;$K687,nrES_Raw,"&gt;=0")=0,"Yes","No")))</f>
        <v/>
      </c>
      <c r="Q687" s="17">
        <f>IF($C687="","",IF($L687="","",IF(AND($K687=1,ISNUMBER($L687),$L687&lt;$J687,COUNTIFS(nrES_PID,$D687,nrES_Code,$F687,nrES_Att,2,nrES_Raw,"&gt;=0")=0),"Yes","No")))</f>
        <v/>
      </c>
      <c r="R687" s="17">
        <f>IF($C687="","",IF($L687="","",IF(AND($K687=2,ISNUMBER($L687),$L687&lt;$J687),"Yes","No")))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OR($C687="",$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RANGE",IF(COUNTIF(nrES_RecID,$B687)&gt;1,"DUPLICATE RECORD",IF(AND($K687=2,COUNTIFS(nrES_PID,$D687,nrES_Code,$F687,nrES_Att,1)=0),"ATTEMPT 2 WITHOUT ATTEMPT 1",IF(AND($K687=2,$L687=""),"RETEST ROW HAS NO SCORE",IF(AND($H687="Final",$L687&lt;&gt;"",IFERROR(INDEX(nrCKfinalExamElig,MATCH($D687,rngCadetPIDs,0)),"")="No"),"FINAL EXAM AFTER FAILED FINAL PT (500.1.H)","OK")))))))</f>
        <v/>
      </c>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IF($C688="","",IF($K688="","",IF(COUNTIFS(nrES_PID,$D688,nrES_Code,$F688,nrES_Att,"&gt;"&amp;$K688,nrES_Raw,"&gt;=0")=0,"Yes","No")))</f>
        <v/>
      </c>
      <c r="Q688" s="17">
        <f>IF($C688="","",IF($L688="","",IF(AND($K688=1,ISNUMBER($L688),$L688&lt;$J688,COUNTIFS(nrES_PID,$D688,nrES_Code,$F688,nrES_Att,2,nrES_Raw,"&gt;=0")=0),"Yes","No")))</f>
        <v/>
      </c>
      <c r="R688" s="17">
        <f>IF($C688="","",IF($L688="","",IF(AND($K688=2,ISNUMBER($L688),$L688&lt;$J688),"Yes","No")))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OR($C688="",$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RANGE",IF(COUNTIF(nrES_RecID,$B688)&gt;1,"DUPLICATE RECORD",IF(AND($K688=2,COUNTIFS(nrES_PID,$D688,nrES_Code,$F688,nrES_Att,1)=0),"ATTEMPT 2 WITHOUT ATTEMPT 1",IF(AND($K688=2,$L688=""),"RETEST ROW HAS NO SCORE",IF(AND($H688="Final",$L688&lt;&gt;"",IFERROR(INDEX(nrCKfinalExamElig,MATCH($D688,rngCadetPIDs,0)),"")="No"),"FINAL EXAM AFTER FAILED FINAL PT (500.1.H)","OK")))))))</f>
        <v/>
      </c>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IF($C689="","",IF($K689="","",IF(COUNTIFS(nrES_PID,$D689,nrES_Code,$F689,nrES_Att,"&gt;"&amp;$K689,nrES_Raw,"&gt;=0")=0,"Yes","No")))</f>
        <v/>
      </c>
      <c r="Q689" s="17">
        <f>IF($C689="","",IF($L689="","",IF(AND($K689=1,ISNUMBER($L689),$L689&lt;$J689,COUNTIFS(nrES_PID,$D689,nrES_Code,$F689,nrES_Att,2,nrES_Raw,"&gt;=0")=0),"Yes","No")))</f>
        <v/>
      </c>
      <c r="R689" s="17">
        <f>IF($C689="","",IF($L689="","",IF(AND($K689=2,ISNUMBER($L689),$L689&lt;$J689),"Yes","No")))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OR($C689="",$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RANGE",IF(COUNTIF(nrES_RecID,$B689)&gt;1,"DUPLICATE RECORD",IF(AND($K689=2,COUNTIFS(nrES_PID,$D689,nrES_Code,$F689,nrES_Att,1)=0),"ATTEMPT 2 WITHOUT ATTEMPT 1",IF(AND($K689=2,$L689=""),"RETEST ROW HAS NO SCORE",IF(AND($H689="Final",$L689&lt;&gt;"",IFERROR(INDEX(nrCKfinalExamElig,MATCH($D689,rngCadetPIDs,0)),"")="No"),"FINAL EXAM AFTER FAILED FINAL PT (500.1.H)","OK")))))))</f>
        <v/>
      </c>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IF($C690="","",IF($K690="","",IF(COUNTIFS(nrES_PID,$D690,nrES_Code,$F690,nrES_Att,"&gt;"&amp;$K690,nrES_Raw,"&gt;=0")=0,"Yes","No")))</f>
        <v/>
      </c>
      <c r="Q690" s="17">
        <f>IF($C690="","",IF($L690="","",IF(AND($K690=1,ISNUMBER($L690),$L690&lt;$J690,COUNTIFS(nrES_PID,$D690,nrES_Code,$F690,nrES_Att,2,nrES_Raw,"&gt;=0")=0),"Yes","No")))</f>
        <v/>
      </c>
      <c r="R690" s="17">
        <f>IF($C690="","",IF($L690="","",IF(AND($K690=2,ISNUMBER($L690),$L690&lt;$J690),"Yes","No")))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OR($C690="",$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RANGE",IF(COUNTIF(nrES_RecID,$B690)&gt;1,"DUPLICATE RECORD",IF(AND($K690=2,COUNTIFS(nrES_PID,$D690,nrES_Code,$F690,nrES_Att,1)=0),"ATTEMPT 2 WITHOUT ATTEMPT 1",IF(AND($K690=2,$L690=""),"RETEST ROW HAS NO SCORE",IF(AND($H690="Final",$L690&lt;&gt;"",IFERROR(INDEX(nrCKfinalExamElig,MATCH($D690,rngCadetPIDs,0)),"")="No"),"FINAL EXAM AFTER FAILED FINAL PT (500.1.H)","OK")))))))</f>
        <v/>
      </c>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IF($C691="","",IF($K691="","",IF(COUNTIFS(nrES_PID,$D691,nrES_Code,$F691,nrES_Att,"&gt;"&amp;$K691,nrES_Raw,"&gt;=0")=0,"Yes","No")))</f>
        <v/>
      </c>
      <c r="Q691" s="17">
        <f>IF($C691="","",IF($L691="","",IF(AND($K691=1,ISNUMBER($L691),$L691&lt;$J691,COUNTIFS(nrES_PID,$D691,nrES_Code,$F691,nrES_Att,2,nrES_Raw,"&gt;=0")=0),"Yes","No")))</f>
        <v/>
      </c>
      <c r="R691" s="17">
        <f>IF($C691="","",IF($L691="","",IF(AND($K691=2,ISNUMBER($L691),$L691&lt;$J691),"Yes","No")))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OR($C691="",$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RANGE",IF(COUNTIF(nrES_RecID,$B691)&gt;1,"DUPLICATE RECORD",IF(AND($K691=2,COUNTIFS(nrES_PID,$D691,nrES_Code,$F691,nrES_Att,1)=0),"ATTEMPT 2 WITHOUT ATTEMPT 1",IF(AND($K691=2,$L691=""),"RETEST ROW HAS NO SCORE",IF(AND($H691="Final",$L691&lt;&gt;"",IFERROR(INDEX(nrCKfinalExamElig,MATCH($D691,rngCadetPIDs,0)),"")="No"),"FINAL EXAM AFTER FAILED FINAL PT (500.1.H)","OK")))))))</f>
        <v/>
      </c>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IF($C692="","",IF($K692="","",IF(COUNTIFS(nrES_PID,$D692,nrES_Code,$F692,nrES_Att,"&gt;"&amp;$K692,nrES_Raw,"&gt;=0")=0,"Yes","No")))</f>
        <v/>
      </c>
      <c r="Q692" s="17">
        <f>IF($C692="","",IF($L692="","",IF(AND($K692=1,ISNUMBER($L692),$L692&lt;$J692,COUNTIFS(nrES_PID,$D692,nrES_Code,$F692,nrES_Att,2,nrES_Raw,"&gt;=0")=0),"Yes","No")))</f>
        <v/>
      </c>
      <c r="R692" s="17">
        <f>IF($C692="","",IF($L692="","",IF(AND($K692=2,ISNUMBER($L692),$L692&lt;$J692),"Yes","No")))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OR($C692="",$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RANGE",IF(COUNTIF(nrES_RecID,$B692)&gt;1,"DUPLICATE RECORD",IF(AND($K692=2,COUNTIFS(nrES_PID,$D692,nrES_Code,$F692,nrES_Att,1)=0),"ATTEMPT 2 WITHOUT ATTEMPT 1",IF(AND($K692=2,$L692=""),"RETEST ROW HAS NO SCORE",IF(AND($H692="Final",$L692&lt;&gt;"",IFERROR(INDEX(nrCKfinalExamElig,MATCH($D692,rngCadetPIDs,0)),"")="No"),"FINAL EXAM AFTER FAILED FINAL PT (500.1.H)","OK")))))))</f>
        <v/>
      </c>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IF($C693="","",IF($K693="","",IF(COUNTIFS(nrES_PID,$D693,nrES_Code,$F693,nrES_Att,"&gt;"&amp;$K693,nrES_Raw,"&gt;=0")=0,"Yes","No")))</f>
        <v/>
      </c>
      <c r="Q693" s="17">
        <f>IF($C693="","",IF($L693="","",IF(AND($K693=1,ISNUMBER($L693),$L693&lt;$J693,COUNTIFS(nrES_PID,$D693,nrES_Code,$F693,nrES_Att,2,nrES_Raw,"&gt;=0")=0),"Yes","No")))</f>
        <v/>
      </c>
      <c r="R693" s="17">
        <f>IF($C693="","",IF($L693="","",IF(AND($K693=2,ISNUMBER($L693),$L693&lt;$J693),"Yes","No")))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OR($C693="",$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RANGE",IF(COUNTIF(nrES_RecID,$B693)&gt;1,"DUPLICATE RECORD",IF(AND($K693=2,COUNTIFS(nrES_PID,$D693,nrES_Code,$F693,nrES_Att,1)=0),"ATTEMPT 2 WITHOUT ATTEMPT 1",IF(AND($K693=2,$L693=""),"RETEST ROW HAS NO SCORE",IF(AND($H693="Final",$L693&lt;&gt;"",IFERROR(INDEX(nrCKfinalExamElig,MATCH($D693,rngCadetPIDs,0)),"")="No"),"FINAL EXAM AFTER FAILED FINAL PT (500.1.H)","OK")))))))</f>
        <v/>
      </c>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IF($C694="","",IF($K694="","",IF(COUNTIFS(nrES_PID,$D694,nrES_Code,$F694,nrES_Att,"&gt;"&amp;$K694,nrES_Raw,"&gt;=0")=0,"Yes","No")))</f>
        <v/>
      </c>
      <c r="Q694" s="17">
        <f>IF($C694="","",IF($L694="","",IF(AND($K694=1,ISNUMBER($L694),$L694&lt;$J694,COUNTIFS(nrES_PID,$D694,nrES_Code,$F694,nrES_Att,2,nrES_Raw,"&gt;=0")=0),"Yes","No")))</f>
        <v/>
      </c>
      <c r="R694" s="17">
        <f>IF($C694="","",IF($L694="","",IF(AND($K694=2,ISNUMBER($L694),$L694&lt;$J694),"Yes","No")))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OR($C694="",$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RANGE",IF(COUNTIF(nrES_RecID,$B694)&gt;1,"DUPLICATE RECORD",IF(AND($K694=2,COUNTIFS(nrES_PID,$D694,nrES_Code,$F694,nrES_Att,1)=0),"ATTEMPT 2 WITHOUT ATTEMPT 1",IF(AND($K694=2,$L694=""),"RETEST ROW HAS NO SCORE",IF(AND($H694="Final",$L694&lt;&gt;"",IFERROR(INDEX(nrCKfinalExamElig,MATCH($D694,rngCadetPIDs,0)),"")="No"),"FINAL EXAM AFTER FAILED FINAL PT (500.1.H)","OK")))))))</f>
        <v/>
      </c>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IF($C695="","",IF($K695="","",IF(COUNTIFS(nrES_PID,$D695,nrES_Code,$F695,nrES_Att,"&gt;"&amp;$K695,nrES_Raw,"&gt;=0")=0,"Yes","No")))</f>
        <v/>
      </c>
      <c r="Q695" s="17">
        <f>IF($C695="","",IF($L695="","",IF(AND($K695=1,ISNUMBER($L695),$L695&lt;$J695,COUNTIFS(nrES_PID,$D695,nrES_Code,$F695,nrES_Att,2,nrES_Raw,"&gt;=0")=0),"Yes","No")))</f>
        <v/>
      </c>
      <c r="R695" s="17">
        <f>IF($C695="","",IF($L695="","",IF(AND($K695=2,ISNUMBER($L695),$L695&lt;$J695),"Yes","No")))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OR($C695="",$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RANGE",IF(COUNTIF(nrES_RecID,$B695)&gt;1,"DUPLICATE RECORD",IF(AND($K695=2,COUNTIFS(nrES_PID,$D695,nrES_Code,$F695,nrES_Att,1)=0),"ATTEMPT 2 WITHOUT ATTEMPT 1",IF(AND($K695=2,$L695=""),"RETEST ROW HAS NO SCORE",IF(AND($H695="Final",$L695&lt;&gt;"",IFERROR(INDEX(nrCKfinalExamElig,MATCH($D695,rngCadetPIDs,0)),"")="No"),"FINAL EXAM AFTER FAILED FINAL PT (500.1.H)","OK")))))))</f>
        <v/>
      </c>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IF($C696="","",IF($K696="","",IF(COUNTIFS(nrES_PID,$D696,nrES_Code,$F696,nrES_Att,"&gt;"&amp;$K696,nrES_Raw,"&gt;=0")=0,"Yes","No")))</f>
        <v/>
      </c>
      <c r="Q696" s="17">
        <f>IF($C696="","",IF($L696="","",IF(AND($K696=1,ISNUMBER($L696),$L696&lt;$J696,COUNTIFS(nrES_PID,$D696,nrES_Code,$F696,nrES_Att,2,nrES_Raw,"&gt;=0")=0),"Yes","No")))</f>
        <v/>
      </c>
      <c r="R696" s="17">
        <f>IF($C696="","",IF($L696="","",IF(AND($K696=2,ISNUMBER($L696),$L696&lt;$J696),"Yes","No")))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OR($C696="",$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RANGE",IF(COUNTIF(nrES_RecID,$B696)&gt;1,"DUPLICATE RECORD",IF(AND($K696=2,COUNTIFS(nrES_PID,$D696,nrES_Code,$F696,nrES_Att,1)=0),"ATTEMPT 2 WITHOUT ATTEMPT 1",IF(AND($K696=2,$L696=""),"RETEST ROW HAS NO SCORE",IF(AND($H696="Final",$L696&lt;&gt;"",IFERROR(INDEX(nrCKfinalExamElig,MATCH($D696,rngCadetPIDs,0)),"")="No"),"FINAL EXAM AFTER FAILED FINAL PT (500.1.H)","OK")))))))</f>
        <v/>
      </c>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IF($C697="","",IF($K697="","",IF(COUNTIFS(nrES_PID,$D697,nrES_Code,$F697,nrES_Att,"&gt;"&amp;$K697,nrES_Raw,"&gt;=0")=0,"Yes","No")))</f>
        <v/>
      </c>
      <c r="Q697" s="17">
        <f>IF($C697="","",IF($L697="","",IF(AND($K697=1,ISNUMBER($L697),$L697&lt;$J697,COUNTIFS(nrES_PID,$D697,nrES_Code,$F697,nrES_Att,2,nrES_Raw,"&gt;=0")=0),"Yes","No")))</f>
        <v/>
      </c>
      <c r="R697" s="17">
        <f>IF($C697="","",IF($L697="","",IF(AND($K697=2,ISNUMBER($L697),$L697&lt;$J697),"Yes","No")))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OR($C697="",$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RANGE",IF(COUNTIF(nrES_RecID,$B697)&gt;1,"DUPLICATE RECORD",IF(AND($K697=2,COUNTIFS(nrES_PID,$D697,nrES_Code,$F697,nrES_Att,1)=0),"ATTEMPT 2 WITHOUT ATTEMPT 1",IF(AND($K697=2,$L697=""),"RETEST ROW HAS NO SCORE",IF(AND($H697="Final",$L697&lt;&gt;"",IFERROR(INDEX(nrCKfinalExamElig,MATCH($D697,rngCadetPIDs,0)),"")="No"),"FINAL EXAM AFTER FAILED FINAL PT (500.1.H)","OK")))))))</f>
        <v/>
      </c>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IF($C698="","",IF($K698="","",IF(COUNTIFS(nrES_PID,$D698,nrES_Code,$F698,nrES_Att,"&gt;"&amp;$K698,nrES_Raw,"&gt;=0")=0,"Yes","No")))</f>
        <v/>
      </c>
      <c r="Q698" s="17">
        <f>IF($C698="","",IF($L698="","",IF(AND($K698=1,ISNUMBER($L698),$L698&lt;$J698,COUNTIFS(nrES_PID,$D698,nrES_Code,$F698,nrES_Att,2,nrES_Raw,"&gt;=0")=0),"Yes","No")))</f>
        <v/>
      </c>
      <c r="R698" s="17">
        <f>IF($C698="","",IF($L698="","",IF(AND($K698=2,ISNUMBER($L698),$L698&lt;$J698),"Yes","No")))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OR($C698="",$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RANGE",IF(COUNTIF(nrES_RecID,$B698)&gt;1,"DUPLICATE RECORD",IF(AND($K698=2,COUNTIFS(nrES_PID,$D698,nrES_Code,$F698,nrES_Att,1)=0),"ATTEMPT 2 WITHOUT ATTEMPT 1",IF(AND($K698=2,$L698=""),"RETEST ROW HAS NO SCORE",IF(AND($H698="Final",$L698&lt;&gt;"",IFERROR(INDEX(nrCKfinalExamElig,MATCH($D698,rngCadetPIDs,0)),"")="No"),"FINAL EXAM AFTER FAILED FINAL PT (500.1.H)","OK")))))))</f>
        <v/>
      </c>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IF($C699="","",IF($K699="","",IF(COUNTIFS(nrES_PID,$D699,nrES_Code,$F699,nrES_Att,"&gt;"&amp;$K699,nrES_Raw,"&gt;=0")=0,"Yes","No")))</f>
        <v/>
      </c>
      <c r="Q699" s="17">
        <f>IF($C699="","",IF($L699="","",IF(AND($K699=1,ISNUMBER($L699),$L699&lt;$J699,COUNTIFS(nrES_PID,$D699,nrES_Code,$F699,nrES_Att,2,nrES_Raw,"&gt;=0")=0),"Yes","No")))</f>
        <v/>
      </c>
      <c r="R699" s="17">
        <f>IF($C699="","",IF($L699="","",IF(AND($K699=2,ISNUMBER($L699),$L699&lt;$J699),"Yes","No")))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OR($C699="",$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RANGE",IF(COUNTIF(nrES_RecID,$B699)&gt;1,"DUPLICATE RECORD",IF(AND($K699=2,COUNTIFS(nrES_PID,$D699,nrES_Code,$F699,nrES_Att,1)=0),"ATTEMPT 2 WITHOUT ATTEMPT 1",IF(AND($K699=2,$L699=""),"RETEST ROW HAS NO SCORE",IF(AND($H699="Final",$L699&lt;&gt;"",IFERROR(INDEX(nrCKfinalExamElig,MATCH($D699,rngCadetPIDs,0)),"")="No"),"FINAL EXAM AFTER FAILED FINAL PT (500.1.H)","OK")))))))</f>
        <v/>
      </c>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IF($C700="","",IF($K700="","",IF(COUNTIFS(nrES_PID,$D700,nrES_Code,$F700,nrES_Att,"&gt;"&amp;$K700,nrES_Raw,"&gt;=0")=0,"Yes","No")))</f>
        <v/>
      </c>
      <c r="Q700" s="17">
        <f>IF($C700="","",IF($L700="","",IF(AND($K700=1,ISNUMBER($L700),$L700&lt;$J700,COUNTIFS(nrES_PID,$D700,nrES_Code,$F700,nrES_Att,2,nrES_Raw,"&gt;=0")=0),"Yes","No")))</f>
        <v/>
      </c>
      <c r="R700" s="17">
        <f>IF($C700="","",IF($L700="","",IF(AND($K700=2,ISNUMBER($L700),$L700&lt;$J700),"Yes","No")))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OR($C700="",$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RANGE",IF(COUNTIF(nrES_RecID,$B700)&gt;1,"DUPLICATE RECORD",IF(AND($K700=2,COUNTIFS(nrES_PID,$D700,nrES_Code,$F700,nrES_Att,1)=0),"ATTEMPT 2 WITHOUT ATTEMPT 1",IF(AND($K700=2,$L700=""),"RETEST ROW HAS NO SCORE",IF(AND($H700="Final",$L700&lt;&gt;"",IFERROR(INDEX(nrCKfinalExamElig,MATCH($D700,rngCadetPIDs,0)),"")="No"),"FINAL EXAM AFTER FAILED FINAL PT (500.1.H)","OK")))))))</f>
        <v/>
      </c>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IF($C701="","",IF($K701="","",IF(COUNTIFS(nrES_PID,$D701,nrES_Code,$F701,nrES_Att,"&gt;"&amp;$K701,nrES_Raw,"&gt;=0")=0,"Yes","No")))</f>
        <v/>
      </c>
      <c r="Q701" s="17">
        <f>IF($C701="","",IF($L701="","",IF(AND($K701=1,ISNUMBER($L701),$L701&lt;$J701,COUNTIFS(nrES_PID,$D701,nrES_Code,$F701,nrES_Att,2,nrES_Raw,"&gt;=0")=0),"Yes","No")))</f>
        <v/>
      </c>
      <c r="R701" s="17">
        <f>IF($C701="","",IF($L701="","",IF(AND($K701=2,ISNUMBER($L701),$L701&lt;$J701),"Yes","No")))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OR($C701="",$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RANGE",IF(COUNTIF(nrES_RecID,$B701)&gt;1,"DUPLICATE RECORD",IF(AND($K701=2,COUNTIFS(nrES_PID,$D701,nrES_Code,$F701,nrES_Att,1)=0),"ATTEMPT 2 WITHOUT ATTEMPT 1",IF(AND($K701=2,$L701=""),"RETEST ROW HAS NO SCORE",IF(AND($H701="Final",$L701&lt;&gt;"",IFERROR(INDEX(nrCKfinalExamElig,MATCH($D701,rngCadetPIDs,0)),"")="No"),"FINAL EXAM AFTER FAILED FINAL PT (500.1.H)","OK")))))))</f>
        <v/>
      </c>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IF($C702="","",IF($K702="","",IF(COUNTIFS(nrES_PID,$D702,nrES_Code,$F702,nrES_Att,"&gt;"&amp;$K702,nrES_Raw,"&gt;=0")=0,"Yes","No")))</f>
        <v/>
      </c>
      <c r="Q702" s="17">
        <f>IF($C702="","",IF($L702="","",IF(AND($K702=1,ISNUMBER($L702),$L702&lt;$J702,COUNTIFS(nrES_PID,$D702,nrES_Code,$F702,nrES_Att,2,nrES_Raw,"&gt;=0")=0),"Yes","No")))</f>
        <v/>
      </c>
      <c r="R702" s="17">
        <f>IF($C702="","",IF($L702="","",IF(AND($K702=2,ISNUMBER($L702),$L702&lt;$J702),"Yes","No")))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OR($C702="",$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RANGE",IF(COUNTIF(nrES_RecID,$B702)&gt;1,"DUPLICATE RECORD",IF(AND($K702=2,COUNTIFS(nrES_PID,$D702,nrES_Code,$F702,nrES_Att,1)=0),"ATTEMPT 2 WITHOUT ATTEMPT 1",IF(AND($K702=2,$L702=""),"RETEST ROW HAS NO SCORE",IF(AND($H702="Final",$L702&lt;&gt;"",IFERROR(INDEX(nrCKfinalExamElig,MATCH($D702,rngCadetPIDs,0)),"")="No"),"FINAL EXAM AFTER FAILED FINAL PT (500.1.H)","OK")))))))</f>
        <v/>
      </c>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IF($C703="","",IF($K703="","",IF(COUNTIFS(nrES_PID,$D703,nrES_Code,$F703,nrES_Att,"&gt;"&amp;$K703,nrES_Raw,"&gt;=0")=0,"Yes","No")))</f>
        <v/>
      </c>
      <c r="Q703" s="17">
        <f>IF($C703="","",IF($L703="","",IF(AND($K703=1,ISNUMBER($L703),$L703&lt;$J703,COUNTIFS(nrES_PID,$D703,nrES_Code,$F703,nrES_Att,2,nrES_Raw,"&gt;=0")=0),"Yes","No")))</f>
        <v/>
      </c>
      <c r="R703" s="17">
        <f>IF($C703="","",IF($L703="","",IF(AND($K703=2,ISNUMBER($L703),$L703&lt;$J703),"Yes","No")))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OR($C703="",$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RANGE",IF(COUNTIF(nrES_RecID,$B703)&gt;1,"DUPLICATE RECORD",IF(AND($K703=2,COUNTIFS(nrES_PID,$D703,nrES_Code,$F703,nrES_Att,1)=0),"ATTEMPT 2 WITHOUT ATTEMPT 1",IF(AND($K703=2,$L703=""),"RETEST ROW HAS NO SCORE",IF(AND($H703="Final",$L703&lt;&gt;"",IFERROR(INDEX(nrCKfinalExamElig,MATCH($D703,rngCadetPIDs,0)),"")="No"),"FINAL EXAM AFTER FAILED FINAL PT (500.1.H)","OK")))))))</f>
        <v/>
      </c>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IF($C704="","",IF($K704="","",IF(COUNTIFS(nrES_PID,$D704,nrES_Code,$F704,nrES_Att,"&gt;"&amp;$K704,nrES_Raw,"&gt;=0")=0,"Yes","No")))</f>
        <v/>
      </c>
      <c r="Q704" s="17">
        <f>IF($C704="","",IF($L704="","",IF(AND($K704=1,ISNUMBER($L704),$L704&lt;$J704,COUNTIFS(nrES_PID,$D704,nrES_Code,$F704,nrES_Att,2,nrES_Raw,"&gt;=0")=0),"Yes","No")))</f>
        <v/>
      </c>
      <c r="R704" s="17">
        <f>IF($C704="","",IF($L704="","",IF(AND($K704=2,ISNUMBER($L704),$L704&lt;$J704),"Yes","No")))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OR($C704="",$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RANGE",IF(COUNTIF(nrES_RecID,$B704)&gt;1,"DUPLICATE RECORD",IF(AND($K704=2,COUNTIFS(nrES_PID,$D704,nrES_Code,$F704,nrES_Att,1)=0),"ATTEMPT 2 WITHOUT ATTEMPT 1",IF(AND($K704=2,$L704=""),"RETEST ROW HAS NO SCORE",IF(AND($H704="Final",$L704&lt;&gt;"",IFERROR(INDEX(nrCKfinalExamElig,MATCH($D704,rngCadetPIDs,0)),"")="No"),"FINAL EXAM AFTER FAILED FINAL PT (500.1.H)","OK")))))))</f>
        <v/>
      </c>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IF($C705="","",IF($K705="","",IF(COUNTIFS(nrES_PID,$D705,nrES_Code,$F705,nrES_Att,"&gt;"&amp;$K705,nrES_Raw,"&gt;=0")=0,"Yes","No")))</f>
        <v/>
      </c>
      <c r="Q705" s="17">
        <f>IF($C705="","",IF($L705="","",IF(AND($K705=1,ISNUMBER($L705),$L705&lt;$J705,COUNTIFS(nrES_PID,$D705,nrES_Code,$F705,nrES_Att,2,nrES_Raw,"&gt;=0")=0),"Yes","No")))</f>
        <v/>
      </c>
      <c r="R705" s="17">
        <f>IF($C705="","",IF($L705="","",IF(AND($K705=2,ISNUMBER($L705),$L705&lt;$J705),"Yes","No")))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OR($C705="",$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RANGE",IF(COUNTIF(nrES_RecID,$B705)&gt;1,"DUPLICATE RECORD",IF(AND($K705=2,COUNTIFS(nrES_PID,$D705,nrES_Code,$F705,nrES_Att,1)=0),"ATTEMPT 2 WITHOUT ATTEMPT 1",IF(AND($K705=2,$L705=""),"RETEST ROW HAS NO SCORE",IF(AND($H705="Final",$L705&lt;&gt;"",IFERROR(INDEX(nrCKfinalExamElig,MATCH($D705,rngCadetPIDs,0)),"")="No"),"FINAL EXAM AFTER FAILED FINAL PT (500.1.H)","OK")))))))</f>
        <v/>
      </c>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IF($C706="","",IF($K706="","",IF(COUNTIFS(nrES_PID,$D706,nrES_Code,$F706,nrES_Att,"&gt;"&amp;$K706,nrES_Raw,"&gt;=0")=0,"Yes","No")))</f>
        <v/>
      </c>
      <c r="Q706" s="17">
        <f>IF($C706="","",IF($L706="","",IF(AND($K706=1,ISNUMBER($L706),$L706&lt;$J706,COUNTIFS(nrES_PID,$D706,nrES_Code,$F706,nrES_Att,2,nrES_Raw,"&gt;=0")=0),"Yes","No")))</f>
        <v/>
      </c>
      <c r="R706" s="17">
        <f>IF($C706="","",IF($L706="","",IF(AND($K706=2,ISNUMBER($L706),$L706&lt;$J706),"Yes","No")))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OR($C706="",$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RANGE",IF(COUNTIF(nrES_RecID,$B706)&gt;1,"DUPLICATE RECORD",IF(AND($K706=2,COUNTIFS(nrES_PID,$D706,nrES_Code,$F706,nrES_Att,1)=0),"ATTEMPT 2 WITHOUT ATTEMPT 1",IF(AND($K706=2,$L706=""),"RETEST ROW HAS NO SCORE",IF(AND($H706="Final",$L706&lt;&gt;"",IFERROR(INDEX(nrCKfinalExamElig,MATCH($D706,rngCadetPIDs,0)),"")="No"),"FINAL EXAM AFTER FAILED FINAL PT (500.1.H)","OK")))))))</f>
        <v/>
      </c>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IF($C707="","",IF($K707="","",IF(COUNTIFS(nrES_PID,$D707,nrES_Code,$F707,nrES_Att,"&gt;"&amp;$K707,nrES_Raw,"&gt;=0")=0,"Yes","No")))</f>
        <v/>
      </c>
      <c r="Q707" s="17">
        <f>IF($C707="","",IF($L707="","",IF(AND($K707=1,ISNUMBER($L707),$L707&lt;$J707,COUNTIFS(nrES_PID,$D707,nrES_Code,$F707,nrES_Att,2,nrES_Raw,"&gt;=0")=0),"Yes","No")))</f>
        <v/>
      </c>
      <c r="R707" s="17">
        <f>IF($C707="","",IF($L707="","",IF(AND($K707=2,ISNUMBER($L707),$L707&lt;$J707),"Yes","No")))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OR($C707="",$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RANGE",IF(COUNTIF(nrES_RecID,$B707)&gt;1,"DUPLICATE RECORD",IF(AND($K707=2,COUNTIFS(nrES_PID,$D707,nrES_Code,$F707,nrES_Att,1)=0),"ATTEMPT 2 WITHOUT ATTEMPT 1",IF(AND($K707=2,$L707=""),"RETEST ROW HAS NO SCORE",IF(AND($H707="Final",$L707&lt;&gt;"",IFERROR(INDEX(nrCKfinalExamElig,MATCH($D707,rngCadetPIDs,0)),"")="No"),"FINAL EXAM AFTER FAILED FINAL PT (500.1.H)","OK")))))))</f>
        <v/>
      </c>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IF($C708="","",IF($K708="","",IF(COUNTIFS(nrES_PID,$D708,nrES_Code,$F708,nrES_Att,"&gt;"&amp;$K708,nrES_Raw,"&gt;=0")=0,"Yes","No")))</f>
        <v/>
      </c>
      <c r="Q708" s="17">
        <f>IF($C708="","",IF($L708="","",IF(AND($K708=1,ISNUMBER($L708),$L708&lt;$J708,COUNTIFS(nrES_PID,$D708,nrES_Code,$F708,nrES_Att,2,nrES_Raw,"&gt;=0")=0),"Yes","No")))</f>
        <v/>
      </c>
      <c r="R708" s="17">
        <f>IF($C708="","",IF($L708="","",IF(AND($K708=2,ISNUMBER($L708),$L708&lt;$J708),"Yes","No")))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OR($C708="",$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RANGE",IF(COUNTIF(nrES_RecID,$B708)&gt;1,"DUPLICATE RECORD",IF(AND($K708=2,COUNTIFS(nrES_PID,$D708,nrES_Code,$F708,nrES_Att,1)=0),"ATTEMPT 2 WITHOUT ATTEMPT 1",IF(AND($K708=2,$L708=""),"RETEST ROW HAS NO SCORE",IF(AND($H708="Final",$L708&lt;&gt;"",IFERROR(INDEX(nrCKfinalExamElig,MATCH($D708,rngCadetPIDs,0)),"")="No"),"FINAL EXAM AFTER FAILED FINAL PT (500.1.H)","OK")))))))</f>
        <v/>
      </c>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IF($C709="","",IF($K709="","",IF(COUNTIFS(nrES_PID,$D709,nrES_Code,$F709,nrES_Att,"&gt;"&amp;$K709,nrES_Raw,"&gt;=0")=0,"Yes","No")))</f>
        <v/>
      </c>
      <c r="Q709" s="17">
        <f>IF($C709="","",IF($L709="","",IF(AND($K709=1,ISNUMBER($L709),$L709&lt;$J709,COUNTIFS(nrES_PID,$D709,nrES_Code,$F709,nrES_Att,2,nrES_Raw,"&gt;=0")=0),"Yes","No")))</f>
        <v/>
      </c>
      <c r="R709" s="17">
        <f>IF($C709="","",IF($L709="","",IF(AND($K709=2,ISNUMBER($L709),$L709&lt;$J709),"Yes","No")))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OR($C709="",$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RANGE",IF(COUNTIF(nrES_RecID,$B709)&gt;1,"DUPLICATE RECORD",IF(AND($K709=2,COUNTIFS(nrES_PID,$D709,nrES_Code,$F709,nrES_Att,1)=0),"ATTEMPT 2 WITHOUT ATTEMPT 1",IF(AND($K709=2,$L709=""),"RETEST ROW HAS NO SCORE",IF(AND($H709="Final",$L709&lt;&gt;"",IFERROR(INDEX(nrCKfinalExamElig,MATCH($D709,rngCadetPIDs,0)),"")="No"),"FINAL EXAM AFTER FAILED FINAL PT (500.1.H)","OK")))))))</f>
        <v/>
      </c>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IF($C710="","",IF($K710="","",IF(COUNTIFS(nrES_PID,$D710,nrES_Code,$F710,nrES_Att,"&gt;"&amp;$K710,nrES_Raw,"&gt;=0")=0,"Yes","No")))</f>
        <v/>
      </c>
      <c r="Q710" s="17">
        <f>IF($C710="","",IF($L710="","",IF(AND($K710=1,ISNUMBER($L710),$L710&lt;$J710,COUNTIFS(nrES_PID,$D710,nrES_Code,$F710,nrES_Att,2,nrES_Raw,"&gt;=0")=0),"Yes","No")))</f>
        <v/>
      </c>
      <c r="R710" s="17">
        <f>IF($C710="","",IF($L710="","",IF(AND($K710=2,ISNUMBER($L710),$L710&lt;$J710),"Yes","No")))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OR($C710="",$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RANGE",IF(COUNTIF(nrES_RecID,$B710)&gt;1,"DUPLICATE RECORD",IF(AND($K710=2,COUNTIFS(nrES_PID,$D710,nrES_Code,$F710,nrES_Att,1)=0),"ATTEMPT 2 WITHOUT ATTEMPT 1",IF(AND($K710=2,$L710=""),"RETEST ROW HAS NO SCORE",IF(AND($H710="Final",$L710&lt;&gt;"",IFERROR(INDEX(nrCKfinalExamElig,MATCH($D710,rngCadetPIDs,0)),"")="No"),"FINAL EXAM AFTER FAILED FINAL PT (500.1.H)","OK")))))))</f>
        <v/>
      </c>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IF($C711="","",IF($K711="","",IF(COUNTIFS(nrES_PID,$D711,nrES_Code,$F711,nrES_Att,"&gt;"&amp;$K711,nrES_Raw,"&gt;=0")=0,"Yes","No")))</f>
        <v/>
      </c>
      <c r="Q711" s="17">
        <f>IF($C711="","",IF($L711="","",IF(AND($K711=1,ISNUMBER($L711),$L711&lt;$J711,COUNTIFS(nrES_PID,$D711,nrES_Code,$F711,nrES_Att,2,nrES_Raw,"&gt;=0")=0),"Yes","No")))</f>
        <v/>
      </c>
      <c r="R711" s="17">
        <f>IF($C711="","",IF($L711="","",IF(AND($K711=2,ISNUMBER($L711),$L711&lt;$J711),"Yes","No")))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OR($C711="",$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RANGE",IF(COUNTIF(nrES_RecID,$B711)&gt;1,"DUPLICATE RECORD",IF(AND($K711=2,COUNTIFS(nrES_PID,$D711,nrES_Code,$F711,nrES_Att,1)=0),"ATTEMPT 2 WITHOUT ATTEMPT 1",IF(AND($K711=2,$L711=""),"RETEST ROW HAS NO SCORE",IF(AND($H711="Final",$L711&lt;&gt;"",IFERROR(INDEX(nrCKfinalExamElig,MATCH($D711,rngCadetPIDs,0)),"")="No"),"FINAL EXAM AFTER FAILED FINAL PT (500.1.H)","OK")))))))</f>
        <v/>
      </c>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IF($C712="","",IF($K712="","",IF(COUNTIFS(nrES_PID,$D712,nrES_Code,$F712,nrES_Att,"&gt;"&amp;$K712,nrES_Raw,"&gt;=0")=0,"Yes","No")))</f>
        <v/>
      </c>
      <c r="Q712" s="17">
        <f>IF($C712="","",IF($L712="","",IF(AND($K712=1,ISNUMBER($L712),$L712&lt;$J712,COUNTIFS(nrES_PID,$D712,nrES_Code,$F712,nrES_Att,2,nrES_Raw,"&gt;=0")=0),"Yes","No")))</f>
        <v/>
      </c>
      <c r="R712" s="17">
        <f>IF($C712="","",IF($L712="","",IF(AND($K712=2,ISNUMBER($L712),$L712&lt;$J712),"Yes","No")))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OR($C712="",$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RANGE",IF(COUNTIF(nrES_RecID,$B712)&gt;1,"DUPLICATE RECORD",IF(AND($K712=2,COUNTIFS(nrES_PID,$D712,nrES_Code,$F712,nrES_Att,1)=0),"ATTEMPT 2 WITHOUT ATTEMPT 1",IF(AND($K712=2,$L712=""),"RETEST ROW HAS NO SCORE",IF(AND($H712="Final",$L712&lt;&gt;"",IFERROR(INDEX(nrCKfinalExamElig,MATCH($D712,rngCadetPIDs,0)),"")="No"),"FINAL EXAM AFTER FAILED FINAL PT (500.1.H)","OK")))))))</f>
        <v/>
      </c>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IF($C713="","",IF($K713="","",IF(COUNTIFS(nrES_PID,$D713,nrES_Code,$F713,nrES_Att,"&gt;"&amp;$K713,nrES_Raw,"&gt;=0")=0,"Yes","No")))</f>
        <v/>
      </c>
      <c r="Q713" s="17">
        <f>IF($C713="","",IF($L713="","",IF(AND($K713=1,ISNUMBER($L713),$L713&lt;$J713,COUNTIFS(nrES_PID,$D713,nrES_Code,$F713,nrES_Att,2,nrES_Raw,"&gt;=0")=0),"Yes","No")))</f>
        <v/>
      </c>
      <c r="R713" s="17">
        <f>IF($C713="","",IF($L713="","",IF(AND($K713=2,ISNUMBER($L713),$L713&lt;$J713),"Yes","No")))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OR($C713="",$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RANGE",IF(COUNTIF(nrES_RecID,$B713)&gt;1,"DUPLICATE RECORD",IF(AND($K713=2,COUNTIFS(nrES_PID,$D713,nrES_Code,$F713,nrES_Att,1)=0),"ATTEMPT 2 WITHOUT ATTEMPT 1",IF(AND($K713=2,$L713=""),"RETEST ROW HAS NO SCORE",IF(AND($H713="Final",$L713&lt;&gt;"",IFERROR(INDEX(nrCKfinalExamElig,MATCH($D713,rngCadetPIDs,0)),"")="No"),"FINAL EXAM AFTER FAILED FINAL PT (500.1.H)","OK")))))))</f>
        <v/>
      </c>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IF($C714="","",IF($K714="","",IF(COUNTIFS(nrES_PID,$D714,nrES_Code,$F714,nrES_Att,"&gt;"&amp;$K714,nrES_Raw,"&gt;=0")=0,"Yes","No")))</f>
        <v/>
      </c>
      <c r="Q714" s="17">
        <f>IF($C714="","",IF($L714="","",IF(AND($K714=1,ISNUMBER($L714),$L714&lt;$J714,COUNTIFS(nrES_PID,$D714,nrES_Code,$F714,nrES_Att,2,nrES_Raw,"&gt;=0")=0),"Yes","No")))</f>
        <v/>
      </c>
      <c r="R714" s="17">
        <f>IF($C714="","",IF($L714="","",IF(AND($K714=2,ISNUMBER($L714),$L714&lt;$J714),"Yes","No")))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OR($C714="",$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RANGE",IF(COUNTIF(nrES_RecID,$B714)&gt;1,"DUPLICATE RECORD",IF(AND($K714=2,COUNTIFS(nrES_PID,$D714,nrES_Code,$F714,nrES_Att,1)=0),"ATTEMPT 2 WITHOUT ATTEMPT 1",IF(AND($K714=2,$L714=""),"RETEST ROW HAS NO SCORE",IF(AND($H714="Final",$L714&lt;&gt;"",IFERROR(INDEX(nrCKfinalExamElig,MATCH($D714,rngCadetPIDs,0)),"")="No"),"FINAL EXAM AFTER FAILED FINAL PT (500.1.H)","OK")))))))</f>
        <v/>
      </c>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IF($C715="","",IF($K715="","",IF(COUNTIFS(nrES_PID,$D715,nrES_Code,$F715,nrES_Att,"&gt;"&amp;$K715,nrES_Raw,"&gt;=0")=0,"Yes","No")))</f>
        <v/>
      </c>
      <c r="Q715" s="17">
        <f>IF($C715="","",IF($L715="","",IF(AND($K715=1,ISNUMBER($L715),$L715&lt;$J715,COUNTIFS(nrES_PID,$D715,nrES_Code,$F715,nrES_Att,2,nrES_Raw,"&gt;=0")=0),"Yes","No")))</f>
        <v/>
      </c>
      <c r="R715" s="17">
        <f>IF($C715="","",IF($L715="","",IF(AND($K715=2,ISNUMBER($L715),$L715&lt;$J715),"Yes","No")))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OR($C715="",$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RANGE",IF(COUNTIF(nrES_RecID,$B715)&gt;1,"DUPLICATE RECORD",IF(AND($K715=2,COUNTIFS(nrES_PID,$D715,nrES_Code,$F715,nrES_Att,1)=0),"ATTEMPT 2 WITHOUT ATTEMPT 1",IF(AND($K715=2,$L715=""),"RETEST ROW HAS NO SCORE",IF(AND($H715="Final",$L715&lt;&gt;"",IFERROR(INDEX(nrCKfinalExamElig,MATCH($D715,rngCadetPIDs,0)),"")="No"),"FINAL EXAM AFTER FAILED FINAL PT (500.1.H)","OK")))))))</f>
        <v/>
      </c>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IF($C716="","",IF($K716="","",IF(COUNTIFS(nrES_PID,$D716,nrES_Code,$F716,nrES_Att,"&gt;"&amp;$K716,nrES_Raw,"&gt;=0")=0,"Yes","No")))</f>
        <v/>
      </c>
      <c r="Q716" s="17">
        <f>IF($C716="","",IF($L716="","",IF(AND($K716=1,ISNUMBER($L716),$L716&lt;$J716,COUNTIFS(nrES_PID,$D716,nrES_Code,$F716,nrES_Att,2,nrES_Raw,"&gt;=0")=0),"Yes","No")))</f>
        <v/>
      </c>
      <c r="R716" s="17">
        <f>IF($C716="","",IF($L716="","",IF(AND($K716=2,ISNUMBER($L716),$L716&lt;$J716),"Yes","No")))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OR($C716="",$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RANGE",IF(COUNTIF(nrES_RecID,$B716)&gt;1,"DUPLICATE RECORD",IF(AND($K716=2,COUNTIFS(nrES_PID,$D716,nrES_Code,$F716,nrES_Att,1)=0),"ATTEMPT 2 WITHOUT ATTEMPT 1",IF(AND($K716=2,$L716=""),"RETEST ROW HAS NO SCORE",IF(AND($H716="Final",$L716&lt;&gt;"",IFERROR(INDEX(nrCKfinalExamElig,MATCH($D716,rngCadetPIDs,0)),"")="No"),"FINAL EXAM AFTER FAILED FINAL PT (500.1.H)","OK")))))))</f>
        <v/>
      </c>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IF($C717="","",IF($K717="","",IF(COUNTIFS(nrES_PID,$D717,nrES_Code,$F717,nrES_Att,"&gt;"&amp;$K717,nrES_Raw,"&gt;=0")=0,"Yes","No")))</f>
        <v/>
      </c>
      <c r="Q717" s="17">
        <f>IF($C717="","",IF($L717="","",IF(AND($K717=1,ISNUMBER($L717),$L717&lt;$J717,COUNTIFS(nrES_PID,$D717,nrES_Code,$F717,nrES_Att,2,nrES_Raw,"&gt;=0")=0),"Yes","No")))</f>
        <v/>
      </c>
      <c r="R717" s="17">
        <f>IF($C717="","",IF($L717="","",IF(AND($K717=2,ISNUMBER($L717),$L717&lt;$J717),"Yes","No")))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OR($C717="",$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RANGE",IF(COUNTIF(nrES_RecID,$B717)&gt;1,"DUPLICATE RECORD",IF(AND($K717=2,COUNTIFS(nrES_PID,$D717,nrES_Code,$F717,nrES_Att,1)=0),"ATTEMPT 2 WITHOUT ATTEMPT 1",IF(AND($K717=2,$L717=""),"RETEST ROW HAS NO SCORE",IF(AND($H717="Final",$L717&lt;&gt;"",IFERROR(INDEX(nrCKfinalExamElig,MATCH($D717,rngCadetPIDs,0)),"")="No"),"FINAL EXAM AFTER FAILED FINAL PT (500.1.H)","OK")))))))</f>
        <v/>
      </c>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IF($C718="","",IF($K718="","",IF(COUNTIFS(nrES_PID,$D718,nrES_Code,$F718,nrES_Att,"&gt;"&amp;$K718,nrES_Raw,"&gt;=0")=0,"Yes","No")))</f>
        <v/>
      </c>
      <c r="Q718" s="17">
        <f>IF($C718="","",IF($L718="","",IF(AND($K718=1,ISNUMBER($L718),$L718&lt;$J718,COUNTIFS(nrES_PID,$D718,nrES_Code,$F718,nrES_Att,2,nrES_Raw,"&gt;=0")=0),"Yes","No")))</f>
        <v/>
      </c>
      <c r="R718" s="17">
        <f>IF($C718="","",IF($L718="","",IF(AND($K718=2,ISNUMBER($L718),$L718&lt;$J718),"Yes","No")))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OR($C718="",$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RANGE",IF(COUNTIF(nrES_RecID,$B718)&gt;1,"DUPLICATE RECORD",IF(AND($K718=2,COUNTIFS(nrES_PID,$D718,nrES_Code,$F718,nrES_Att,1)=0),"ATTEMPT 2 WITHOUT ATTEMPT 1",IF(AND($K718=2,$L718=""),"RETEST ROW HAS NO SCORE",IF(AND($H718="Final",$L718&lt;&gt;"",IFERROR(INDEX(nrCKfinalExamElig,MATCH($D718,rngCadetPIDs,0)),"")="No"),"FINAL EXAM AFTER FAILED FINAL PT (500.1.H)","OK")))))))</f>
        <v/>
      </c>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IF($C719="","",IF($K719="","",IF(COUNTIFS(nrES_PID,$D719,nrES_Code,$F719,nrES_Att,"&gt;"&amp;$K719,nrES_Raw,"&gt;=0")=0,"Yes","No")))</f>
        <v/>
      </c>
      <c r="Q719" s="17">
        <f>IF($C719="","",IF($L719="","",IF(AND($K719=1,ISNUMBER($L719),$L719&lt;$J719,COUNTIFS(nrES_PID,$D719,nrES_Code,$F719,nrES_Att,2,nrES_Raw,"&gt;=0")=0),"Yes","No")))</f>
        <v/>
      </c>
      <c r="R719" s="17">
        <f>IF($C719="","",IF($L719="","",IF(AND($K719=2,ISNUMBER($L719),$L719&lt;$J719),"Yes","No")))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OR($C719="",$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RANGE",IF(COUNTIF(nrES_RecID,$B719)&gt;1,"DUPLICATE RECORD",IF(AND($K719=2,COUNTIFS(nrES_PID,$D719,nrES_Code,$F719,nrES_Att,1)=0),"ATTEMPT 2 WITHOUT ATTEMPT 1",IF(AND($K719=2,$L719=""),"RETEST ROW HAS NO SCORE",IF(AND($H719="Final",$L719&lt;&gt;"",IFERROR(INDEX(nrCKfinalExamElig,MATCH($D719,rngCadetPIDs,0)),"")="No"),"FINAL EXAM AFTER FAILED FINAL PT (500.1.H)","OK")))))))</f>
        <v/>
      </c>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IF($C720="","",IF($K720="","",IF(COUNTIFS(nrES_PID,$D720,nrES_Code,$F720,nrES_Att,"&gt;"&amp;$K720,nrES_Raw,"&gt;=0")=0,"Yes","No")))</f>
        <v/>
      </c>
      <c r="Q720" s="17">
        <f>IF($C720="","",IF($L720="","",IF(AND($K720=1,ISNUMBER($L720),$L720&lt;$J720,COUNTIFS(nrES_PID,$D720,nrES_Code,$F720,nrES_Att,2,nrES_Raw,"&gt;=0")=0),"Yes","No")))</f>
        <v/>
      </c>
      <c r="R720" s="17">
        <f>IF($C720="","",IF($L720="","",IF(AND($K720=2,ISNUMBER($L720),$L720&lt;$J720),"Yes","No")))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OR($C720="",$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RANGE",IF(COUNTIF(nrES_RecID,$B720)&gt;1,"DUPLICATE RECORD",IF(AND($K720=2,COUNTIFS(nrES_PID,$D720,nrES_Code,$F720,nrES_Att,1)=0),"ATTEMPT 2 WITHOUT ATTEMPT 1",IF(AND($K720=2,$L720=""),"RETEST ROW HAS NO SCORE",IF(AND($H720="Final",$L720&lt;&gt;"",IFERROR(INDEX(nrCKfinalExamElig,MATCH($D720,rngCadetPIDs,0)),"")="No"),"FINAL EXAM AFTER FAILED FINAL PT (500.1.H)","OK")))))))</f>
        <v/>
      </c>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IF($C721="","",IF($K721="","",IF(COUNTIFS(nrES_PID,$D721,nrES_Code,$F721,nrES_Att,"&gt;"&amp;$K721,nrES_Raw,"&gt;=0")=0,"Yes","No")))</f>
        <v/>
      </c>
      <c r="Q721" s="17">
        <f>IF($C721="","",IF($L721="","",IF(AND($K721=1,ISNUMBER($L721),$L721&lt;$J721,COUNTIFS(nrES_PID,$D721,nrES_Code,$F721,nrES_Att,2,nrES_Raw,"&gt;=0")=0),"Yes","No")))</f>
        <v/>
      </c>
      <c r="R721" s="17">
        <f>IF($C721="","",IF($L721="","",IF(AND($K721=2,ISNUMBER($L721),$L721&lt;$J721),"Yes","No")))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OR($C721="",$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RANGE",IF(COUNTIF(nrES_RecID,$B721)&gt;1,"DUPLICATE RECORD",IF(AND($K721=2,COUNTIFS(nrES_PID,$D721,nrES_Code,$F721,nrES_Att,1)=0),"ATTEMPT 2 WITHOUT ATTEMPT 1",IF(AND($K721=2,$L721=""),"RETEST ROW HAS NO SCORE",IF(AND($H721="Final",$L721&lt;&gt;"",IFERROR(INDEX(nrCKfinalExamElig,MATCH($D721,rngCadetPIDs,0)),"")="No"),"FINAL EXAM AFTER FAILED FINAL PT (500.1.H)","OK")))))))</f>
        <v/>
      </c>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IF($C722="","",IF($K722="","",IF(COUNTIFS(nrES_PID,$D722,nrES_Code,$F722,nrES_Att,"&gt;"&amp;$K722,nrES_Raw,"&gt;=0")=0,"Yes","No")))</f>
        <v/>
      </c>
      <c r="Q722" s="17">
        <f>IF($C722="","",IF($L722="","",IF(AND($K722=1,ISNUMBER($L722),$L722&lt;$J722,COUNTIFS(nrES_PID,$D722,nrES_Code,$F722,nrES_Att,2,nrES_Raw,"&gt;=0")=0),"Yes","No")))</f>
        <v/>
      </c>
      <c r="R722" s="17">
        <f>IF($C722="","",IF($L722="","",IF(AND($K722=2,ISNUMBER($L722),$L722&lt;$J722),"Yes","No")))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OR($C722="",$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RANGE",IF(COUNTIF(nrES_RecID,$B722)&gt;1,"DUPLICATE RECORD",IF(AND($K722=2,COUNTIFS(nrES_PID,$D722,nrES_Code,$F722,nrES_Att,1)=0),"ATTEMPT 2 WITHOUT ATTEMPT 1",IF(AND($K722=2,$L722=""),"RETEST ROW HAS NO SCORE",IF(AND($H722="Final",$L722&lt;&gt;"",IFERROR(INDEX(nrCKfinalExamElig,MATCH($D722,rngCadetPIDs,0)),"")="No"),"FINAL EXAM AFTER FAILED FINAL PT (500.1.H)","OK")))))))</f>
        <v/>
      </c>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IF($C723="","",IF($K723="","",IF(COUNTIFS(nrES_PID,$D723,nrES_Code,$F723,nrES_Att,"&gt;"&amp;$K723,nrES_Raw,"&gt;=0")=0,"Yes","No")))</f>
        <v/>
      </c>
      <c r="Q723" s="17">
        <f>IF($C723="","",IF($L723="","",IF(AND($K723=1,ISNUMBER($L723),$L723&lt;$J723,COUNTIFS(nrES_PID,$D723,nrES_Code,$F723,nrES_Att,2,nrES_Raw,"&gt;=0")=0),"Yes","No")))</f>
        <v/>
      </c>
      <c r="R723" s="17">
        <f>IF($C723="","",IF($L723="","",IF(AND($K723=2,ISNUMBER($L723),$L723&lt;$J723),"Yes","No")))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OR($C723="",$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RANGE",IF(COUNTIF(nrES_RecID,$B723)&gt;1,"DUPLICATE RECORD",IF(AND($K723=2,COUNTIFS(nrES_PID,$D723,nrES_Code,$F723,nrES_Att,1)=0),"ATTEMPT 2 WITHOUT ATTEMPT 1",IF(AND($K723=2,$L723=""),"RETEST ROW HAS NO SCORE",IF(AND($H723="Final",$L723&lt;&gt;"",IFERROR(INDEX(nrCKfinalExamElig,MATCH($D723,rngCadetPIDs,0)),"")="No"),"FINAL EXAM AFTER FAILED FINAL PT (500.1.H)","OK")))))))</f>
        <v/>
      </c>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IF($C724="","",IF($K724="","",IF(COUNTIFS(nrES_PID,$D724,nrES_Code,$F724,nrES_Att,"&gt;"&amp;$K724,nrES_Raw,"&gt;=0")=0,"Yes","No")))</f>
        <v/>
      </c>
      <c r="Q724" s="17">
        <f>IF($C724="","",IF($L724="","",IF(AND($K724=1,ISNUMBER($L724),$L724&lt;$J724,COUNTIFS(nrES_PID,$D724,nrES_Code,$F724,nrES_Att,2,nrES_Raw,"&gt;=0")=0),"Yes","No")))</f>
        <v/>
      </c>
      <c r="R724" s="17">
        <f>IF($C724="","",IF($L724="","",IF(AND($K724=2,ISNUMBER($L724),$L724&lt;$J724),"Yes","No")))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OR($C724="",$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RANGE",IF(COUNTIF(nrES_RecID,$B724)&gt;1,"DUPLICATE RECORD",IF(AND($K724=2,COUNTIFS(nrES_PID,$D724,nrES_Code,$F724,nrES_Att,1)=0),"ATTEMPT 2 WITHOUT ATTEMPT 1",IF(AND($K724=2,$L724=""),"RETEST ROW HAS NO SCORE",IF(AND($H724="Final",$L724&lt;&gt;"",IFERROR(INDEX(nrCKfinalExamElig,MATCH($D724,rngCadetPIDs,0)),"")="No"),"FINAL EXAM AFTER FAILED FINAL PT (500.1.H)","OK")))))))</f>
        <v/>
      </c>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IF($C725="","",IF($K725="","",IF(COUNTIFS(nrES_PID,$D725,nrES_Code,$F725,nrES_Att,"&gt;"&amp;$K725,nrES_Raw,"&gt;=0")=0,"Yes","No")))</f>
        <v/>
      </c>
      <c r="Q725" s="17">
        <f>IF($C725="","",IF($L725="","",IF(AND($K725=1,ISNUMBER($L725),$L725&lt;$J725,COUNTIFS(nrES_PID,$D725,nrES_Code,$F725,nrES_Att,2,nrES_Raw,"&gt;=0")=0),"Yes","No")))</f>
        <v/>
      </c>
      <c r="R725" s="17">
        <f>IF($C725="","",IF($L725="","",IF(AND($K725=2,ISNUMBER($L725),$L725&lt;$J725),"Yes","No")))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OR($C725="",$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RANGE",IF(COUNTIF(nrES_RecID,$B725)&gt;1,"DUPLICATE RECORD",IF(AND($K725=2,COUNTIFS(nrES_PID,$D725,nrES_Code,$F725,nrES_Att,1)=0),"ATTEMPT 2 WITHOUT ATTEMPT 1",IF(AND($K725=2,$L725=""),"RETEST ROW HAS NO SCORE",IF(AND($H725="Final",$L725&lt;&gt;"",IFERROR(INDEX(nrCKfinalExamElig,MATCH($D725,rngCadetPIDs,0)),"")="No"),"FINAL EXAM AFTER FAILED FINAL PT (500.1.H)","OK")))))))</f>
        <v/>
      </c>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IF($C726="","",IF($K726="","",IF(COUNTIFS(nrES_PID,$D726,nrES_Code,$F726,nrES_Att,"&gt;"&amp;$K726,nrES_Raw,"&gt;=0")=0,"Yes","No")))</f>
        <v/>
      </c>
      <c r="Q726" s="17">
        <f>IF($C726="","",IF($L726="","",IF(AND($K726=1,ISNUMBER($L726),$L726&lt;$J726,COUNTIFS(nrES_PID,$D726,nrES_Code,$F726,nrES_Att,2,nrES_Raw,"&gt;=0")=0),"Yes","No")))</f>
        <v/>
      </c>
      <c r="R726" s="17">
        <f>IF($C726="","",IF($L726="","",IF(AND($K726=2,ISNUMBER($L726),$L726&lt;$J726),"Yes","No")))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OR($C726="",$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RANGE",IF(COUNTIF(nrES_RecID,$B726)&gt;1,"DUPLICATE RECORD",IF(AND($K726=2,COUNTIFS(nrES_PID,$D726,nrES_Code,$F726,nrES_Att,1)=0),"ATTEMPT 2 WITHOUT ATTEMPT 1",IF(AND($K726=2,$L726=""),"RETEST ROW HAS NO SCORE",IF(AND($H726="Final",$L726&lt;&gt;"",IFERROR(INDEX(nrCKfinalExamElig,MATCH($D726,rngCadetPIDs,0)),"")="No"),"FINAL EXAM AFTER FAILED FINAL PT (500.1.H)","OK")))))))</f>
        <v/>
      </c>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IF($C727="","",IF($K727="","",IF(COUNTIFS(nrES_PID,$D727,nrES_Code,$F727,nrES_Att,"&gt;"&amp;$K727,nrES_Raw,"&gt;=0")=0,"Yes","No")))</f>
        <v/>
      </c>
      <c r="Q727" s="17">
        <f>IF($C727="","",IF($L727="","",IF(AND($K727=1,ISNUMBER($L727),$L727&lt;$J727,COUNTIFS(nrES_PID,$D727,nrES_Code,$F727,nrES_Att,2,nrES_Raw,"&gt;=0")=0),"Yes","No")))</f>
        <v/>
      </c>
      <c r="R727" s="17">
        <f>IF($C727="","",IF($L727="","",IF(AND($K727=2,ISNUMBER($L727),$L727&lt;$J727),"Yes","No")))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OR($C727="",$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RANGE",IF(COUNTIF(nrES_RecID,$B727)&gt;1,"DUPLICATE RECORD",IF(AND($K727=2,COUNTIFS(nrES_PID,$D727,nrES_Code,$F727,nrES_Att,1)=0),"ATTEMPT 2 WITHOUT ATTEMPT 1",IF(AND($K727=2,$L727=""),"RETEST ROW HAS NO SCORE",IF(AND($H727="Final",$L727&lt;&gt;"",IFERROR(INDEX(nrCKfinalExamElig,MATCH($D727,rngCadetPIDs,0)),"")="No"),"FINAL EXAM AFTER FAILED FINAL PT (500.1.H)","OK")))))))</f>
        <v/>
      </c>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IF($C728="","",IF($K728="","",IF(COUNTIFS(nrES_PID,$D728,nrES_Code,$F728,nrES_Att,"&gt;"&amp;$K728,nrES_Raw,"&gt;=0")=0,"Yes","No")))</f>
        <v/>
      </c>
      <c r="Q728" s="17">
        <f>IF($C728="","",IF($L728="","",IF(AND($K728=1,ISNUMBER($L728),$L728&lt;$J728,COUNTIFS(nrES_PID,$D728,nrES_Code,$F728,nrES_Att,2,nrES_Raw,"&gt;=0")=0),"Yes","No")))</f>
        <v/>
      </c>
      <c r="R728" s="17">
        <f>IF($C728="","",IF($L728="","",IF(AND($K728=2,ISNUMBER($L728),$L728&lt;$J728),"Yes","No")))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OR($C728="",$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RANGE",IF(COUNTIF(nrES_RecID,$B728)&gt;1,"DUPLICATE RECORD",IF(AND($K728=2,COUNTIFS(nrES_PID,$D728,nrES_Code,$F728,nrES_Att,1)=0),"ATTEMPT 2 WITHOUT ATTEMPT 1",IF(AND($K728=2,$L728=""),"RETEST ROW HAS NO SCORE",IF(AND($H728="Final",$L728&lt;&gt;"",IFERROR(INDEX(nrCKfinalExamElig,MATCH($D728,rngCadetPIDs,0)),"")="No"),"FINAL EXAM AFTER FAILED FINAL PT (500.1.H)","OK")))))))</f>
        <v/>
      </c>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IF($C729="","",IF($K729="","",IF(COUNTIFS(nrES_PID,$D729,nrES_Code,$F729,nrES_Att,"&gt;"&amp;$K729,nrES_Raw,"&gt;=0")=0,"Yes","No")))</f>
        <v/>
      </c>
      <c r="Q729" s="17">
        <f>IF($C729="","",IF($L729="","",IF(AND($K729=1,ISNUMBER($L729),$L729&lt;$J729,COUNTIFS(nrES_PID,$D729,nrES_Code,$F729,nrES_Att,2,nrES_Raw,"&gt;=0")=0),"Yes","No")))</f>
        <v/>
      </c>
      <c r="R729" s="17">
        <f>IF($C729="","",IF($L729="","",IF(AND($K729=2,ISNUMBER($L729),$L729&lt;$J729),"Yes","No")))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OR($C729="",$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RANGE",IF(COUNTIF(nrES_RecID,$B729)&gt;1,"DUPLICATE RECORD",IF(AND($K729=2,COUNTIFS(nrES_PID,$D729,nrES_Code,$F729,nrES_Att,1)=0),"ATTEMPT 2 WITHOUT ATTEMPT 1",IF(AND($K729=2,$L729=""),"RETEST ROW HAS NO SCORE",IF(AND($H729="Final",$L729&lt;&gt;"",IFERROR(INDEX(nrCKfinalExamElig,MATCH($D729,rngCadetPIDs,0)),"")="No"),"FINAL EXAM AFTER FAILED FINAL PT (500.1.H)","OK")))))))</f>
        <v/>
      </c>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IF($C730="","",IF($K730="","",IF(COUNTIFS(nrES_PID,$D730,nrES_Code,$F730,nrES_Att,"&gt;"&amp;$K730,nrES_Raw,"&gt;=0")=0,"Yes","No")))</f>
        <v/>
      </c>
      <c r="Q730" s="17">
        <f>IF($C730="","",IF($L730="","",IF(AND($K730=1,ISNUMBER($L730),$L730&lt;$J730,COUNTIFS(nrES_PID,$D730,nrES_Code,$F730,nrES_Att,2,nrES_Raw,"&gt;=0")=0),"Yes","No")))</f>
        <v/>
      </c>
      <c r="R730" s="17">
        <f>IF($C730="","",IF($L730="","",IF(AND($K730=2,ISNUMBER($L730),$L730&lt;$J730),"Yes","No")))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OR($C730="",$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RANGE",IF(COUNTIF(nrES_RecID,$B730)&gt;1,"DUPLICATE RECORD",IF(AND($K730=2,COUNTIFS(nrES_PID,$D730,nrES_Code,$F730,nrES_Att,1)=0),"ATTEMPT 2 WITHOUT ATTEMPT 1",IF(AND($K730=2,$L730=""),"RETEST ROW HAS NO SCORE",IF(AND($H730="Final",$L730&lt;&gt;"",IFERROR(INDEX(nrCKfinalExamElig,MATCH($D730,rngCadetPIDs,0)),"")="No"),"FINAL EXAM AFTER FAILED FINAL PT (500.1.H)","OK")))))))</f>
        <v/>
      </c>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IF($C731="","",IF($K731="","",IF(COUNTIFS(nrES_PID,$D731,nrES_Code,$F731,nrES_Att,"&gt;"&amp;$K731,nrES_Raw,"&gt;=0")=0,"Yes","No")))</f>
        <v/>
      </c>
      <c r="Q731" s="17">
        <f>IF($C731="","",IF($L731="","",IF(AND($K731=1,ISNUMBER($L731),$L731&lt;$J731,COUNTIFS(nrES_PID,$D731,nrES_Code,$F731,nrES_Att,2,nrES_Raw,"&gt;=0")=0),"Yes","No")))</f>
        <v/>
      </c>
      <c r="R731" s="17">
        <f>IF($C731="","",IF($L731="","",IF(AND($K731=2,ISNUMBER($L731),$L731&lt;$J731),"Yes","No")))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OR($C731="",$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RANGE",IF(COUNTIF(nrES_RecID,$B731)&gt;1,"DUPLICATE RECORD",IF(AND($K731=2,COUNTIFS(nrES_PID,$D731,nrES_Code,$F731,nrES_Att,1)=0),"ATTEMPT 2 WITHOUT ATTEMPT 1",IF(AND($K731=2,$L731=""),"RETEST ROW HAS NO SCORE",IF(AND($H731="Final",$L731&lt;&gt;"",IFERROR(INDEX(nrCKfinalExamElig,MATCH($D731,rngCadetPIDs,0)),"")="No"),"FINAL EXAM AFTER FAILED FINAL PT (500.1.H)","OK")))))))</f>
        <v/>
      </c>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IF($C732="","",IF($K732="","",IF(COUNTIFS(nrES_PID,$D732,nrES_Code,$F732,nrES_Att,"&gt;"&amp;$K732,nrES_Raw,"&gt;=0")=0,"Yes","No")))</f>
        <v/>
      </c>
      <c r="Q732" s="17">
        <f>IF($C732="","",IF($L732="","",IF(AND($K732=1,ISNUMBER($L732),$L732&lt;$J732,COUNTIFS(nrES_PID,$D732,nrES_Code,$F732,nrES_Att,2,nrES_Raw,"&gt;=0")=0),"Yes","No")))</f>
        <v/>
      </c>
      <c r="R732" s="17">
        <f>IF($C732="","",IF($L732="","",IF(AND($K732=2,ISNUMBER($L732),$L732&lt;$J732),"Yes","No")))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OR($C732="",$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RANGE",IF(COUNTIF(nrES_RecID,$B732)&gt;1,"DUPLICATE RECORD",IF(AND($K732=2,COUNTIFS(nrES_PID,$D732,nrES_Code,$F732,nrES_Att,1)=0),"ATTEMPT 2 WITHOUT ATTEMPT 1",IF(AND($K732=2,$L732=""),"RETEST ROW HAS NO SCORE",IF(AND($H732="Final",$L732&lt;&gt;"",IFERROR(INDEX(nrCKfinalExamElig,MATCH($D732,rngCadetPIDs,0)),"")="No"),"FINAL EXAM AFTER FAILED FINAL PT (500.1.H)","OK")))))))</f>
        <v/>
      </c>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IF($C733="","",IF($K733="","",IF(COUNTIFS(nrES_PID,$D733,nrES_Code,$F733,nrES_Att,"&gt;"&amp;$K733,nrES_Raw,"&gt;=0")=0,"Yes","No")))</f>
        <v/>
      </c>
      <c r="Q733" s="17">
        <f>IF($C733="","",IF($L733="","",IF(AND($K733=1,ISNUMBER($L733),$L733&lt;$J733,COUNTIFS(nrES_PID,$D733,nrES_Code,$F733,nrES_Att,2,nrES_Raw,"&gt;=0")=0),"Yes","No")))</f>
        <v/>
      </c>
      <c r="R733" s="17">
        <f>IF($C733="","",IF($L733="","",IF(AND($K733=2,ISNUMBER($L733),$L733&lt;$J733),"Yes","No")))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OR($C733="",$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RANGE",IF(COUNTIF(nrES_RecID,$B733)&gt;1,"DUPLICATE RECORD",IF(AND($K733=2,COUNTIFS(nrES_PID,$D733,nrES_Code,$F733,nrES_Att,1)=0),"ATTEMPT 2 WITHOUT ATTEMPT 1",IF(AND($K733=2,$L733=""),"RETEST ROW HAS NO SCORE",IF(AND($H733="Final",$L733&lt;&gt;"",IFERROR(INDEX(nrCKfinalExamElig,MATCH($D733,rngCadetPIDs,0)),"")="No"),"FINAL EXAM AFTER FAILED FINAL PT (500.1.H)","OK")))))))</f>
        <v/>
      </c>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IF($C734="","",IF($K734="","",IF(COUNTIFS(nrES_PID,$D734,nrES_Code,$F734,nrES_Att,"&gt;"&amp;$K734,nrES_Raw,"&gt;=0")=0,"Yes","No")))</f>
        <v/>
      </c>
      <c r="Q734" s="17">
        <f>IF($C734="","",IF($L734="","",IF(AND($K734=1,ISNUMBER($L734),$L734&lt;$J734,COUNTIFS(nrES_PID,$D734,nrES_Code,$F734,nrES_Att,2,nrES_Raw,"&gt;=0")=0),"Yes","No")))</f>
        <v/>
      </c>
      <c r="R734" s="17">
        <f>IF($C734="","",IF($L734="","",IF(AND($K734=2,ISNUMBER($L734),$L734&lt;$J734),"Yes","No")))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OR($C734="",$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RANGE",IF(COUNTIF(nrES_RecID,$B734)&gt;1,"DUPLICATE RECORD",IF(AND($K734=2,COUNTIFS(nrES_PID,$D734,nrES_Code,$F734,nrES_Att,1)=0),"ATTEMPT 2 WITHOUT ATTEMPT 1",IF(AND($K734=2,$L734=""),"RETEST ROW HAS NO SCORE",IF(AND($H734="Final",$L734&lt;&gt;"",IFERROR(INDEX(nrCKfinalExamElig,MATCH($D734,rngCadetPIDs,0)),"")="No"),"FINAL EXAM AFTER FAILED FINAL PT (500.1.H)","OK")))))))</f>
        <v/>
      </c>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IF($C735="","",IF($K735="","",IF(COUNTIFS(nrES_PID,$D735,nrES_Code,$F735,nrES_Att,"&gt;"&amp;$K735,nrES_Raw,"&gt;=0")=0,"Yes","No")))</f>
        <v/>
      </c>
      <c r="Q735" s="17">
        <f>IF($C735="","",IF($L735="","",IF(AND($K735=1,ISNUMBER($L735),$L735&lt;$J735,COUNTIFS(nrES_PID,$D735,nrES_Code,$F735,nrES_Att,2,nrES_Raw,"&gt;=0")=0),"Yes","No")))</f>
        <v/>
      </c>
      <c r="R735" s="17">
        <f>IF($C735="","",IF($L735="","",IF(AND($K735=2,ISNUMBER($L735),$L735&lt;$J735),"Yes","No")))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OR($C735="",$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RANGE",IF(COUNTIF(nrES_RecID,$B735)&gt;1,"DUPLICATE RECORD",IF(AND($K735=2,COUNTIFS(nrES_PID,$D735,nrES_Code,$F735,nrES_Att,1)=0),"ATTEMPT 2 WITHOUT ATTEMPT 1",IF(AND($K735=2,$L735=""),"RETEST ROW HAS NO SCORE",IF(AND($H735="Final",$L735&lt;&gt;"",IFERROR(INDEX(nrCKfinalExamElig,MATCH($D735,rngCadetPIDs,0)),"")="No"),"FINAL EXAM AFTER FAILED FINAL PT (500.1.H)","OK")))))))</f>
        <v/>
      </c>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IF($C736="","",IF($K736="","",IF(COUNTIFS(nrES_PID,$D736,nrES_Code,$F736,nrES_Att,"&gt;"&amp;$K736,nrES_Raw,"&gt;=0")=0,"Yes","No")))</f>
        <v/>
      </c>
      <c r="Q736" s="17">
        <f>IF($C736="","",IF($L736="","",IF(AND($K736=1,ISNUMBER($L736),$L736&lt;$J736,COUNTIFS(nrES_PID,$D736,nrES_Code,$F736,nrES_Att,2,nrES_Raw,"&gt;=0")=0),"Yes","No")))</f>
        <v/>
      </c>
      <c r="R736" s="17">
        <f>IF($C736="","",IF($L736="","",IF(AND($K736=2,ISNUMBER($L736),$L736&lt;$J736),"Yes","No")))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OR($C736="",$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RANGE",IF(COUNTIF(nrES_RecID,$B736)&gt;1,"DUPLICATE RECORD",IF(AND($K736=2,COUNTIFS(nrES_PID,$D736,nrES_Code,$F736,nrES_Att,1)=0),"ATTEMPT 2 WITHOUT ATTEMPT 1",IF(AND($K736=2,$L736=""),"RETEST ROW HAS NO SCORE",IF(AND($H736="Final",$L736&lt;&gt;"",IFERROR(INDEX(nrCKfinalExamElig,MATCH($D736,rngCadetPIDs,0)),"")="No"),"FINAL EXAM AFTER FAILED FINAL PT (500.1.H)","OK")))))))</f>
        <v/>
      </c>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IF($C737="","",IF($K737="","",IF(COUNTIFS(nrES_PID,$D737,nrES_Code,$F737,nrES_Att,"&gt;"&amp;$K737,nrES_Raw,"&gt;=0")=0,"Yes","No")))</f>
        <v/>
      </c>
      <c r="Q737" s="17">
        <f>IF($C737="","",IF($L737="","",IF(AND($K737=1,ISNUMBER($L737),$L737&lt;$J737,COUNTIFS(nrES_PID,$D737,nrES_Code,$F737,nrES_Att,2,nrES_Raw,"&gt;=0")=0),"Yes","No")))</f>
        <v/>
      </c>
      <c r="R737" s="17">
        <f>IF($C737="","",IF($L737="","",IF(AND($K737=2,ISNUMBER($L737),$L737&lt;$J737),"Yes","No")))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OR($C737="",$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RANGE",IF(COUNTIF(nrES_RecID,$B737)&gt;1,"DUPLICATE RECORD",IF(AND($K737=2,COUNTIFS(nrES_PID,$D737,nrES_Code,$F737,nrES_Att,1)=0),"ATTEMPT 2 WITHOUT ATTEMPT 1",IF(AND($K737=2,$L737=""),"RETEST ROW HAS NO SCORE",IF(AND($H737="Final",$L737&lt;&gt;"",IFERROR(INDEX(nrCKfinalExamElig,MATCH($D737,rngCadetPIDs,0)),"")="No"),"FINAL EXAM AFTER FAILED FINAL PT (500.1.H)","OK")))))))</f>
        <v/>
      </c>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IF($C738="","",IF($K738="","",IF(COUNTIFS(nrES_PID,$D738,nrES_Code,$F738,nrES_Att,"&gt;"&amp;$K738,nrES_Raw,"&gt;=0")=0,"Yes","No")))</f>
        <v/>
      </c>
      <c r="Q738" s="17">
        <f>IF($C738="","",IF($L738="","",IF(AND($K738=1,ISNUMBER($L738),$L738&lt;$J738,COUNTIFS(nrES_PID,$D738,nrES_Code,$F738,nrES_Att,2,nrES_Raw,"&gt;=0")=0),"Yes","No")))</f>
        <v/>
      </c>
      <c r="R738" s="17">
        <f>IF($C738="","",IF($L738="","",IF(AND($K738=2,ISNUMBER($L738),$L738&lt;$J738),"Yes","No")))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OR($C738="",$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RANGE",IF(COUNTIF(nrES_RecID,$B738)&gt;1,"DUPLICATE RECORD",IF(AND($K738=2,COUNTIFS(nrES_PID,$D738,nrES_Code,$F738,nrES_Att,1)=0),"ATTEMPT 2 WITHOUT ATTEMPT 1",IF(AND($K738=2,$L738=""),"RETEST ROW HAS NO SCORE",IF(AND($H738="Final",$L738&lt;&gt;"",IFERROR(INDEX(nrCKfinalExamElig,MATCH($D738,rngCadetPIDs,0)),"")="No"),"FINAL EXAM AFTER FAILED FINAL PT (500.1.H)","OK")))))))</f>
        <v/>
      </c>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IF($C739="","",IF($K739="","",IF(COUNTIFS(nrES_PID,$D739,nrES_Code,$F739,nrES_Att,"&gt;"&amp;$K739,nrES_Raw,"&gt;=0")=0,"Yes","No")))</f>
        <v/>
      </c>
      <c r="Q739" s="17">
        <f>IF($C739="","",IF($L739="","",IF(AND($K739=1,ISNUMBER($L739),$L739&lt;$J739,COUNTIFS(nrES_PID,$D739,nrES_Code,$F739,nrES_Att,2,nrES_Raw,"&gt;=0")=0),"Yes","No")))</f>
        <v/>
      </c>
      <c r="R739" s="17">
        <f>IF($C739="","",IF($L739="","",IF(AND($K739=2,ISNUMBER($L739),$L739&lt;$J739),"Yes","No")))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OR($C739="",$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RANGE",IF(COUNTIF(nrES_RecID,$B739)&gt;1,"DUPLICATE RECORD",IF(AND($K739=2,COUNTIFS(nrES_PID,$D739,nrES_Code,$F739,nrES_Att,1)=0),"ATTEMPT 2 WITHOUT ATTEMPT 1",IF(AND($K739=2,$L739=""),"RETEST ROW HAS NO SCORE",IF(AND($H739="Final",$L739&lt;&gt;"",IFERROR(INDEX(nrCKfinalExamElig,MATCH($D739,rngCadetPIDs,0)),"")="No"),"FINAL EXAM AFTER FAILED FINAL PT (500.1.H)","OK")))))))</f>
        <v/>
      </c>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IF($C740="","",IF($K740="","",IF(COUNTIFS(nrES_PID,$D740,nrES_Code,$F740,nrES_Att,"&gt;"&amp;$K740,nrES_Raw,"&gt;=0")=0,"Yes","No")))</f>
        <v/>
      </c>
      <c r="Q740" s="17">
        <f>IF($C740="","",IF($L740="","",IF(AND($K740=1,ISNUMBER($L740),$L740&lt;$J740,COUNTIFS(nrES_PID,$D740,nrES_Code,$F740,nrES_Att,2,nrES_Raw,"&gt;=0")=0),"Yes","No")))</f>
        <v/>
      </c>
      <c r="R740" s="17">
        <f>IF($C740="","",IF($L740="","",IF(AND($K740=2,ISNUMBER($L740),$L740&lt;$J740),"Yes","No")))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OR($C740="",$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RANGE",IF(COUNTIF(nrES_RecID,$B740)&gt;1,"DUPLICATE RECORD",IF(AND($K740=2,COUNTIFS(nrES_PID,$D740,nrES_Code,$F740,nrES_Att,1)=0),"ATTEMPT 2 WITHOUT ATTEMPT 1",IF(AND($K740=2,$L740=""),"RETEST ROW HAS NO SCORE",IF(AND($H740="Final",$L740&lt;&gt;"",IFERROR(INDEX(nrCKfinalExamElig,MATCH($D740,rngCadetPIDs,0)),"")="No"),"FINAL EXAM AFTER FAILED FINAL PT (500.1.H)","OK")))))))</f>
        <v/>
      </c>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IF($C741="","",IF($K741="","",IF(COUNTIFS(nrES_PID,$D741,nrES_Code,$F741,nrES_Att,"&gt;"&amp;$K741,nrES_Raw,"&gt;=0")=0,"Yes","No")))</f>
        <v/>
      </c>
      <c r="Q741" s="17">
        <f>IF($C741="","",IF($L741="","",IF(AND($K741=1,ISNUMBER($L741),$L741&lt;$J741,COUNTIFS(nrES_PID,$D741,nrES_Code,$F741,nrES_Att,2,nrES_Raw,"&gt;=0")=0),"Yes","No")))</f>
        <v/>
      </c>
      <c r="R741" s="17">
        <f>IF($C741="","",IF($L741="","",IF(AND($K741=2,ISNUMBER($L741),$L741&lt;$J741),"Yes","No")))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OR($C741="",$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RANGE",IF(COUNTIF(nrES_RecID,$B741)&gt;1,"DUPLICATE RECORD",IF(AND($K741=2,COUNTIFS(nrES_PID,$D741,nrES_Code,$F741,nrES_Att,1)=0),"ATTEMPT 2 WITHOUT ATTEMPT 1",IF(AND($K741=2,$L741=""),"RETEST ROW HAS NO SCORE",IF(AND($H741="Final",$L741&lt;&gt;"",IFERROR(INDEX(nrCKfinalExamElig,MATCH($D741,rngCadetPIDs,0)),"")="No"),"FINAL EXAM AFTER FAILED FINAL PT (500.1.H)","OK")))))))</f>
        <v/>
      </c>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IF($C742="","",IF($K742="","",IF(COUNTIFS(nrES_PID,$D742,nrES_Code,$F742,nrES_Att,"&gt;"&amp;$K742,nrES_Raw,"&gt;=0")=0,"Yes","No")))</f>
        <v/>
      </c>
      <c r="Q742" s="17">
        <f>IF($C742="","",IF($L742="","",IF(AND($K742=1,ISNUMBER($L742),$L742&lt;$J742,COUNTIFS(nrES_PID,$D742,nrES_Code,$F742,nrES_Att,2,nrES_Raw,"&gt;=0")=0),"Yes","No")))</f>
        <v/>
      </c>
      <c r="R742" s="17">
        <f>IF($C742="","",IF($L742="","",IF(AND($K742=2,ISNUMBER($L742),$L742&lt;$J742),"Yes","No")))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OR($C742="",$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RANGE",IF(COUNTIF(nrES_RecID,$B742)&gt;1,"DUPLICATE RECORD",IF(AND($K742=2,COUNTIFS(nrES_PID,$D742,nrES_Code,$F742,nrES_Att,1)=0),"ATTEMPT 2 WITHOUT ATTEMPT 1",IF(AND($K742=2,$L742=""),"RETEST ROW HAS NO SCORE",IF(AND($H742="Final",$L742&lt;&gt;"",IFERROR(INDEX(nrCKfinalExamElig,MATCH($D742,rngCadetPIDs,0)),"")="No"),"FINAL EXAM AFTER FAILED FINAL PT (500.1.H)","OK")))))))</f>
        <v/>
      </c>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IF($C743="","",IF($K743="","",IF(COUNTIFS(nrES_PID,$D743,nrES_Code,$F743,nrES_Att,"&gt;"&amp;$K743,nrES_Raw,"&gt;=0")=0,"Yes","No")))</f>
        <v/>
      </c>
      <c r="Q743" s="17">
        <f>IF($C743="","",IF($L743="","",IF(AND($K743=1,ISNUMBER($L743),$L743&lt;$J743,COUNTIFS(nrES_PID,$D743,nrES_Code,$F743,nrES_Att,2,nrES_Raw,"&gt;=0")=0),"Yes","No")))</f>
        <v/>
      </c>
      <c r="R743" s="17">
        <f>IF($C743="","",IF($L743="","",IF(AND($K743=2,ISNUMBER($L743),$L743&lt;$J743),"Yes","No")))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OR($C743="",$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RANGE",IF(COUNTIF(nrES_RecID,$B743)&gt;1,"DUPLICATE RECORD",IF(AND($K743=2,COUNTIFS(nrES_PID,$D743,nrES_Code,$F743,nrES_Att,1)=0),"ATTEMPT 2 WITHOUT ATTEMPT 1",IF(AND($K743=2,$L743=""),"RETEST ROW HAS NO SCORE",IF(AND($H743="Final",$L743&lt;&gt;"",IFERROR(INDEX(nrCKfinalExamElig,MATCH($D743,rngCadetPIDs,0)),"")="No"),"FINAL EXAM AFTER FAILED FINAL PT (500.1.H)","OK")))))))</f>
        <v/>
      </c>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IF($C744="","",IF($K744="","",IF(COUNTIFS(nrES_PID,$D744,nrES_Code,$F744,nrES_Att,"&gt;"&amp;$K744,nrES_Raw,"&gt;=0")=0,"Yes","No")))</f>
        <v/>
      </c>
      <c r="Q744" s="17">
        <f>IF($C744="","",IF($L744="","",IF(AND($K744=1,ISNUMBER($L744),$L744&lt;$J744,COUNTIFS(nrES_PID,$D744,nrES_Code,$F744,nrES_Att,2,nrES_Raw,"&gt;=0")=0),"Yes","No")))</f>
        <v/>
      </c>
      <c r="R744" s="17">
        <f>IF($C744="","",IF($L744="","",IF(AND($K744=2,ISNUMBER($L744),$L744&lt;$J744),"Yes","No")))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OR($C744="",$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RANGE",IF(COUNTIF(nrES_RecID,$B744)&gt;1,"DUPLICATE RECORD",IF(AND($K744=2,COUNTIFS(nrES_PID,$D744,nrES_Code,$F744,nrES_Att,1)=0),"ATTEMPT 2 WITHOUT ATTEMPT 1",IF(AND($K744=2,$L744=""),"RETEST ROW HAS NO SCORE",IF(AND($H744="Final",$L744&lt;&gt;"",IFERROR(INDEX(nrCKfinalExamElig,MATCH($D744,rngCadetPIDs,0)),"")="No"),"FINAL EXAM AFTER FAILED FINAL PT (500.1.H)","OK")))))))</f>
        <v/>
      </c>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IF($C745="","",IF($K745="","",IF(COUNTIFS(nrES_PID,$D745,nrES_Code,$F745,nrES_Att,"&gt;"&amp;$K745,nrES_Raw,"&gt;=0")=0,"Yes","No")))</f>
        <v/>
      </c>
      <c r="Q745" s="17">
        <f>IF($C745="","",IF($L745="","",IF(AND($K745=1,ISNUMBER($L745),$L745&lt;$J745,COUNTIFS(nrES_PID,$D745,nrES_Code,$F745,nrES_Att,2,nrES_Raw,"&gt;=0")=0),"Yes","No")))</f>
        <v/>
      </c>
      <c r="R745" s="17">
        <f>IF($C745="","",IF($L745="","",IF(AND($K745=2,ISNUMBER($L745),$L745&lt;$J745),"Yes","No")))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OR($C745="",$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RANGE",IF(COUNTIF(nrES_RecID,$B745)&gt;1,"DUPLICATE RECORD",IF(AND($K745=2,COUNTIFS(nrES_PID,$D745,nrES_Code,$F745,nrES_Att,1)=0),"ATTEMPT 2 WITHOUT ATTEMPT 1",IF(AND($K745=2,$L745=""),"RETEST ROW HAS NO SCORE",IF(AND($H745="Final",$L745&lt;&gt;"",IFERROR(INDEX(nrCKfinalExamElig,MATCH($D745,rngCadetPIDs,0)),"")="No"),"FINAL EXAM AFTER FAILED FINAL PT (500.1.H)","OK")))))))</f>
        <v/>
      </c>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IF($C746="","",IF($K746="","",IF(COUNTIFS(nrES_PID,$D746,nrES_Code,$F746,nrES_Att,"&gt;"&amp;$K746,nrES_Raw,"&gt;=0")=0,"Yes","No")))</f>
        <v/>
      </c>
      <c r="Q746" s="17">
        <f>IF($C746="","",IF($L746="","",IF(AND($K746=1,ISNUMBER($L746),$L746&lt;$J746,COUNTIFS(nrES_PID,$D746,nrES_Code,$F746,nrES_Att,2,nrES_Raw,"&gt;=0")=0),"Yes","No")))</f>
        <v/>
      </c>
      <c r="R746" s="17">
        <f>IF($C746="","",IF($L746="","",IF(AND($K746=2,ISNUMBER($L746),$L746&lt;$J746),"Yes","No")))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OR($C746="",$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RANGE",IF(COUNTIF(nrES_RecID,$B746)&gt;1,"DUPLICATE RECORD",IF(AND($K746=2,COUNTIFS(nrES_PID,$D746,nrES_Code,$F746,nrES_Att,1)=0),"ATTEMPT 2 WITHOUT ATTEMPT 1",IF(AND($K746=2,$L746=""),"RETEST ROW HAS NO SCORE",IF(AND($H746="Final",$L746&lt;&gt;"",IFERROR(INDEX(nrCKfinalExamElig,MATCH($D746,rngCadetPIDs,0)),"")="No"),"FINAL EXAM AFTER FAILED FINAL PT (500.1.H)","OK")))))))</f>
        <v/>
      </c>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IF($C747="","",IF($K747="","",IF(COUNTIFS(nrES_PID,$D747,nrES_Code,$F747,nrES_Att,"&gt;"&amp;$K747,nrES_Raw,"&gt;=0")=0,"Yes","No")))</f>
        <v/>
      </c>
      <c r="Q747" s="17">
        <f>IF($C747="","",IF($L747="","",IF(AND($K747=1,ISNUMBER($L747),$L747&lt;$J747,COUNTIFS(nrES_PID,$D747,nrES_Code,$F747,nrES_Att,2,nrES_Raw,"&gt;=0")=0),"Yes","No")))</f>
        <v/>
      </c>
      <c r="R747" s="17">
        <f>IF($C747="","",IF($L747="","",IF(AND($K747=2,ISNUMBER($L747),$L747&lt;$J747),"Yes","No")))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OR($C747="",$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RANGE",IF(COUNTIF(nrES_RecID,$B747)&gt;1,"DUPLICATE RECORD",IF(AND($K747=2,COUNTIFS(nrES_PID,$D747,nrES_Code,$F747,nrES_Att,1)=0),"ATTEMPT 2 WITHOUT ATTEMPT 1",IF(AND($K747=2,$L747=""),"RETEST ROW HAS NO SCORE",IF(AND($H747="Final",$L747&lt;&gt;"",IFERROR(INDEX(nrCKfinalExamElig,MATCH($D747,rngCadetPIDs,0)),"")="No"),"FINAL EXAM AFTER FAILED FINAL PT (500.1.H)","OK")))))))</f>
        <v/>
      </c>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IF($C748="","",IF($K748="","",IF(COUNTIFS(nrES_PID,$D748,nrES_Code,$F748,nrES_Att,"&gt;"&amp;$K748,nrES_Raw,"&gt;=0")=0,"Yes","No")))</f>
        <v/>
      </c>
      <c r="Q748" s="17">
        <f>IF($C748="","",IF($L748="","",IF(AND($K748=1,ISNUMBER($L748),$L748&lt;$J748,COUNTIFS(nrES_PID,$D748,nrES_Code,$F748,nrES_Att,2,nrES_Raw,"&gt;=0")=0),"Yes","No")))</f>
        <v/>
      </c>
      <c r="R748" s="17">
        <f>IF($C748="","",IF($L748="","",IF(AND($K748=2,ISNUMBER($L748),$L748&lt;$J748),"Yes","No")))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OR($C748="",$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RANGE",IF(COUNTIF(nrES_RecID,$B748)&gt;1,"DUPLICATE RECORD",IF(AND($K748=2,COUNTIFS(nrES_PID,$D748,nrES_Code,$F748,nrES_Att,1)=0),"ATTEMPT 2 WITHOUT ATTEMPT 1",IF(AND($K748=2,$L748=""),"RETEST ROW HAS NO SCORE",IF(AND($H748="Final",$L748&lt;&gt;"",IFERROR(INDEX(nrCKfinalExamElig,MATCH($D748,rngCadetPIDs,0)),"")="No"),"FINAL EXAM AFTER FAILED FINAL PT (500.1.H)","OK")))))))</f>
        <v/>
      </c>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IF($C749="","",IF($K749="","",IF(COUNTIFS(nrES_PID,$D749,nrES_Code,$F749,nrES_Att,"&gt;"&amp;$K749,nrES_Raw,"&gt;=0")=0,"Yes","No")))</f>
        <v/>
      </c>
      <c r="Q749" s="17">
        <f>IF($C749="","",IF($L749="","",IF(AND($K749=1,ISNUMBER($L749),$L749&lt;$J749,COUNTIFS(nrES_PID,$D749,nrES_Code,$F749,nrES_Att,2,nrES_Raw,"&gt;=0")=0),"Yes","No")))</f>
        <v/>
      </c>
      <c r="R749" s="17">
        <f>IF($C749="","",IF($L749="","",IF(AND($K749=2,ISNUMBER($L749),$L749&lt;$J749),"Yes","No")))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OR($C749="",$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RANGE",IF(COUNTIF(nrES_RecID,$B749)&gt;1,"DUPLICATE RECORD",IF(AND($K749=2,COUNTIFS(nrES_PID,$D749,nrES_Code,$F749,nrES_Att,1)=0),"ATTEMPT 2 WITHOUT ATTEMPT 1",IF(AND($K749=2,$L749=""),"RETEST ROW HAS NO SCORE",IF(AND($H749="Final",$L749&lt;&gt;"",IFERROR(INDEX(nrCKfinalExamElig,MATCH($D749,rngCadetPIDs,0)),"")="No"),"FINAL EXAM AFTER FAILED FINAL PT (500.1.H)","OK")))))))</f>
        <v/>
      </c>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IF($C750="","",IF($K750="","",IF(COUNTIFS(nrES_PID,$D750,nrES_Code,$F750,nrES_Att,"&gt;"&amp;$K750,nrES_Raw,"&gt;=0")=0,"Yes","No")))</f>
        <v/>
      </c>
      <c r="Q750" s="17">
        <f>IF($C750="","",IF($L750="","",IF(AND($K750=1,ISNUMBER($L750),$L750&lt;$J750,COUNTIFS(nrES_PID,$D750,nrES_Code,$F750,nrES_Att,2,nrES_Raw,"&gt;=0")=0),"Yes","No")))</f>
        <v/>
      </c>
      <c r="R750" s="17">
        <f>IF($C750="","",IF($L750="","",IF(AND($K750=2,ISNUMBER($L750),$L750&lt;$J750),"Yes","No")))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OR($C750="",$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RANGE",IF(COUNTIF(nrES_RecID,$B750)&gt;1,"DUPLICATE RECORD",IF(AND($K750=2,COUNTIFS(nrES_PID,$D750,nrES_Code,$F750,nrES_Att,1)=0),"ATTEMPT 2 WITHOUT ATTEMPT 1",IF(AND($K750=2,$L750=""),"RETEST ROW HAS NO SCORE",IF(AND($H750="Final",$L750&lt;&gt;"",IFERROR(INDEX(nrCKfinalExamElig,MATCH($D750,rngCadetPIDs,0)),"")="No"),"FINAL EXAM AFTER FAILED FINAL PT (500.1.H)","OK")))))))</f>
        <v/>
      </c>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IF($C751="","",IF($K751="","",IF(COUNTIFS(nrES_PID,$D751,nrES_Code,$F751,nrES_Att,"&gt;"&amp;$K751,nrES_Raw,"&gt;=0")=0,"Yes","No")))</f>
        <v/>
      </c>
      <c r="Q751" s="17">
        <f>IF($C751="","",IF($L751="","",IF(AND($K751=1,ISNUMBER($L751),$L751&lt;$J751,COUNTIFS(nrES_PID,$D751,nrES_Code,$F751,nrES_Att,2,nrES_Raw,"&gt;=0")=0),"Yes","No")))</f>
        <v/>
      </c>
      <c r="R751" s="17">
        <f>IF($C751="","",IF($L751="","",IF(AND($K751=2,ISNUMBER($L751),$L751&lt;$J751),"Yes","No")))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OR($C751="",$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RANGE",IF(COUNTIF(nrES_RecID,$B751)&gt;1,"DUPLICATE RECORD",IF(AND($K751=2,COUNTIFS(nrES_PID,$D751,nrES_Code,$F751,nrES_Att,1)=0),"ATTEMPT 2 WITHOUT ATTEMPT 1",IF(AND($K751=2,$L751=""),"RETEST ROW HAS NO SCORE",IF(AND($H751="Final",$L751&lt;&gt;"",IFERROR(INDEX(nrCKfinalExamElig,MATCH($D751,rngCadetPIDs,0)),"")="No"),"FINAL EXAM AFTER FAILED FINAL PT (500.1.H)","OK")))))))</f>
        <v/>
      </c>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IF($C752="","",IF($K752="","",IF(COUNTIFS(nrES_PID,$D752,nrES_Code,$F752,nrES_Att,"&gt;"&amp;$K752,nrES_Raw,"&gt;=0")=0,"Yes","No")))</f>
        <v/>
      </c>
      <c r="Q752" s="17">
        <f>IF($C752="","",IF($L752="","",IF(AND($K752=1,ISNUMBER($L752),$L752&lt;$J752,COUNTIFS(nrES_PID,$D752,nrES_Code,$F752,nrES_Att,2,nrES_Raw,"&gt;=0")=0),"Yes","No")))</f>
        <v/>
      </c>
      <c r="R752" s="17">
        <f>IF($C752="","",IF($L752="","",IF(AND($K752=2,ISNUMBER($L752),$L752&lt;$J752),"Yes","No")))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OR($C752="",$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RANGE",IF(COUNTIF(nrES_RecID,$B752)&gt;1,"DUPLICATE RECORD",IF(AND($K752=2,COUNTIFS(nrES_PID,$D752,nrES_Code,$F752,nrES_Att,1)=0),"ATTEMPT 2 WITHOUT ATTEMPT 1",IF(AND($K752=2,$L752=""),"RETEST ROW HAS NO SCORE",IF(AND($H752="Final",$L752&lt;&gt;"",IFERROR(INDEX(nrCKfinalExamElig,MATCH($D752,rngCadetPIDs,0)),"")="No"),"FINAL EXAM AFTER FAILED FINAL PT (500.1.H)","OK")))))))</f>
        <v/>
      </c>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IF($C753="","",IF($K753="","",IF(COUNTIFS(nrES_PID,$D753,nrES_Code,$F753,nrES_Att,"&gt;"&amp;$K753,nrES_Raw,"&gt;=0")=0,"Yes","No")))</f>
        <v/>
      </c>
      <c r="Q753" s="17">
        <f>IF($C753="","",IF($L753="","",IF(AND($K753=1,ISNUMBER($L753),$L753&lt;$J753,COUNTIFS(nrES_PID,$D753,nrES_Code,$F753,nrES_Att,2,nrES_Raw,"&gt;=0")=0),"Yes","No")))</f>
        <v/>
      </c>
      <c r="R753" s="17">
        <f>IF($C753="","",IF($L753="","",IF(AND($K753=2,ISNUMBER($L753),$L753&lt;$J753),"Yes","No")))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OR($C753="",$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RANGE",IF(COUNTIF(nrES_RecID,$B753)&gt;1,"DUPLICATE RECORD",IF(AND($K753=2,COUNTIFS(nrES_PID,$D753,nrES_Code,$F753,nrES_Att,1)=0),"ATTEMPT 2 WITHOUT ATTEMPT 1",IF(AND($K753=2,$L753=""),"RETEST ROW HAS NO SCORE",IF(AND($H753="Final",$L753&lt;&gt;"",IFERROR(INDEX(nrCKfinalExamElig,MATCH($D753,rngCadetPIDs,0)),"")="No"),"FINAL EXAM AFTER FAILED FINAL PT (500.1.H)","OK")))))))</f>
        <v/>
      </c>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IF($C754="","",IF($K754="","",IF(COUNTIFS(nrES_PID,$D754,nrES_Code,$F754,nrES_Att,"&gt;"&amp;$K754,nrES_Raw,"&gt;=0")=0,"Yes","No")))</f>
        <v/>
      </c>
      <c r="Q754" s="17">
        <f>IF($C754="","",IF($L754="","",IF(AND($K754=1,ISNUMBER($L754),$L754&lt;$J754,COUNTIFS(nrES_PID,$D754,nrES_Code,$F754,nrES_Att,2,nrES_Raw,"&gt;=0")=0),"Yes","No")))</f>
        <v/>
      </c>
      <c r="R754" s="17">
        <f>IF($C754="","",IF($L754="","",IF(AND($K754=2,ISNUMBER($L754),$L754&lt;$J754),"Yes","No")))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OR($C754="",$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RANGE",IF(COUNTIF(nrES_RecID,$B754)&gt;1,"DUPLICATE RECORD",IF(AND($K754=2,COUNTIFS(nrES_PID,$D754,nrES_Code,$F754,nrES_Att,1)=0),"ATTEMPT 2 WITHOUT ATTEMPT 1",IF(AND($K754=2,$L754=""),"RETEST ROW HAS NO SCORE",IF(AND($H754="Final",$L754&lt;&gt;"",IFERROR(INDEX(nrCKfinalExamElig,MATCH($D754,rngCadetPIDs,0)),"")="No"),"FINAL EXAM AFTER FAILED FINAL PT (500.1.H)","OK")))))))</f>
        <v/>
      </c>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IF($C755="","",IF($K755="","",IF(COUNTIFS(nrES_PID,$D755,nrES_Code,$F755,nrES_Att,"&gt;"&amp;$K755,nrES_Raw,"&gt;=0")=0,"Yes","No")))</f>
        <v/>
      </c>
      <c r="Q755" s="17">
        <f>IF($C755="","",IF($L755="","",IF(AND($K755=1,ISNUMBER($L755),$L755&lt;$J755,COUNTIFS(nrES_PID,$D755,nrES_Code,$F755,nrES_Att,2,nrES_Raw,"&gt;=0")=0),"Yes","No")))</f>
        <v/>
      </c>
      <c r="R755" s="17">
        <f>IF($C755="","",IF($L755="","",IF(AND($K755=2,ISNUMBER($L755),$L755&lt;$J755),"Yes","No")))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OR($C755="",$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RANGE",IF(COUNTIF(nrES_RecID,$B755)&gt;1,"DUPLICATE RECORD",IF(AND($K755=2,COUNTIFS(nrES_PID,$D755,nrES_Code,$F755,nrES_Att,1)=0),"ATTEMPT 2 WITHOUT ATTEMPT 1",IF(AND($K755=2,$L755=""),"RETEST ROW HAS NO SCORE",IF(AND($H755="Final",$L755&lt;&gt;"",IFERROR(INDEX(nrCKfinalExamElig,MATCH($D755,rngCadetPIDs,0)),"")="No"),"FINAL EXAM AFTER FAILED FINAL PT (500.1.H)","OK")))))))</f>
        <v/>
      </c>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IF($C756="","",IF($K756="","",IF(COUNTIFS(nrES_PID,$D756,nrES_Code,$F756,nrES_Att,"&gt;"&amp;$K756,nrES_Raw,"&gt;=0")=0,"Yes","No")))</f>
        <v/>
      </c>
      <c r="Q756" s="17">
        <f>IF($C756="","",IF($L756="","",IF(AND($K756=1,ISNUMBER($L756),$L756&lt;$J756,COUNTIFS(nrES_PID,$D756,nrES_Code,$F756,nrES_Att,2,nrES_Raw,"&gt;=0")=0),"Yes","No")))</f>
        <v/>
      </c>
      <c r="R756" s="17">
        <f>IF($C756="","",IF($L756="","",IF(AND($K756=2,ISNUMBER($L756),$L756&lt;$J756),"Yes","No")))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OR($C756="",$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RANGE",IF(COUNTIF(nrES_RecID,$B756)&gt;1,"DUPLICATE RECORD",IF(AND($K756=2,COUNTIFS(nrES_PID,$D756,nrES_Code,$F756,nrES_Att,1)=0),"ATTEMPT 2 WITHOUT ATTEMPT 1",IF(AND($K756=2,$L756=""),"RETEST ROW HAS NO SCORE",IF(AND($H756="Final",$L756&lt;&gt;"",IFERROR(INDEX(nrCKfinalExamElig,MATCH($D756,rngCadetPIDs,0)),"")="No"),"FINAL EXAM AFTER FAILED FINAL PT (500.1.H)","OK")))))))</f>
        <v/>
      </c>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IF($C757="","",IF($K757="","",IF(COUNTIFS(nrES_PID,$D757,nrES_Code,$F757,nrES_Att,"&gt;"&amp;$K757,nrES_Raw,"&gt;=0")=0,"Yes","No")))</f>
        <v/>
      </c>
      <c r="Q757" s="17">
        <f>IF($C757="","",IF($L757="","",IF(AND($K757=1,ISNUMBER($L757),$L757&lt;$J757,COUNTIFS(nrES_PID,$D757,nrES_Code,$F757,nrES_Att,2,nrES_Raw,"&gt;=0")=0),"Yes","No")))</f>
        <v/>
      </c>
      <c r="R757" s="17">
        <f>IF($C757="","",IF($L757="","",IF(AND($K757=2,ISNUMBER($L757),$L757&lt;$J757),"Yes","No")))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OR($C757="",$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RANGE",IF(COUNTIF(nrES_RecID,$B757)&gt;1,"DUPLICATE RECORD",IF(AND($K757=2,COUNTIFS(nrES_PID,$D757,nrES_Code,$F757,nrES_Att,1)=0),"ATTEMPT 2 WITHOUT ATTEMPT 1",IF(AND($K757=2,$L757=""),"RETEST ROW HAS NO SCORE",IF(AND($H757="Final",$L757&lt;&gt;"",IFERROR(INDEX(nrCKfinalExamElig,MATCH($D757,rngCadetPIDs,0)),"")="No"),"FINAL EXAM AFTER FAILED FINAL PT (500.1.H)","OK")))))))</f>
        <v/>
      </c>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IF($C758="","",IF($K758="","",IF(COUNTIFS(nrES_PID,$D758,nrES_Code,$F758,nrES_Att,"&gt;"&amp;$K758,nrES_Raw,"&gt;=0")=0,"Yes","No")))</f>
        <v/>
      </c>
      <c r="Q758" s="17">
        <f>IF($C758="","",IF($L758="","",IF(AND($K758=1,ISNUMBER($L758),$L758&lt;$J758,COUNTIFS(nrES_PID,$D758,nrES_Code,$F758,nrES_Att,2,nrES_Raw,"&gt;=0")=0),"Yes","No")))</f>
        <v/>
      </c>
      <c r="R758" s="17">
        <f>IF($C758="","",IF($L758="","",IF(AND($K758=2,ISNUMBER($L758),$L758&lt;$J758),"Yes","No")))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OR($C758="",$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RANGE",IF(COUNTIF(nrES_RecID,$B758)&gt;1,"DUPLICATE RECORD",IF(AND($K758=2,COUNTIFS(nrES_PID,$D758,nrES_Code,$F758,nrES_Att,1)=0),"ATTEMPT 2 WITHOUT ATTEMPT 1",IF(AND($K758=2,$L758=""),"RETEST ROW HAS NO SCORE",IF(AND($H758="Final",$L758&lt;&gt;"",IFERROR(INDEX(nrCKfinalExamElig,MATCH($D758,rngCadetPIDs,0)),"")="No"),"FINAL EXAM AFTER FAILED FINAL PT (500.1.H)","OK")))))))</f>
        <v/>
      </c>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IF($C759="","",IF($K759="","",IF(COUNTIFS(nrES_PID,$D759,nrES_Code,$F759,nrES_Att,"&gt;"&amp;$K759,nrES_Raw,"&gt;=0")=0,"Yes","No")))</f>
        <v/>
      </c>
      <c r="Q759" s="17">
        <f>IF($C759="","",IF($L759="","",IF(AND($K759=1,ISNUMBER($L759),$L759&lt;$J759,COUNTIFS(nrES_PID,$D759,nrES_Code,$F759,nrES_Att,2,nrES_Raw,"&gt;=0")=0),"Yes","No")))</f>
        <v/>
      </c>
      <c r="R759" s="17">
        <f>IF($C759="","",IF($L759="","",IF(AND($K759=2,ISNUMBER($L759),$L759&lt;$J759),"Yes","No")))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OR($C759="",$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RANGE",IF(COUNTIF(nrES_RecID,$B759)&gt;1,"DUPLICATE RECORD",IF(AND($K759=2,COUNTIFS(nrES_PID,$D759,nrES_Code,$F759,nrES_Att,1)=0),"ATTEMPT 2 WITHOUT ATTEMPT 1",IF(AND($K759=2,$L759=""),"RETEST ROW HAS NO SCORE",IF(AND($H759="Final",$L759&lt;&gt;"",IFERROR(INDEX(nrCKfinalExamElig,MATCH($D759,rngCadetPIDs,0)),"")="No"),"FINAL EXAM AFTER FAILED FINAL PT (500.1.H)","OK")))))))</f>
        <v/>
      </c>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IF($C760="","",IF($K760="","",IF(COUNTIFS(nrES_PID,$D760,nrES_Code,$F760,nrES_Att,"&gt;"&amp;$K760,nrES_Raw,"&gt;=0")=0,"Yes","No")))</f>
        <v/>
      </c>
      <c r="Q760" s="17">
        <f>IF($C760="","",IF($L760="","",IF(AND($K760=1,ISNUMBER($L760),$L760&lt;$J760,COUNTIFS(nrES_PID,$D760,nrES_Code,$F760,nrES_Att,2,nrES_Raw,"&gt;=0")=0),"Yes","No")))</f>
        <v/>
      </c>
      <c r="R760" s="17">
        <f>IF($C760="","",IF($L760="","",IF(AND($K760=2,ISNUMBER($L760),$L760&lt;$J760),"Yes","No")))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OR($C760="",$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RANGE",IF(COUNTIF(nrES_RecID,$B760)&gt;1,"DUPLICATE RECORD",IF(AND($K760=2,COUNTIFS(nrES_PID,$D760,nrES_Code,$F760,nrES_Att,1)=0),"ATTEMPT 2 WITHOUT ATTEMPT 1",IF(AND($K760=2,$L760=""),"RETEST ROW HAS NO SCORE",IF(AND($H760="Final",$L760&lt;&gt;"",IFERROR(INDEX(nrCKfinalExamElig,MATCH($D760,rngCadetPIDs,0)),"")="No"),"FINAL EXAM AFTER FAILED FINAL PT (500.1.H)","OK")))))))</f>
        <v/>
      </c>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IF($C761="","",IF($K761="","",IF(COUNTIFS(nrES_PID,$D761,nrES_Code,$F761,nrES_Att,"&gt;"&amp;$K761,nrES_Raw,"&gt;=0")=0,"Yes","No")))</f>
        <v/>
      </c>
      <c r="Q761" s="17">
        <f>IF($C761="","",IF($L761="","",IF(AND($K761=1,ISNUMBER($L761),$L761&lt;$J761,COUNTIFS(nrES_PID,$D761,nrES_Code,$F761,nrES_Att,2,nrES_Raw,"&gt;=0")=0),"Yes","No")))</f>
        <v/>
      </c>
      <c r="R761" s="17">
        <f>IF($C761="","",IF($L761="","",IF(AND($K761=2,ISNUMBER($L761),$L761&lt;$J761),"Yes","No")))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OR($C761="",$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RANGE",IF(COUNTIF(nrES_RecID,$B761)&gt;1,"DUPLICATE RECORD",IF(AND($K761=2,COUNTIFS(nrES_PID,$D761,nrES_Code,$F761,nrES_Att,1)=0),"ATTEMPT 2 WITHOUT ATTEMPT 1",IF(AND($K761=2,$L761=""),"RETEST ROW HAS NO SCORE",IF(AND($H761="Final",$L761&lt;&gt;"",IFERROR(INDEX(nrCKfinalExamElig,MATCH($D761,rngCadetPIDs,0)),"")="No"),"FINAL EXAM AFTER FAILED FINAL PT (500.1.H)","OK")))))))</f>
        <v/>
      </c>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IF($C762="","",IF($K762="","",IF(COUNTIFS(nrES_PID,$D762,nrES_Code,$F762,nrES_Att,"&gt;"&amp;$K762,nrES_Raw,"&gt;=0")=0,"Yes","No")))</f>
        <v/>
      </c>
      <c r="Q762" s="17">
        <f>IF($C762="","",IF($L762="","",IF(AND($K762=1,ISNUMBER($L762),$L762&lt;$J762,COUNTIFS(nrES_PID,$D762,nrES_Code,$F762,nrES_Att,2,nrES_Raw,"&gt;=0")=0),"Yes","No")))</f>
        <v/>
      </c>
      <c r="R762" s="17">
        <f>IF($C762="","",IF($L762="","",IF(AND($K762=2,ISNUMBER($L762),$L762&lt;$J762),"Yes","No")))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OR($C762="",$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RANGE",IF(COUNTIF(nrES_RecID,$B762)&gt;1,"DUPLICATE RECORD",IF(AND($K762=2,COUNTIFS(nrES_PID,$D762,nrES_Code,$F762,nrES_Att,1)=0),"ATTEMPT 2 WITHOUT ATTEMPT 1",IF(AND($K762=2,$L762=""),"RETEST ROW HAS NO SCORE",IF(AND($H762="Final",$L762&lt;&gt;"",IFERROR(INDEX(nrCKfinalExamElig,MATCH($D762,rngCadetPIDs,0)),"")="No"),"FINAL EXAM AFTER FAILED FINAL PT (500.1.H)","OK")))))))</f>
        <v/>
      </c>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IF($C763="","",IF($K763="","",IF(COUNTIFS(nrES_PID,$D763,nrES_Code,$F763,nrES_Att,"&gt;"&amp;$K763,nrES_Raw,"&gt;=0")=0,"Yes","No")))</f>
        <v/>
      </c>
      <c r="Q763" s="17">
        <f>IF($C763="","",IF($L763="","",IF(AND($K763=1,ISNUMBER($L763),$L763&lt;$J763,COUNTIFS(nrES_PID,$D763,nrES_Code,$F763,nrES_Att,2,nrES_Raw,"&gt;=0")=0),"Yes","No")))</f>
        <v/>
      </c>
      <c r="R763" s="17">
        <f>IF($C763="","",IF($L763="","",IF(AND($K763=2,ISNUMBER($L763),$L763&lt;$J763),"Yes","No")))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OR($C763="",$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RANGE",IF(COUNTIF(nrES_RecID,$B763)&gt;1,"DUPLICATE RECORD",IF(AND($K763=2,COUNTIFS(nrES_PID,$D763,nrES_Code,$F763,nrES_Att,1)=0),"ATTEMPT 2 WITHOUT ATTEMPT 1",IF(AND($K763=2,$L763=""),"RETEST ROW HAS NO SCORE",IF(AND($H763="Final",$L763&lt;&gt;"",IFERROR(INDEX(nrCKfinalExamElig,MATCH($D763,rngCadetPIDs,0)),"")="No"),"FINAL EXAM AFTER FAILED FINAL PT (500.1.H)","OK")))))))</f>
        <v/>
      </c>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IF($C764="","",IF($K764="","",IF(COUNTIFS(nrES_PID,$D764,nrES_Code,$F764,nrES_Att,"&gt;"&amp;$K764,nrES_Raw,"&gt;=0")=0,"Yes","No")))</f>
        <v/>
      </c>
      <c r="Q764" s="17">
        <f>IF($C764="","",IF($L764="","",IF(AND($K764=1,ISNUMBER($L764),$L764&lt;$J764,COUNTIFS(nrES_PID,$D764,nrES_Code,$F764,nrES_Att,2,nrES_Raw,"&gt;=0")=0),"Yes","No")))</f>
        <v/>
      </c>
      <c r="R764" s="17">
        <f>IF($C764="","",IF($L764="","",IF(AND($K764=2,ISNUMBER($L764),$L764&lt;$J764),"Yes","No")))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OR($C764="",$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RANGE",IF(COUNTIF(nrES_RecID,$B764)&gt;1,"DUPLICATE RECORD",IF(AND($K764=2,COUNTIFS(nrES_PID,$D764,nrES_Code,$F764,nrES_Att,1)=0),"ATTEMPT 2 WITHOUT ATTEMPT 1",IF(AND($K764=2,$L764=""),"RETEST ROW HAS NO SCORE",IF(AND($H764="Final",$L764&lt;&gt;"",IFERROR(INDEX(nrCKfinalExamElig,MATCH($D764,rngCadetPIDs,0)),"")="No"),"FINAL EXAM AFTER FAILED FINAL PT (500.1.H)","OK")))))))</f>
        <v/>
      </c>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IF($C765="","",IF($K765="","",IF(COUNTIFS(nrES_PID,$D765,nrES_Code,$F765,nrES_Att,"&gt;"&amp;$K765,nrES_Raw,"&gt;=0")=0,"Yes","No")))</f>
        <v/>
      </c>
      <c r="Q765" s="17">
        <f>IF($C765="","",IF($L765="","",IF(AND($K765=1,ISNUMBER($L765),$L765&lt;$J765,COUNTIFS(nrES_PID,$D765,nrES_Code,$F765,nrES_Att,2,nrES_Raw,"&gt;=0")=0),"Yes","No")))</f>
        <v/>
      </c>
      <c r="R765" s="17">
        <f>IF($C765="","",IF($L765="","",IF(AND($K765=2,ISNUMBER($L765),$L765&lt;$J765),"Yes","No")))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OR($C765="",$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RANGE",IF(COUNTIF(nrES_RecID,$B765)&gt;1,"DUPLICATE RECORD",IF(AND($K765=2,COUNTIFS(nrES_PID,$D765,nrES_Code,$F765,nrES_Att,1)=0),"ATTEMPT 2 WITHOUT ATTEMPT 1",IF(AND($K765=2,$L765=""),"RETEST ROW HAS NO SCORE",IF(AND($H765="Final",$L765&lt;&gt;"",IFERROR(INDEX(nrCKfinalExamElig,MATCH($D765,rngCadetPIDs,0)),"")="No"),"FINAL EXAM AFTER FAILED FINAL PT (500.1.H)","OK")))))))</f>
        <v/>
      </c>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IF($C766="","",IF($K766="","",IF(COUNTIFS(nrES_PID,$D766,nrES_Code,$F766,nrES_Att,"&gt;"&amp;$K766,nrES_Raw,"&gt;=0")=0,"Yes","No")))</f>
        <v/>
      </c>
      <c r="Q766" s="17">
        <f>IF($C766="","",IF($L766="","",IF(AND($K766=1,ISNUMBER($L766),$L766&lt;$J766,COUNTIFS(nrES_PID,$D766,nrES_Code,$F766,nrES_Att,2,nrES_Raw,"&gt;=0")=0),"Yes","No")))</f>
        <v/>
      </c>
      <c r="R766" s="17">
        <f>IF($C766="","",IF($L766="","",IF(AND($K766=2,ISNUMBER($L766),$L766&lt;$J766),"Yes","No")))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OR($C766="",$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RANGE",IF(COUNTIF(nrES_RecID,$B766)&gt;1,"DUPLICATE RECORD",IF(AND($K766=2,COUNTIFS(nrES_PID,$D766,nrES_Code,$F766,nrES_Att,1)=0),"ATTEMPT 2 WITHOUT ATTEMPT 1",IF(AND($K766=2,$L766=""),"RETEST ROW HAS NO SCORE",IF(AND($H766="Final",$L766&lt;&gt;"",IFERROR(INDEX(nrCKfinalExamElig,MATCH($D766,rngCadetPIDs,0)),"")="No"),"FINAL EXAM AFTER FAILED FINAL PT (500.1.H)","OK")))))))</f>
        <v/>
      </c>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IF($C767="","",IF($K767="","",IF(COUNTIFS(nrES_PID,$D767,nrES_Code,$F767,nrES_Att,"&gt;"&amp;$K767,nrES_Raw,"&gt;=0")=0,"Yes","No")))</f>
        <v/>
      </c>
      <c r="Q767" s="17">
        <f>IF($C767="","",IF($L767="","",IF(AND($K767=1,ISNUMBER($L767),$L767&lt;$J767,COUNTIFS(nrES_PID,$D767,nrES_Code,$F767,nrES_Att,2,nrES_Raw,"&gt;=0")=0),"Yes","No")))</f>
        <v/>
      </c>
      <c r="R767" s="17">
        <f>IF($C767="","",IF($L767="","",IF(AND($K767=2,ISNUMBER($L767),$L767&lt;$J767),"Yes","No")))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OR($C767="",$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RANGE",IF(COUNTIF(nrES_RecID,$B767)&gt;1,"DUPLICATE RECORD",IF(AND($K767=2,COUNTIFS(nrES_PID,$D767,nrES_Code,$F767,nrES_Att,1)=0),"ATTEMPT 2 WITHOUT ATTEMPT 1",IF(AND($K767=2,$L767=""),"RETEST ROW HAS NO SCORE",IF(AND($H767="Final",$L767&lt;&gt;"",IFERROR(INDEX(nrCKfinalExamElig,MATCH($D767,rngCadetPIDs,0)),"")="No"),"FINAL EXAM AFTER FAILED FINAL PT (500.1.H)","OK")))))))</f>
        <v/>
      </c>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IF($C768="","",IF($K768="","",IF(COUNTIFS(nrES_PID,$D768,nrES_Code,$F768,nrES_Att,"&gt;"&amp;$K768,nrES_Raw,"&gt;=0")=0,"Yes","No")))</f>
        <v/>
      </c>
      <c r="Q768" s="17">
        <f>IF($C768="","",IF($L768="","",IF(AND($K768=1,ISNUMBER($L768),$L768&lt;$J768,COUNTIFS(nrES_PID,$D768,nrES_Code,$F768,nrES_Att,2,nrES_Raw,"&gt;=0")=0),"Yes","No")))</f>
        <v/>
      </c>
      <c r="R768" s="17">
        <f>IF($C768="","",IF($L768="","",IF(AND($K768=2,ISNUMBER($L768),$L768&lt;$J768),"Yes","No")))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OR($C768="",$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RANGE",IF(COUNTIF(nrES_RecID,$B768)&gt;1,"DUPLICATE RECORD",IF(AND($K768=2,COUNTIFS(nrES_PID,$D768,nrES_Code,$F768,nrES_Att,1)=0),"ATTEMPT 2 WITHOUT ATTEMPT 1",IF(AND($K768=2,$L768=""),"RETEST ROW HAS NO SCORE",IF(AND($H768="Final",$L768&lt;&gt;"",IFERROR(INDEX(nrCKfinalExamElig,MATCH($D768,rngCadetPIDs,0)),"")="No"),"FINAL EXAM AFTER FAILED FINAL PT (500.1.H)","OK")))))))</f>
        <v/>
      </c>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IF($C769="","",IF($K769="","",IF(COUNTIFS(nrES_PID,$D769,nrES_Code,$F769,nrES_Att,"&gt;"&amp;$K769,nrES_Raw,"&gt;=0")=0,"Yes","No")))</f>
        <v/>
      </c>
      <c r="Q769" s="17">
        <f>IF($C769="","",IF($L769="","",IF(AND($K769=1,ISNUMBER($L769),$L769&lt;$J769,COUNTIFS(nrES_PID,$D769,nrES_Code,$F769,nrES_Att,2,nrES_Raw,"&gt;=0")=0),"Yes","No")))</f>
        <v/>
      </c>
      <c r="R769" s="17">
        <f>IF($C769="","",IF($L769="","",IF(AND($K769=2,ISNUMBER($L769),$L769&lt;$J769),"Yes","No")))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OR($C769="",$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RANGE",IF(COUNTIF(nrES_RecID,$B769)&gt;1,"DUPLICATE RECORD",IF(AND($K769=2,COUNTIFS(nrES_PID,$D769,nrES_Code,$F769,nrES_Att,1)=0),"ATTEMPT 2 WITHOUT ATTEMPT 1",IF(AND($K769=2,$L769=""),"RETEST ROW HAS NO SCORE",IF(AND($H769="Final",$L769&lt;&gt;"",IFERROR(INDEX(nrCKfinalExamElig,MATCH($D769,rngCadetPIDs,0)),"")="No"),"FINAL EXAM AFTER FAILED FINAL PT (500.1.H)","OK")))))))</f>
        <v/>
      </c>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IF($C770="","",IF($K770="","",IF(COUNTIFS(nrES_PID,$D770,nrES_Code,$F770,nrES_Att,"&gt;"&amp;$K770,nrES_Raw,"&gt;=0")=0,"Yes","No")))</f>
        <v/>
      </c>
      <c r="Q770" s="17">
        <f>IF($C770="","",IF($L770="","",IF(AND($K770=1,ISNUMBER($L770),$L770&lt;$J770,COUNTIFS(nrES_PID,$D770,nrES_Code,$F770,nrES_Att,2,nrES_Raw,"&gt;=0")=0),"Yes","No")))</f>
        <v/>
      </c>
      <c r="R770" s="17">
        <f>IF($C770="","",IF($L770="","",IF(AND($K770=2,ISNUMBER($L770),$L770&lt;$J770),"Yes","No")))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OR($C770="",$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RANGE",IF(COUNTIF(nrES_RecID,$B770)&gt;1,"DUPLICATE RECORD",IF(AND($K770=2,COUNTIFS(nrES_PID,$D770,nrES_Code,$F770,nrES_Att,1)=0),"ATTEMPT 2 WITHOUT ATTEMPT 1",IF(AND($K770=2,$L770=""),"RETEST ROW HAS NO SCORE",IF(AND($H770="Final",$L770&lt;&gt;"",IFERROR(INDEX(nrCKfinalExamElig,MATCH($D770,rngCadetPIDs,0)),"")="No"),"FINAL EXAM AFTER FAILED FINAL PT (500.1.H)","OK")))))))</f>
        <v/>
      </c>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IF($C771="","",IF($K771="","",IF(COUNTIFS(nrES_PID,$D771,nrES_Code,$F771,nrES_Att,"&gt;"&amp;$K771,nrES_Raw,"&gt;=0")=0,"Yes","No")))</f>
        <v/>
      </c>
      <c r="Q771" s="17">
        <f>IF($C771="","",IF($L771="","",IF(AND($K771=1,ISNUMBER($L771),$L771&lt;$J771,COUNTIFS(nrES_PID,$D771,nrES_Code,$F771,nrES_Att,2,nrES_Raw,"&gt;=0")=0),"Yes","No")))</f>
        <v/>
      </c>
      <c r="R771" s="17">
        <f>IF($C771="","",IF($L771="","",IF(AND($K771=2,ISNUMBER($L771),$L771&lt;$J771),"Yes","No")))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OR($C771="",$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RANGE",IF(COUNTIF(nrES_RecID,$B771)&gt;1,"DUPLICATE RECORD",IF(AND($K771=2,COUNTIFS(nrES_PID,$D771,nrES_Code,$F771,nrES_Att,1)=0),"ATTEMPT 2 WITHOUT ATTEMPT 1",IF(AND($K771=2,$L771=""),"RETEST ROW HAS NO SCORE",IF(AND($H771="Final",$L771&lt;&gt;"",IFERROR(INDEX(nrCKfinalExamElig,MATCH($D771,rngCadetPIDs,0)),"")="No"),"FINAL EXAM AFTER FAILED FINAL PT (500.1.H)","OK")))))))</f>
        <v/>
      </c>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IF($C772="","",IF($K772="","",IF(COUNTIFS(nrES_PID,$D772,nrES_Code,$F772,nrES_Att,"&gt;"&amp;$K772,nrES_Raw,"&gt;=0")=0,"Yes","No")))</f>
        <v/>
      </c>
      <c r="Q772" s="17">
        <f>IF($C772="","",IF($L772="","",IF(AND($K772=1,ISNUMBER($L772),$L772&lt;$J772,COUNTIFS(nrES_PID,$D772,nrES_Code,$F772,nrES_Att,2,nrES_Raw,"&gt;=0")=0),"Yes","No")))</f>
        <v/>
      </c>
      <c r="R772" s="17">
        <f>IF($C772="","",IF($L772="","",IF(AND($K772=2,ISNUMBER($L772),$L772&lt;$J772),"Yes","No")))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OR($C772="",$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RANGE",IF(COUNTIF(nrES_RecID,$B772)&gt;1,"DUPLICATE RECORD",IF(AND($K772=2,COUNTIFS(nrES_PID,$D772,nrES_Code,$F772,nrES_Att,1)=0),"ATTEMPT 2 WITHOUT ATTEMPT 1",IF(AND($K772=2,$L772=""),"RETEST ROW HAS NO SCORE",IF(AND($H772="Final",$L772&lt;&gt;"",IFERROR(INDEX(nrCKfinalExamElig,MATCH($D772,rngCadetPIDs,0)),"")="No"),"FINAL EXAM AFTER FAILED FINAL PT (500.1.H)","OK")))))))</f>
        <v/>
      </c>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IF($C773="","",IF($K773="","",IF(COUNTIFS(nrES_PID,$D773,nrES_Code,$F773,nrES_Att,"&gt;"&amp;$K773,nrES_Raw,"&gt;=0")=0,"Yes","No")))</f>
        <v/>
      </c>
      <c r="Q773" s="17">
        <f>IF($C773="","",IF($L773="","",IF(AND($K773=1,ISNUMBER($L773),$L773&lt;$J773,COUNTIFS(nrES_PID,$D773,nrES_Code,$F773,nrES_Att,2,nrES_Raw,"&gt;=0")=0),"Yes","No")))</f>
        <v/>
      </c>
      <c r="R773" s="17">
        <f>IF($C773="","",IF($L773="","",IF(AND($K773=2,ISNUMBER($L773),$L773&lt;$J773),"Yes","No")))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OR($C773="",$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RANGE",IF(COUNTIF(nrES_RecID,$B773)&gt;1,"DUPLICATE RECORD",IF(AND($K773=2,COUNTIFS(nrES_PID,$D773,nrES_Code,$F773,nrES_Att,1)=0),"ATTEMPT 2 WITHOUT ATTEMPT 1",IF(AND($K773=2,$L773=""),"RETEST ROW HAS NO SCORE",IF(AND($H773="Final",$L773&lt;&gt;"",IFERROR(INDEX(nrCKfinalExamElig,MATCH($D773,rngCadetPIDs,0)),"")="No"),"FINAL EXAM AFTER FAILED FINAL PT (500.1.H)","OK")))))))</f>
        <v/>
      </c>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IF($C774="","",IF($K774="","",IF(COUNTIFS(nrES_PID,$D774,nrES_Code,$F774,nrES_Att,"&gt;"&amp;$K774,nrES_Raw,"&gt;=0")=0,"Yes","No")))</f>
        <v/>
      </c>
      <c r="Q774" s="17">
        <f>IF($C774="","",IF($L774="","",IF(AND($K774=1,ISNUMBER($L774),$L774&lt;$J774,COUNTIFS(nrES_PID,$D774,nrES_Code,$F774,nrES_Att,2,nrES_Raw,"&gt;=0")=0),"Yes","No")))</f>
        <v/>
      </c>
      <c r="R774" s="17">
        <f>IF($C774="","",IF($L774="","",IF(AND($K774=2,ISNUMBER($L774),$L774&lt;$J774),"Yes","No")))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OR($C774="",$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RANGE",IF(COUNTIF(nrES_RecID,$B774)&gt;1,"DUPLICATE RECORD",IF(AND($K774=2,COUNTIFS(nrES_PID,$D774,nrES_Code,$F774,nrES_Att,1)=0),"ATTEMPT 2 WITHOUT ATTEMPT 1",IF(AND($K774=2,$L774=""),"RETEST ROW HAS NO SCORE",IF(AND($H774="Final",$L774&lt;&gt;"",IFERROR(INDEX(nrCKfinalExamElig,MATCH($D774,rngCadetPIDs,0)),"")="No"),"FINAL EXAM AFTER FAILED FINAL PT (500.1.H)","OK")))))))</f>
        <v/>
      </c>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IF($C775="","",IF($K775="","",IF(COUNTIFS(nrES_PID,$D775,nrES_Code,$F775,nrES_Att,"&gt;"&amp;$K775,nrES_Raw,"&gt;=0")=0,"Yes","No")))</f>
        <v/>
      </c>
      <c r="Q775" s="17">
        <f>IF($C775="","",IF($L775="","",IF(AND($K775=1,ISNUMBER($L775),$L775&lt;$J775,COUNTIFS(nrES_PID,$D775,nrES_Code,$F775,nrES_Att,2,nrES_Raw,"&gt;=0")=0),"Yes","No")))</f>
        <v/>
      </c>
      <c r="R775" s="17">
        <f>IF($C775="","",IF($L775="","",IF(AND($K775=2,ISNUMBER($L775),$L775&lt;$J775),"Yes","No")))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OR($C775="",$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RANGE",IF(COUNTIF(nrES_RecID,$B775)&gt;1,"DUPLICATE RECORD",IF(AND($K775=2,COUNTIFS(nrES_PID,$D775,nrES_Code,$F775,nrES_Att,1)=0),"ATTEMPT 2 WITHOUT ATTEMPT 1",IF(AND($K775=2,$L775=""),"RETEST ROW HAS NO SCORE",IF(AND($H775="Final",$L775&lt;&gt;"",IFERROR(INDEX(nrCKfinalExamElig,MATCH($D775,rngCadetPIDs,0)),"")="No"),"FINAL EXAM AFTER FAILED FINAL PT (500.1.H)","OK")))))))</f>
        <v/>
      </c>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IF($C776="","",IF($K776="","",IF(COUNTIFS(nrES_PID,$D776,nrES_Code,$F776,nrES_Att,"&gt;"&amp;$K776,nrES_Raw,"&gt;=0")=0,"Yes","No")))</f>
        <v/>
      </c>
      <c r="Q776" s="17">
        <f>IF($C776="","",IF($L776="","",IF(AND($K776=1,ISNUMBER($L776),$L776&lt;$J776,COUNTIFS(nrES_PID,$D776,nrES_Code,$F776,nrES_Att,2,nrES_Raw,"&gt;=0")=0),"Yes","No")))</f>
        <v/>
      </c>
      <c r="R776" s="17">
        <f>IF($C776="","",IF($L776="","",IF(AND($K776=2,ISNUMBER($L776),$L776&lt;$J776),"Yes","No")))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OR($C776="",$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RANGE",IF(COUNTIF(nrES_RecID,$B776)&gt;1,"DUPLICATE RECORD",IF(AND($K776=2,COUNTIFS(nrES_PID,$D776,nrES_Code,$F776,nrES_Att,1)=0),"ATTEMPT 2 WITHOUT ATTEMPT 1",IF(AND($K776=2,$L776=""),"RETEST ROW HAS NO SCORE",IF(AND($H776="Final",$L776&lt;&gt;"",IFERROR(INDEX(nrCKfinalExamElig,MATCH($D776,rngCadetPIDs,0)),"")="No"),"FINAL EXAM AFTER FAILED FINAL PT (500.1.H)","OK")))))))</f>
        <v/>
      </c>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IF($C777="","",IF($K777="","",IF(COUNTIFS(nrES_PID,$D777,nrES_Code,$F777,nrES_Att,"&gt;"&amp;$K777,nrES_Raw,"&gt;=0")=0,"Yes","No")))</f>
        <v/>
      </c>
      <c r="Q777" s="17">
        <f>IF($C777="","",IF($L777="","",IF(AND($K777=1,ISNUMBER($L777),$L777&lt;$J777,COUNTIFS(nrES_PID,$D777,nrES_Code,$F777,nrES_Att,2,nrES_Raw,"&gt;=0")=0),"Yes","No")))</f>
        <v/>
      </c>
      <c r="R777" s="17">
        <f>IF($C777="","",IF($L777="","",IF(AND($K777=2,ISNUMBER($L777),$L777&lt;$J777),"Yes","No")))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OR($C777="",$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RANGE",IF(COUNTIF(nrES_RecID,$B777)&gt;1,"DUPLICATE RECORD",IF(AND($K777=2,COUNTIFS(nrES_PID,$D777,nrES_Code,$F777,nrES_Att,1)=0),"ATTEMPT 2 WITHOUT ATTEMPT 1",IF(AND($K777=2,$L777=""),"RETEST ROW HAS NO SCORE",IF(AND($H777="Final",$L777&lt;&gt;"",IFERROR(INDEX(nrCKfinalExamElig,MATCH($D777,rngCadetPIDs,0)),"")="No"),"FINAL EXAM AFTER FAILED FINAL PT (500.1.H)","OK")))))))</f>
        <v/>
      </c>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IF($C778="","",IF($K778="","",IF(COUNTIFS(nrES_PID,$D778,nrES_Code,$F778,nrES_Att,"&gt;"&amp;$K778,nrES_Raw,"&gt;=0")=0,"Yes","No")))</f>
        <v/>
      </c>
      <c r="Q778" s="17">
        <f>IF($C778="","",IF($L778="","",IF(AND($K778=1,ISNUMBER($L778),$L778&lt;$J778,COUNTIFS(nrES_PID,$D778,nrES_Code,$F778,nrES_Att,2,nrES_Raw,"&gt;=0")=0),"Yes","No")))</f>
        <v/>
      </c>
      <c r="R778" s="17">
        <f>IF($C778="","",IF($L778="","",IF(AND($K778=2,ISNUMBER($L778),$L778&lt;$J778),"Yes","No")))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OR($C778="",$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RANGE",IF(COUNTIF(nrES_RecID,$B778)&gt;1,"DUPLICATE RECORD",IF(AND($K778=2,COUNTIFS(nrES_PID,$D778,nrES_Code,$F778,nrES_Att,1)=0),"ATTEMPT 2 WITHOUT ATTEMPT 1",IF(AND($K778=2,$L778=""),"RETEST ROW HAS NO SCORE",IF(AND($H778="Final",$L778&lt;&gt;"",IFERROR(INDEX(nrCKfinalExamElig,MATCH($D778,rngCadetPIDs,0)),"")="No"),"FINAL EXAM AFTER FAILED FINAL PT (500.1.H)","OK")))))))</f>
        <v/>
      </c>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IF($C779="","",IF($K779="","",IF(COUNTIFS(nrES_PID,$D779,nrES_Code,$F779,nrES_Att,"&gt;"&amp;$K779,nrES_Raw,"&gt;=0")=0,"Yes","No")))</f>
        <v/>
      </c>
      <c r="Q779" s="17">
        <f>IF($C779="","",IF($L779="","",IF(AND($K779=1,ISNUMBER($L779),$L779&lt;$J779,COUNTIFS(nrES_PID,$D779,nrES_Code,$F779,nrES_Att,2,nrES_Raw,"&gt;=0")=0),"Yes","No")))</f>
        <v/>
      </c>
      <c r="R779" s="17">
        <f>IF($C779="","",IF($L779="","",IF(AND($K779=2,ISNUMBER($L779),$L779&lt;$J779),"Yes","No")))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OR($C779="",$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RANGE",IF(COUNTIF(nrES_RecID,$B779)&gt;1,"DUPLICATE RECORD",IF(AND($K779=2,COUNTIFS(nrES_PID,$D779,nrES_Code,$F779,nrES_Att,1)=0),"ATTEMPT 2 WITHOUT ATTEMPT 1",IF(AND($K779=2,$L779=""),"RETEST ROW HAS NO SCORE",IF(AND($H779="Final",$L779&lt;&gt;"",IFERROR(INDEX(nrCKfinalExamElig,MATCH($D779,rngCadetPIDs,0)),"")="No"),"FINAL EXAM AFTER FAILED FINAL PT (500.1.H)","OK")))))))</f>
        <v/>
      </c>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IF($C780="","",IF($K780="","",IF(COUNTIFS(nrES_PID,$D780,nrES_Code,$F780,nrES_Att,"&gt;"&amp;$K780,nrES_Raw,"&gt;=0")=0,"Yes","No")))</f>
        <v/>
      </c>
      <c r="Q780" s="17">
        <f>IF($C780="","",IF($L780="","",IF(AND($K780=1,ISNUMBER($L780),$L780&lt;$J780,COUNTIFS(nrES_PID,$D780,nrES_Code,$F780,nrES_Att,2,nrES_Raw,"&gt;=0")=0),"Yes","No")))</f>
        <v/>
      </c>
      <c r="R780" s="17">
        <f>IF($C780="","",IF($L780="","",IF(AND($K780=2,ISNUMBER($L780),$L780&lt;$J780),"Yes","No")))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OR($C780="",$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RANGE",IF(COUNTIF(nrES_RecID,$B780)&gt;1,"DUPLICATE RECORD",IF(AND($K780=2,COUNTIFS(nrES_PID,$D780,nrES_Code,$F780,nrES_Att,1)=0),"ATTEMPT 2 WITHOUT ATTEMPT 1",IF(AND($K780=2,$L780=""),"RETEST ROW HAS NO SCORE",IF(AND($H780="Final",$L780&lt;&gt;"",IFERROR(INDEX(nrCKfinalExamElig,MATCH($D780,rngCadetPIDs,0)),"")="No"),"FINAL EXAM AFTER FAILED FINAL PT (500.1.H)","OK")))))))</f>
        <v/>
      </c>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IF($C781="","",IF($K781="","",IF(COUNTIFS(nrES_PID,$D781,nrES_Code,$F781,nrES_Att,"&gt;"&amp;$K781,nrES_Raw,"&gt;=0")=0,"Yes","No")))</f>
        <v/>
      </c>
      <c r="Q781" s="17">
        <f>IF($C781="","",IF($L781="","",IF(AND($K781=1,ISNUMBER($L781),$L781&lt;$J781,COUNTIFS(nrES_PID,$D781,nrES_Code,$F781,nrES_Att,2,nrES_Raw,"&gt;=0")=0),"Yes","No")))</f>
        <v/>
      </c>
      <c r="R781" s="17">
        <f>IF($C781="","",IF($L781="","",IF(AND($K781=2,ISNUMBER($L781),$L781&lt;$J781),"Yes","No")))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OR($C781="",$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RANGE",IF(COUNTIF(nrES_RecID,$B781)&gt;1,"DUPLICATE RECORD",IF(AND($K781=2,COUNTIFS(nrES_PID,$D781,nrES_Code,$F781,nrES_Att,1)=0),"ATTEMPT 2 WITHOUT ATTEMPT 1",IF(AND($K781=2,$L781=""),"RETEST ROW HAS NO SCORE",IF(AND($H781="Final",$L781&lt;&gt;"",IFERROR(INDEX(nrCKfinalExamElig,MATCH($D781,rngCadetPIDs,0)),"")="No"),"FINAL EXAM AFTER FAILED FINAL PT (500.1.H)","OK")))))))</f>
        <v/>
      </c>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IF($C782="","",IF($K782="","",IF(COUNTIFS(nrES_PID,$D782,nrES_Code,$F782,nrES_Att,"&gt;"&amp;$K782,nrES_Raw,"&gt;=0")=0,"Yes","No")))</f>
        <v/>
      </c>
      <c r="Q782" s="17">
        <f>IF($C782="","",IF($L782="","",IF(AND($K782=1,ISNUMBER($L782),$L782&lt;$J782,COUNTIFS(nrES_PID,$D782,nrES_Code,$F782,nrES_Att,2,nrES_Raw,"&gt;=0")=0),"Yes","No")))</f>
        <v/>
      </c>
      <c r="R782" s="17">
        <f>IF($C782="","",IF($L782="","",IF(AND($K782=2,ISNUMBER($L782),$L782&lt;$J782),"Yes","No")))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OR($C782="",$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RANGE",IF(COUNTIF(nrES_RecID,$B782)&gt;1,"DUPLICATE RECORD",IF(AND($K782=2,COUNTIFS(nrES_PID,$D782,nrES_Code,$F782,nrES_Att,1)=0),"ATTEMPT 2 WITHOUT ATTEMPT 1",IF(AND($K782=2,$L782=""),"RETEST ROW HAS NO SCORE",IF(AND($H782="Final",$L782&lt;&gt;"",IFERROR(INDEX(nrCKfinalExamElig,MATCH($D782,rngCadetPIDs,0)),"")="No"),"FINAL EXAM AFTER FAILED FINAL PT (500.1.H)","OK")))))))</f>
        <v/>
      </c>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IF($C783="","",IF($K783="","",IF(COUNTIFS(nrES_PID,$D783,nrES_Code,$F783,nrES_Att,"&gt;"&amp;$K783,nrES_Raw,"&gt;=0")=0,"Yes","No")))</f>
        <v/>
      </c>
      <c r="Q783" s="17">
        <f>IF($C783="","",IF($L783="","",IF(AND($K783=1,ISNUMBER($L783),$L783&lt;$J783,COUNTIFS(nrES_PID,$D783,nrES_Code,$F783,nrES_Att,2,nrES_Raw,"&gt;=0")=0),"Yes","No")))</f>
        <v/>
      </c>
      <c r="R783" s="17">
        <f>IF($C783="","",IF($L783="","",IF(AND($K783=2,ISNUMBER($L783),$L783&lt;$J783),"Yes","No")))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OR($C783="",$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RANGE",IF(COUNTIF(nrES_RecID,$B783)&gt;1,"DUPLICATE RECORD",IF(AND($K783=2,COUNTIFS(nrES_PID,$D783,nrES_Code,$F783,nrES_Att,1)=0),"ATTEMPT 2 WITHOUT ATTEMPT 1",IF(AND($K783=2,$L783=""),"RETEST ROW HAS NO SCORE",IF(AND($H783="Final",$L783&lt;&gt;"",IFERROR(INDEX(nrCKfinalExamElig,MATCH($D783,rngCadetPIDs,0)),"")="No"),"FINAL EXAM AFTER FAILED FINAL PT (500.1.H)","OK")))))))</f>
        <v/>
      </c>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IF($C784="","",IF($K784="","",IF(COUNTIFS(nrES_PID,$D784,nrES_Code,$F784,nrES_Att,"&gt;"&amp;$K784,nrES_Raw,"&gt;=0")=0,"Yes","No")))</f>
        <v/>
      </c>
      <c r="Q784" s="17">
        <f>IF($C784="","",IF($L784="","",IF(AND($K784=1,ISNUMBER($L784),$L784&lt;$J784,COUNTIFS(nrES_PID,$D784,nrES_Code,$F784,nrES_Att,2,nrES_Raw,"&gt;=0")=0),"Yes","No")))</f>
        <v/>
      </c>
      <c r="R784" s="17">
        <f>IF($C784="","",IF($L784="","",IF(AND($K784=2,ISNUMBER($L784),$L784&lt;$J784),"Yes","No")))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OR($C784="",$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RANGE",IF(COUNTIF(nrES_RecID,$B784)&gt;1,"DUPLICATE RECORD",IF(AND($K784=2,COUNTIFS(nrES_PID,$D784,nrES_Code,$F784,nrES_Att,1)=0),"ATTEMPT 2 WITHOUT ATTEMPT 1",IF(AND($K784=2,$L784=""),"RETEST ROW HAS NO SCORE",IF(AND($H784="Final",$L784&lt;&gt;"",IFERROR(INDEX(nrCKfinalExamElig,MATCH($D784,rngCadetPIDs,0)),"")="No"),"FINAL EXAM AFTER FAILED FINAL PT (500.1.H)","OK")))))))</f>
        <v/>
      </c>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IF($C785="","",IF($K785="","",IF(COUNTIFS(nrES_PID,$D785,nrES_Code,$F785,nrES_Att,"&gt;"&amp;$K785,nrES_Raw,"&gt;=0")=0,"Yes","No")))</f>
        <v/>
      </c>
      <c r="Q785" s="17">
        <f>IF($C785="","",IF($L785="","",IF(AND($K785=1,ISNUMBER($L785),$L785&lt;$J785,COUNTIFS(nrES_PID,$D785,nrES_Code,$F785,nrES_Att,2,nrES_Raw,"&gt;=0")=0),"Yes","No")))</f>
        <v/>
      </c>
      <c r="R785" s="17">
        <f>IF($C785="","",IF($L785="","",IF(AND($K785=2,ISNUMBER($L785),$L785&lt;$J785),"Yes","No")))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OR($C785="",$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RANGE",IF(COUNTIF(nrES_RecID,$B785)&gt;1,"DUPLICATE RECORD",IF(AND($K785=2,COUNTIFS(nrES_PID,$D785,nrES_Code,$F785,nrES_Att,1)=0),"ATTEMPT 2 WITHOUT ATTEMPT 1",IF(AND($K785=2,$L785=""),"RETEST ROW HAS NO SCORE",IF(AND($H785="Final",$L785&lt;&gt;"",IFERROR(INDEX(nrCKfinalExamElig,MATCH($D785,rngCadetPIDs,0)),"")="No"),"FINAL EXAM AFTER FAILED FINAL PT (500.1.H)","OK")))))))</f>
        <v/>
      </c>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IF($C786="","",IF($K786="","",IF(COUNTIFS(nrES_PID,$D786,nrES_Code,$F786,nrES_Att,"&gt;"&amp;$K786,nrES_Raw,"&gt;=0")=0,"Yes","No")))</f>
        <v/>
      </c>
      <c r="Q786" s="17">
        <f>IF($C786="","",IF($L786="","",IF(AND($K786=1,ISNUMBER($L786),$L786&lt;$J786,COUNTIFS(nrES_PID,$D786,nrES_Code,$F786,nrES_Att,2,nrES_Raw,"&gt;=0")=0),"Yes","No")))</f>
        <v/>
      </c>
      <c r="R786" s="17">
        <f>IF($C786="","",IF($L786="","",IF(AND($K786=2,ISNUMBER($L786),$L786&lt;$J786),"Yes","No")))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OR($C786="",$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RANGE",IF(COUNTIF(nrES_RecID,$B786)&gt;1,"DUPLICATE RECORD",IF(AND($K786=2,COUNTIFS(nrES_PID,$D786,nrES_Code,$F786,nrES_Att,1)=0),"ATTEMPT 2 WITHOUT ATTEMPT 1",IF(AND($K786=2,$L786=""),"RETEST ROW HAS NO SCORE",IF(AND($H786="Final",$L786&lt;&gt;"",IFERROR(INDEX(nrCKfinalExamElig,MATCH($D786,rngCadetPIDs,0)),"")="No"),"FINAL EXAM AFTER FAILED FINAL PT (500.1.H)","OK")))))))</f>
        <v/>
      </c>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IF($C787="","",IF($K787="","",IF(COUNTIFS(nrES_PID,$D787,nrES_Code,$F787,nrES_Att,"&gt;"&amp;$K787,nrES_Raw,"&gt;=0")=0,"Yes","No")))</f>
        <v/>
      </c>
      <c r="Q787" s="17">
        <f>IF($C787="","",IF($L787="","",IF(AND($K787=1,ISNUMBER($L787),$L787&lt;$J787,COUNTIFS(nrES_PID,$D787,nrES_Code,$F787,nrES_Att,2,nrES_Raw,"&gt;=0")=0),"Yes","No")))</f>
        <v/>
      </c>
      <c r="R787" s="17">
        <f>IF($C787="","",IF($L787="","",IF(AND($K787=2,ISNUMBER($L787),$L787&lt;$J787),"Yes","No")))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OR($C787="",$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RANGE",IF(COUNTIF(nrES_RecID,$B787)&gt;1,"DUPLICATE RECORD",IF(AND($K787=2,COUNTIFS(nrES_PID,$D787,nrES_Code,$F787,nrES_Att,1)=0),"ATTEMPT 2 WITHOUT ATTEMPT 1",IF(AND($K787=2,$L787=""),"RETEST ROW HAS NO SCORE",IF(AND($H787="Final",$L787&lt;&gt;"",IFERROR(INDEX(nrCKfinalExamElig,MATCH($D787,rngCadetPIDs,0)),"")="No"),"FINAL EXAM AFTER FAILED FINAL PT (500.1.H)","OK")))))))</f>
        <v/>
      </c>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IF($C788="","",IF($K788="","",IF(COUNTIFS(nrES_PID,$D788,nrES_Code,$F788,nrES_Att,"&gt;"&amp;$K788,nrES_Raw,"&gt;=0")=0,"Yes","No")))</f>
        <v/>
      </c>
      <c r="Q788" s="17">
        <f>IF($C788="","",IF($L788="","",IF(AND($K788=1,ISNUMBER($L788),$L788&lt;$J788,COUNTIFS(nrES_PID,$D788,nrES_Code,$F788,nrES_Att,2,nrES_Raw,"&gt;=0")=0),"Yes","No")))</f>
        <v/>
      </c>
      <c r="R788" s="17">
        <f>IF($C788="","",IF($L788="","",IF(AND($K788=2,ISNUMBER($L788),$L788&lt;$J788),"Yes","No")))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OR($C788="",$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RANGE",IF(COUNTIF(nrES_RecID,$B788)&gt;1,"DUPLICATE RECORD",IF(AND($K788=2,COUNTIFS(nrES_PID,$D788,nrES_Code,$F788,nrES_Att,1)=0),"ATTEMPT 2 WITHOUT ATTEMPT 1",IF(AND($K788=2,$L788=""),"RETEST ROW HAS NO SCORE",IF(AND($H788="Final",$L788&lt;&gt;"",IFERROR(INDEX(nrCKfinalExamElig,MATCH($D788,rngCadetPIDs,0)),"")="No"),"FINAL EXAM AFTER FAILED FINAL PT (500.1.H)","OK")))))))</f>
        <v/>
      </c>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IF($C789="","",IF($K789="","",IF(COUNTIFS(nrES_PID,$D789,nrES_Code,$F789,nrES_Att,"&gt;"&amp;$K789,nrES_Raw,"&gt;=0")=0,"Yes","No")))</f>
        <v/>
      </c>
      <c r="Q789" s="17">
        <f>IF($C789="","",IF($L789="","",IF(AND($K789=1,ISNUMBER($L789),$L789&lt;$J789,COUNTIFS(nrES_PID,$D789,nrES_Code,$F789,nrES_Att,2,nrES_Raw,"&gt;=0")=0),"Yes","No")))</f>
        <v/>
      </c>
      <c r="R789" s="17">
        <f>IF($C789="","",IF($L789="","",IF(AND($K789=2,ISNUMBER($L789),$L789&lt;$J789),"Yes","No")))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OR($C789="",$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RANGE",IF(COUNTIF(nrES_RecID,$B789)&gt;1,"DUPLICATE RECORD",IF(AND($K789=2,COUNTIFS(nrES_PID,$D789,nrES_Code,$F789,nrES_Att,1)=0),"ATTEMPT 2 WITHOUT ATTEMPT 1",IF(AND($K789=2,$L789=""),"RETEST ROW HAS NO SCORE",IF(AND($H789="Final",$L789&lt;&gt;"",IFERROR(INDEX(nrCKfinalExamElig,MATCH($D789,rngCadetPIDs,0)),"")="No"),"FINAL EXAM AFTER FAILED FINAL PT (500.1.H)","OK")))))))</f>
        <v/>
      </c>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IF($C790="","",IF($K790="","",IF(COUNTIFS(nrES_PID,$D790,nrES_Code,$F790,nrES_Att,"&gt;"&amp;$K790,nrES_Raw,"&gt;=0")=0,"Yes","No")))</f>
        <v/>
      </c>
      <c r="Q790" s="17">
        <f>IF($C790="","",IF($L790="","",IF(AND($K790=1,ISNUMBER($L790),$L790&lt;$J790,COUNTIFS(nrES_PID,$D790,nrES_Code,$F790,nrES_Att,2,nrES_Raw,"&gt;=0")=0),"Yes","No")))</f>
        <v/>
      </c>
      <c r="R790" s="17">
        <f>IF($C790="","",IF($L790="","",IF(AND($K790=2,ISNUMBER($L790),$L790&lt;$J790),"Yes","No")))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OR($C790="",$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RANGE",IF(COUNTIF(nrES_RecID,$B790)&gt;1,"DUPLICATE RECORD",IF(AND($K790=2,COUNTIFS(nrES_PID,$D790,nrES_Code,$F790,nrES_Att,1)=0),"ATTEMPT 2 WITHOUT ATTEMPT 1",IF(AND($K790=2,$L790=""),"RETEST ROW HAS NO SCORE",IF(AND($H790="Final",$L790&lt;&gt;"",IFERROR(INDEX(nrCKfinalExamElig,MATCH($D790,rngCadetPIDs,0)),"")="No"),"FINAL EXAM AFTER FAILED FINAL PT (500.1.H)","OK")))))))</f>
        <v/>
      </c>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IF($C791="","",IF($K791="","",IF(COUNTIFS(nrES_PID,$D791,nrES_Code,$F791,nrES_Att,"&gt;"&amp;$K791,nrES_Raw,"&gt;=0")=0,"Yes","No")))</f>
        <v/>
      </c>
      <c r="Q791" s="17">
        <f>IF($C791="","",IF($L791="","",IF(AND($K791=1,ISNUMBER($L791),$L791&lt;$J791,COUNTIFS(nrES_PID,$D791,nrES_Code,$F791,nrES_Att,2,nrES_Raw,"&gt;=0")=0),"Yes","No")))</f>
        <v/>
      </c>
      <c r="R791" s="17">
        <f>IF($C791="","",IF($L791="","",IF(AND($K791=2,ISNUMBER($L791),$L791&lt;$J791),"Yes","No")))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OR($C791="",$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RANGE",IF(COUNTIF(nrES_RecID,$B791)&gt;1,"DUPLICATE RECORD",IF(AND($K791=2,COUNTIFS(nrES_PID,$D791,nrES_Code,$F791,nrES_Att,1)=0),"ATTEMPT 2 WITHOUT ATTEMPT 1",IF(AND($K791=2,$L791=""),"RETEST ROW HAS NO SCORE",IF(AND($H791="Final",$L791&lt;&gt;"",IFERROR(INDEX(nrCKfinalExamElig,MATCH($D791,rngCadetPIDs,0)),"")="No"),"FINAL EXAM AFTER FAILED FINAL PT (500.1.H)","OK")))))))</f>
        <v/>
      </c>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IF($C792="","",IF($K792="","",IF(COUNTIFS(nrES_PID,$D792,nrES_Code,$F792,nrES_Att,"&gt;"&amp;$K792,nrES_Raw,"&gt;=0")=0,"Yes","No")))</f>
        <v/>
      </c>
      <c r="Q792" s="17">
        <f>IF($C792="","",IF($L792="","",IF(AND($K792=1,ISNUMBER($L792),$L792&lt;$J792,COUNTIFS(nrES_PID,$D792,nrES_Code,$F792,nrES_Att,2,nrES_Raw,"&gt;=0")=0),"Yes","No")))</f>
        <v/>
      </c>
      <c r="R792" s="17">
        <f>IF($C792="","",IF($L792="","",IF(AND($K792=2,ISNUMBER($L792),$L792&lt;$J792),"Yes","No")))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OR($C792="",$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RANGE",IF(COUNTIF(nrES_RecID,$B792)&gt;1,"DUPLICATE RECORD",IF(AND($K792=2,COUNTIFS(nrES_PID,$D792,nrES_Code,$F792,nrES_Att,1)=0),"ATTEMPT 2 WITHOUT ATTEMPT 1",IF(AND($K792=2,$L792=""),"RETEST ROW HAS NO SCORE",IF(AND($H792="Final",$L792&lt;&gt;"",IFERROR(INDEX(nrCKfinalExamElig,MATCH($D792,rngCadetPIDs,0)),"")="No"),"FINAL EXAM AFTER FAILED FINAL PT (500.1.H)","OK")))))))</f>
        <v/>
      </c>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IF($C793="","",IF($K793="","",IF(COUNTIFS(nrES_PID,$D793,nrES_Code,$F793,nrES_Att,"&gt;"&amp;$K793,nrES_Raw,"&gt;=0")=0,"Yes","No")))</f>
        <v/>
      </c>
      <c r="Q793" s="17">
        <f>IF($C793="","",IF($L793="","",IF(AND($K793=1,ISNUMBER($L793),$L793&lt;$J793,COUNTIFS(nrES_PID,$D793,nrES_Code,$F793,nrES_Att,2,nrES_Raw,"&gt;=0")=0),"Yes","No")))</f>
        <v/>
      </c>
      <c r="R793" s="17">
        <f>IF($C793="","",IF($L793="","",IF(AND($K793=2,ISNUMBER($L793),$L793&lt;$J793),"Yes","No")))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OR($C793="",$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RANGE",IF(COUNTIF(nrES_RecID,$B793)&gt;1,"DUPLICATE RECORD",IF(AND($K793=2,COUNTIFS(nrES_PID,$D793,nrES_Code,$F793,nrES_Att,1)=0),"ATTEMPT 2 WITHOUT ATTEMPT 1",IF(AND($K793=2,$L793=""),"RETEST ROW HAS NO SCORE",IF(AND($H793="Final",$L793&lt;&gt;"",IFERROR(INDEX(nrCKfinalExamElig,MATCH($D793,rngCadetPIDs,0)),"")="No"),"FINAL EXAM AFTER FAILED FINAL PT (500.1.H)","OK")))))))</f>
        <v/>
      </c>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IF($C794="","",IF($K794="","",IF(COUNTIFS(nrES_PID,$D794,nrES_Code,$F794,nrES_Att,"&gt;"&amp;$K794,nrES_Raw,"&gt;=0")=0,"Yes","No")))</f>
        <v/>
      </c>
      <c r="Q794" s="17">
        <f>IF($C794="","",IF($L794="","",IF(AND($K794=1,ISNUMBER($L794),$L794&lt;$J794,COUNTIFS(nrES_PID,$D794,nrES_Code,$F794,nrES_Att,2,nrES_Raw,"&gt;=0")=0),"Yes","No")))</f>
        <v/>
      </c>
      <c r="R794" s="17">
        <f>IF($C794="","",IF($L794="","",IF(AND($K794=2,ISNUMBER($L794),$L794&lt;$J794),"Yes","No")))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OR($C794="",$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RANGE",IF(COUNTIF(nrES_RecID,$B794)&gt;1,"DUPLICATE RECORD",IF(AND($K794=2,COUNTIFS(nrES_PID,$D794,nrES_Code,$F794,nrES_Att,1)=0),"ATTEMPT 2 WITHOUT ATTEMPT 1",IF(AND($K794=2,$L794=""),"RETEST ROW HAS NO SCORE",IF(AND($H794="Final",$L794&lt;&gt;"",IFERROR(INDEX(nrCKfinalExamElig,MATCH($D794,rngCadetPIDs,0)),"")="No"),"FINAL EXAM AFTER FAILED FINAL PT (500.1.H)","OK")))))))</f>
        <v/>
      </c>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IF($C795="","",IF($K795="","",IF(COUNTIFS(nrES_PID,$D795,nrES_Code,$F795,nrES_Att,"&gt;"&amp;$K795,nrES_Raw,"&gt;=0")=0,"Yes","No")))</f>
        <v/>
      </c>
      <c r="Q795" s="17">
        <f>IF($C795="","",IF($L795="","",IF(AND($K795=1,ISNUMBER($L795),$L795&lt;$J795,COUNTIFS(nrES_PID,$D795,nrES_Code,$F795,nrES_Att,2,nrES_Raw,"&gt;=0")=0),"Yes","No")))</f>
        <v/>
      </c>
      <c r="R795" s="17">
        <f>IF($C795="","",IF($L795="","",IF(AND($K795=2,ISNUMBER($L795),$L795&lt;$J795),"Yes","No")))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OR($C795="",$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RANGE",IF(COUNTIF(nrES_RecID,$B795)&gt;1,"DUPLICATE RECORD",IF(AND($K795=2,COUNTIFS(nrES_PID,$D795,nrES_Code,$F795,nrES_Att,1)=0),"ATTEMPT 2 WITHOUT ATTEMPT 1",IF(AND($K795=2,$L795=""),"RETEST ROW HAS NO SCORE",IF(AND($H795="Final",$L795&lt;&gt;"",IFERROR(INDEX(nrCKfinalExamElig,MATCH($D795,rngCadetPIDs,0)),"")="No"),"FINAL EXAM AFTER FAILED FINAL PT (500.1.H)","OK")))))))</f>
        <v/>
      </c>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IF($C796="","",IF($K796="","",IF(COUNTIFS(nrES_PID,$D796,nrES_Code,$F796,nrES_Att,"&gt;"&amp;$K796,nrES_Raw,"&gt;=0")=0,"Yes","No")))</f>
        <v/>
      </c>
      <c r="Q796" s="17">
        <f>IF($C796="","",IF($L796="","",IF(AND($K796=1,ISNUMBER($L796),$L796&lt;$J796,COUNTIFS(nrES_PID,$D796,nrES_Code,$F796,nrES_Att,2,nrES_Raw,"&gt;=0")=0),"Yes","No")))</f>
        <v/>
      </c>
      <c r="R796" s="17">
        <f>IF($C796="","",IF($L796="","",IF(AND($K796=2,ISNUMBER($L796),$L796&lt;$J796),"Yes","No")))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OR($C796="",$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RANGE",IF(COUNTIF(nrES_RecID,$B796)&gt;1,"DUPLICATE RECORD",IF(AND($K796=2,COUNTIFS(nrES_PID,$D796,nrES_Code,$F796,nrES_Att,1)=0),"ATTEMPT 2 WITHOUT ATTEMPT 1",IF(AND($K796=2,$L796=""),"RETEST ROW HAS NO SCORE",IF(AND($H796="Final",$L796&lt;&gt;"",IFERROR(INDEX(nrCKfinalExamElig,MATCH($D796,rngCadetPIDs,0)),"")="No"),"FINAL EXAM AFTER FAILED FINAL PT (500.1.H)","OK")))))))</f>
        <v/>
      </c>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IF($C797="","",IF($K797="","",IF(COUNTIFS(nrES_PID,$D797,nrES_Code,$F797,nrES_Att,"&gt;"&amp;$K797,nrES_Raw,"&gt;=0")=0,"Yes","No")))</f>
        <v/>
      </c>
      <c r="Q797" s="17">
        <f>IF($C797="","",IF($L797="","",IF(AND($K797=1,ISNUMBER($L797),$L797&lt;$J797,COUNTIFS(nrES_PID,$D797,nrES_Code,$F797,nrES_Att,2,nrES_Raw,"&gt;=0")=0),"Yes","No")))</f>
        <v/>
      </c>
      <c r="R797" s="17">
        <f>IF($C797="","",IF($L797="","",IF(AND($K797=2,ISNUMBER($L797),$L797&lt;$J797),"Yes","No")))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OR($C797="",$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RANGE",IF(COUNTIF(nrES_RecID,$B797)&gt;1,"DUPLICATE RECORD",IF(AND($K797=2,COUNTIFS(nrES_PID,$D797,nrES_Code,$F797,nrES_Att,1)=0),"ATTEMPT 2 WITHOUT ATTEMPT 1",IF(AND($K797=2,$L797=""),"RETEST ROW HAS NO SCORE",IF(AND($H797="Final",$L797&lt;&gt;"",IFERROR(INDEX(nrCKfinalExamElig,MATCH($D797,rngCadetPIDs,0)),"")="No"),"FINAL EXAM AFTER FAILED FINAL PT (500.1.H)","OK")))))))</f>
        <v/>
      </c>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IF($C798="","",IF($K798="","",IF(COUNTIFS(nrES_PID,$D798,nrES_Code,$F798,nrES_Att,"&gt;"&amp;$K798,nrES_Raw,"&gt;=0")=0,"Yes","No")))</f>
        <v/>
      </c>
      <c r="Q798" s="17">
        <f>IF($C798="","",IF($L798="","",IF(AND($K798=1,ISNUMBER($L798),$L798&lt;$J798,COUNTIFS(nrES_PID,$D798,nrES_Code,$F798,nrES_Att,2,nrES_Raw,"&gt;=0")=0),"Yes","No")))</f>
        <v/>
      </c>
      <c r="R798" s="17">
        <f>IF($C798="","",IF($L798="","",IF(AND($K798=2,ISNUMBER($L798),$L798&lt;$J798),"Yes","No")))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OR($C798="",$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RANGE",IF(COUNTIF(nrES_RecID,$B798)&gt;1,"DUPLICATE RECORD",IF(AND($K798=2,COUNTIFS(nrES_PID,$D798,nrES_Code,$F798,nrES_Att,1)=0),"ATTEMPT 2 WITHOUT ATTEMPT 1",IF(AND($K798=2,$L798=""),"RETEST ROW HAS NO SCORE",IF(AND($H798="Final",$L798&lt;&gt;"",IFERROR(INDEX(nrCKfinalExamElig,MATCH($D798,rngCadetPIDs,0)),"")="No"),"FINAL EXAM AFTER FAILED FINAL PT (500.1.H)","OK")))))))</f>
        <v/>
      </c>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IF($C799="","",IF($K799="","",IF(COUNTIFS(nrES_PID,$D799,nrES_Code,$F799,nrES_Att,"&gt;"&amp;$K799,nrES_Raw,"&gt;=0")=0,"Yes","No")))</f>
        <v/>
      </c>
      <c r="Q799" s="17">
        <f>IF($C799="","",IF($L799="","",IF(AND($K799=1,ISNUMBER($L799),$L799&lt;$J799,COUNTIFS(nrES_PID,$D799,nrES_Code,$F799,nrES_Att,2,nrES_Raw,"&gt;=0")=0),"Yes","No")))</f>
        <v/>
      </c>
      <c r="R799" s="17">
        <f>IF($C799="","",IF($L799="","",IF(AND($K799=2,ISNUMBER($L799),$L799&lt;$J799),"Yes","No")))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OR($C799="",$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RANGE",IF(COUNTIF(nrES_RecID,$B799)&gt;1,"DUPLICATE RECORD",IF(AND($K799=2,COUNTIFS(nrES_PID,$D799,nrES_Code,$F799,nrES_Att,1)=0),"ATTEMPT 2 WITHOUT ATTEMPT 1",IF(AND($K799=2,$L799=""),"RETEST ROW HAS NO SCORE",IF(AND($H799="Final",$L799&lt;&gt;"",IFERROR(INDEX(nrCKfinalExamElig,MATCH($D799,rngCadetPIDs,0)),"")="No"),"FINAL EXAM AFTER FAILED FINAL PT (500.1.H)","OK")))))))</f>
        <v/>
      </c>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IF($C800="","",IF($K800="","",IF(COUNTIFS(nrES_PID,$D800,nrES_Code,$F800,nrES_Att,"&gt;"&amp;$K800,nrES_Raw,"&gt;=0")=0,"Yes","No")))</f>
        <v/>
      </c>
      <c r="Q800" s="17">
        <f>IF($C800="","",IF($L800="","",IF(AND($K800=1,ISNUMBER($L800),$L800&lt;$J800,COUNTIFS(nrES_PID,$D800,nrES_Code,$F800,nrES_Att,2,nrES_Raw,"&gt;=0")=0),"Yes","No")))</f>
        <v/>
      </c>
      <c r="R800" s="17">
        <f>IF($C800="","",IF($L800="","",IF(AND($K800=2,ISNUMBER($L800),$L800&lt;$J800),"Yes","No")))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OR($C800="",$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RANGE",IF(COUNTIF(nrES_RecID,$B800)&gt;1,"DUPLICATE RECORD",IF(AND($K800=2,COUNTIFS(nrES_PID,$D800,nrES_Code,$F800,nrES_Att,1)=0),"ATTEMPT 2 WITHOUT ATTEMPT 1",IF(AND($K800=2,$L800=""),"RETEST ROW HAS NO SCORE",IF(AND($H800="Final",$L800&lt;&gt;"",IFERROR(INDEX(nrCKfinalExamElig,MATCH($D800,rngCadetPIDs,0)),"")="No"),"FINAL EXAM AFTER FAILED FINAL PT (500.1.H)","OK")))))))</f>
        <v/>
      </c>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IF($C801="","",IF($K801="","",IF(COUNTIFS(nrES_PID,$D801,nrES_Code,$F801,nrES_Att,"&gt;"&amp;$K801,nrES_Raw,"&gt;=0")=0,"Yes","No")))</f>
        <v/>
      </c>
      <c r="Q801" s="17">
        <f>IF($C801="","",IF($L801="","",IF(AND($K801=1,ISNUMBER($L801),$L801&lt;$J801,COUNTIFS(nrES_PID,$D801,nrES_Code,$F801,nrES_Att,2,nrES_Raw,"&gt;=0")=0),"Yes","No")))</f>
        <v/>
      </c>
      <c r="R801" s="17">
        <f>IF($C801="","",IF($L801="","",IF(AND($K801=2,ISNUMBER($L801),$L801&lt;$J801),"Yes","No")))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OR($C801="",$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RANGE",IF(COUNTIF(nrES_RecID,$B801)&gt;1,"DUPLICATE RECORD",IF(AND($K801=2,COUNTIFS(nrES_PID,$D801,nrES_Code,$F801,nrES_Att,1)=0),"ATTEMPT 2 WITHOUT ATTEMPT 1",IF(AND($K801=2,$L801=""),"RETEST ROW HAS NO SCORE",IF(AND($H801="Final",$L801&lt;&gt;"",IFERROR(INDEX(nrCKfinalExamElig,MATCH($D801,rngCadetPIDs,0)),"")="No"),"FINAL EXAM AFTER FAILED FINAL PT (500.1.H)","OK")))))))</f>
        <v/>
      </c>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IF($C802="","",IF($K802="","",IF(COUNTIFS(nrES_PID,$D802,nrES_Code,$F802,nrES_Att,"&gt;"&amp;$K802,nrES_Raw,"&gt;=0")=0,"Yes","No")))</f>
        <v/>
      </c>
      <c r="Q802" s="17">
        <f>IF($C802="","",IF($L802="","",IF(AND($K802=1,ISNUMBER($L802),$L802&lt;$J802,COUNTIFS(nrES_PID,$D802,nrES_Code,$F802,nrES_Att,2,nrES_Raw,"&gt;=0")=0),"Yes","No")))</f>
        <v/>
      </c>
      <c r="R802" s="17">
        <f>IF($C802="","",IF($L802="","",IF(AND($K802=2,ISNUMBER($L802),$L802&lt;$J802),"Yes","No")))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OR($C802="",$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RANGE",IF(COUNTIF(nrES_RecID,$B802)&gt;1,"DUPLICATE RECORD",IF(AND($K802=2,COUNTIFS(nrES_PID,$D802,nrES_Code,$F802,nrES_Att,1)=0),"ATTEMPT 2 WITHOUT ATTEMPT 1",IF(AND($K802=2,$L802=""),"RETEST ROW HAS NO SCORE",IF(AND($H802="Final",$L802&lt;&gt;"",IFERROR(INDEX(nrCKfinalExamElig,MATCH($D802,rngCadetPIDs,0)),"")="No"),"FINAL EXAM AFTER FAILED FINAL PT (500.1.H)","OK")))))))</f>
        <v/>
      </c>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IF($C803="","",IF($K803="","",IF(COUNTIFS(nrES_PID,$D803,nrES_Code,$F803,nrES_Att,"&gt;"&amp;$K803,nrES_Raw,"&gt;=0")=0,"Yes","No")))</f>
        <v/>
      </c>
      <c r="Q803" s="17">
        <f>IF($C803="","",IF($L803="","",IF(AND($K803=1,ISNUMBER($L803),$L803&lt;$J803,COUNTIFS(nrES_PID,$D803,nrES_Code,$F803,nrES_Att,2,nrES_Raw,"&gt;=0")=0),"Yes","No")))</f>
        <v/>
      </c>
      <c r="R803" s="17">
        <f>IF($C803="","",IF($L803="","",IF(AND($K803=2,ISNUMBER($L803),$L803&lt;$J803),"Yes","No")))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OR($C803="",$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RANGE",IF(COUNTIF(nrES_RecID,$B803)&gt;1,"DUPLICATE RECORD",IF(AND($K803=2,COUNTIFS(nrES_PID,$D803,nrES_Code,$F803,nrES_Att,1)=0),"ATTEMPT 2 WITHOUT ATTEMPT 1",IF(AND($K803=2,$L803=""),"RETEST ROW HAS NO SCORE",IF(AND($H803="Final",$L803&lt;&gt;"",IFERROR(INDEX(nrCKfinalExamElig,MATCH($D803,rngCadetPIDs,0)),"")="No"),"FINAL EXAM AFTER FAILED FINAL PT (500.1.H)","OK")))))))</f>
        <v/>
      </c>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IF($C804="","",IF($K804="","",IF(COUNTIFS(nrES_PID,$D804,nrES_Code,$F804,nrES_Att,"&gt;"&amp;$K804,nrES_Raw,"&gt;=0")=0,"Yes","No")))</f>
        <v/>
      </c>
      <c r="Q804" s="17">
        <f>IF($C804="","",IF($L804="","",IF(AND($K804=1,ISNUMBER($L804),$L804&lt;$J804,COUNTIFS(nrES_PID,$D804,nrES_Code,$F804,nrES_Att,2,nrES_Raw,"&gt;=0")=0),"Yes","No")))</f>
        <v/>
      </c>
      <c r="R804" s="17">
        <f>IF($C804="","",IF($L804="","",IF(AND($K804=2,ISNUMBER($L804),$L804&lt;$J804),"Yes","No")))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OR($C804="",$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RANGE",IF(COUNTIF(nrES_RecID,$B804)&gt;1,"DUPLICATE RECORD",IF(AND($K804=2,COUNTIFS(nrES_PID,$D804,nrES_Code,$F804,nrES_Att,1)=0),"ATTEMPT 2 WITHOUT ATTEMPT 1",IF(AND($K804=2,$L804=""),"RETEST ROW HAS NO SCORE",IF(AND($H804="Final",$L804&lt;&gt;"",IFERROR(INDEX(nrCKfinalExamElig,MATCH($D804,rngCadetPIDs,0)),"")="No"),"FINAL EXAM AFTER FAILED FINAL PT (500.1.H)","OK")))))))</f>
        <v/>
      </c>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IF($C805="","",IF($K805="","",IF(COUNTIFS(nrES_PID,$D805,nrES_Code,$F805,nrES_Att,"&gt;"&amp;$K805,nrES_Raw,"&gt;=0")=0,"Yes","No")))</f>
        <v/>
      </c>
      <c r="Q805" s="17">
        <f>IF($C805="","",IF($L805="","",IF(AND($K805=1,ISNUMBER($L805),$L805&lt;$J805,COUNTIFS(nrES_PID,$D805,nrES_Code,$F805,nrES_Att,2,nrES_Raw,"&gt;=0")=0),"Yes","No")))</f>
        <v/>
      </c>
      <c r="R805" s="17">
        <f>IF($C805="","",IF($L805="","",IF(AND($K805=2,ISNUMBER($L805),$L805&lt;$J805),"Yes","No")))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OR($C805="",$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RANGE",IF(COUNTIF(nrES_RecID,$B805)&gt;1,"DUPLICATE RECORD",IF(AND($K805=2,COUNTIFS(nrES_PID,$D805,nrES_Code,$F805,nrES_Att,1)=0),"ATTEMPT 2 WITHOUT ATTEMPT 1",IF(AND($K805=2,$L805=""),"RETEST ROW HAS NO SCORE",IF(AND($H805="Final",$L805&lt;&gt;"",IFERROR(INDEX(nrCKfinalExamElig,MATCH($D805,rngCadetPIDs,0)),"")="No"),"FINAL EXAM AFTER FAILED FINAL PT (500.1.H)","OK")))))))</f>
        <v/>
      </c>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IF($C806="","",IF($K806="","",IF(COUNTIFS(nrES_PID,$D806,nrES_Code,$F806,nrES_Att,"&gt;"&amp;$K806,nrES_Raw,"&gt;=0")=0,"Yes","No")))</f>
        <v/>
      </c>
      <c r="Q806" s="17">
        <f>IF($C806="","",IF($L806="","",IF(AND($K806=1,ISNUMBER($L806),$L806&lt;$J806,COUNTIFS(nrES_PID,$D806,nrES_Code,$F806,nrES_Att,2,nrES_Raw,"&gt;=0")=0),"Yes","No")))</f>
        <v/>
      </c>
      <c r="R806" s="17">
        <f>IF($C806="","",IF($L806="","",IF(AND($K806=2,ISNUMBER($L806),$L806&lt;$J806),"Yes","No")))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OR($C806="",$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RANGE",IF(COUNTIF(nrES_RecID,$B806)&gt;1,"DUPLICATE RECORD",IF(AND($K806=2,COUNTIFS(nrES_PID,$D806,nrES_Code,$F806,nrES_Att,1)=0),"ATTEMPT 2 WITHOUT ATTEMPT 1",IF(AND($K806=2,$L806=""),"RETEST ROW HAS NO SCORE",IF(AND($H806="Final",$L806&lt;&gt;"",IFERROR(INDEX(nrCKfinalExamElig,MATCH($D806,rngCadetPIDs,0)),"")="No"),"FINAL EXAM AFTER FAILED FINAL PT (500.1.H)","OK")))))))</f>
        <v/>
      </c>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IF($C807="","",IF($K807="","",IF(COUNTIFS(nrES_PID,$D807,nrES_Code,$F807,nrES_Att,"&gt;"&amp;$K807,nrES_Raw,"&gt;=0")=0,"Yes","No")))</f>
        <v/>
      </c>
      <c r="Q807" s="17">
        <f>IF($C807="","",IF($L807="","",IF(AND($K807=1,ISNUMBER($L807),$L807&lt;$J807,COUNTIFS(nrES_PID,$D807,nrES_Code,$F807,nrES_Att,2,nrES_Raw,"&gt;=0")=0),"Yes","No")))</f>
        <v/>
      </c>
      <c r="R807" s="17">
        <f>IF($C807="","",IF($L807="","",IF(AND($K807=2,ISNUMBER($L807),$L807&lt;$J807),"Yes","No")))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OR($C807="",$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RANGE",IF(COUNTIF(nrES_RecID,$B807)&gt;1,"DUPLICATE RECORD",IF(AND($K807=2,COUNTIFS(nrES_PID,$D807,nrES_Code,$F807,nrES_Att,1)=0),"ATTEMPT 2 WITHOUT ATTEMPT 1",IF(AND($K807=2,$L807=""),"RETEST ROW HAS NO SCORE",IF(AND($H807="Final",$L807&lt;&gt;"",IFERROR(INDEX(nrCKfinalExamElig,MATCH($D807,rngCadetPIDs,0)),"")="No"),"FINAL EXAM AFTER FAILED FINAL PT (500.1.H)","OK")))))))</f>
        <v/>
      </c>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IF($C808="","",IF($K808="","",IF(COUNTIFS(nrES_PID,$D808,nrES_Code,$F808,nrES_Att,"&gt;"&amp;$K808,nrES_Raw,"&gt;=0")=0,"Yes","No")))</f>
        <v/>
      </c>
      <c r="Q808" s="17">
        <f>IF($C808="","",IF($L808="","",IF(AND($K808=1,ISNUMBER($L808),$L808&lt;$J808,COUNTIFS(nrES_PID,$D808,nrES_Code,$F808,nrES_Att,2,nrES_Raw,"&gt;=0")=0),"Yes","No")))</f>
        <v/>
      </c>
      <c r="R808" s="17">
        <f>IF($C808="","",IF($L808="","",IF(AND($K808=2,ISNUMBER($L808),$L808&lt;$J808),"Yes","No")))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OR($C808="",$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RANGE",IF(COUNTIF(nrES_RecID,$B808)&gt;1,"DUPLICATE RECORD",IF(AND($K808=2,COUNTIFS(nrES_PID,$D808,nrES_Code,$F808,nrES_Att,1)=0),"ATTEMPT 2 WITHOUT ATTEMPT 1",IF(AND($K808=2,$L808=""),"RETEST ROW HAS NO SCORE",IF(AND($H808="Final",$L808&lt;&gt;"",IFERROR(INDEX(nrCKfinalExamElig,MATCH($D808,rngCadetPIDs,0)),"")="No"),"FINAL EXAM AFTER FAILED FINAL PT (500.1.H)","OK")))))))</f>
        <v/>
      </c>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IF($C809="","",IF($K809="","",IF(COUNTIFS(nrES_PID,$D809,nrES_Code,$F809,nrES_Att,"&gt;"&amp;$K809,nrES_Raw,"&gt;=0")=0,"Yes","No")))</f>
        <v/>
      </c>
      <c r="Q809" s="17">
        <f>IF($C809="","",IF($L809="","",IF(AND($K809=1,ISNUMBER($L809),$L809&lt;$J809,COUNTIFS(nrES_PID,$D809,nrES_Code,$F809,nrES_Att,2,nrES_Raw,"&gt;=0")=0),"Yes","No")))</f>
        <v/>
      </c>
      <c r="R809" s="17">
        <f>IF($C809="","",IF($L809="","",IF(AND($K809=2,ISNUMBER($L809),$L809&lt;$J809),"Yes","No")))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OR($C809="",$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RANGE",IF(COUNTIF(nrES_RecID,$B809)&gt;1,"DUPLICATE RECORD",IF(AND($K809=2,COUNTIFS(nrES_PID,$D809,nrES_Code,$F809,nrES_Att,1)=0),"ATTEMPT 2 WITHOUT ATTEMPT 1",IF(AND($K809=2,$L809=""),"RETEST ROW HAS NO SCORE",IF(AND($H809="Final",$L809&lt;&gt;"",IFERROR(INDEX(nrCKfinalExamElig,MATCH($D809,rngCadetPIDs,0)),"")="No"),"FINAL EXAM AFTER FAILED FINAL PT (500.1.H)","OK")))))))</f>
        <v/>
      </c>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IF($C810="","",IF($K810="","",IF(COUNTIFS(nrES_PID,$D810,nrES_Code,$F810,nrES_Att,"&gt;"&amp;$K810,nrES_Raw,"&gt;=0")=0,"Yes","No")))</f>
        <v/>
      </c>
      <c r="Q810" s="17">
        <f>IF($C810="","",IF($L810="","",IF(AND($K810=1,ISNUMBER($L810),$L810&lt;$J810,COUNTIFS(nrES_PID,$D810,nrES_Code,$F810,nrES_Att,2,nrES_Raw,"&gt;=0")=0),"Yes","No")))</f>
        <v/>
      </c>
      <c r="R810" s="17">
        <f>IF($C810="","",IF($L810="","",IF(AND($K810=2,ISNUMBER($L810),$L810&lt;$J810),"Yes","No")))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OR($C810="",$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RANGE",IF(COUNTIF(nrES_RecID,$B810)&gt;1,"DUPLICATE RECORD",IF(AND($K810=2,COUNTIFS(nrES_PID,$D810,nrES_Code,$F810,nrES_Att,1)=0),"ATTEMPT 2 WITHOUT ATTEMPT 1",IF(AND($K810=2,$L810=""),"RETEST ROW HAS NO SCORE",IF(AND($H810="Final",$L810&lt;&gt;"",IFERROR(INDEX(nrCKfinalExamElig,MATCH($D810,rngCadetPIDs,0)),"")="No"),"FINAL EXAM AFTER FAILED FINAL PT (500.1.H)","OK")))))))</f>
        <v/>
      </c>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IF($C811="","",IF($K811="","",IF(COUNTIFS(nrES_PID,$D811,nrES_Code,$F811,nrES_Att,"&gt;"&amp;$K811,nrES_Raw,"&gt;=0")=0,"Yes","No")))</f>
        <v/>
      </c>
      <c r="Q811" s="17">
        <f>IF($C811="","",IF($L811="","",IF(AND($K811=1,ISNUMBER($L811),$L811&lt;$J811,COUNTIFS(nrES_PID,$D811,nrES_Code,$F811,nrES_Att,2,nrES_Raw,"&gt;=0")=0),"Yes","No")))</f>
        <v/>
      </c>
      <c r="R811" s="17">
        <f>IF($C811="","",IF($L811="","",IF(AND($K811=2,ISNUMBER($L811),$L811&lt;$J811),"Yes","No")))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OR($C811="",$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RANGE",IF(COUNTIF(nrES_RecID,$B811)&gt;1,"DUPLICATE RECORD",IF(AND($K811=2,COUNTIFS(nrES_PID,$D811,nrES_Code,$F811,nrES_Att,1)=0),"ATTEMPT 2 WITHOUT ATTEMPT 1",IF(AND($K811=2,$L811=""),"RETEST ROW HAS NO SCORE",IF(AND($H811="Final",$L811&lt;&gt;"",IFERROR(INDEX(nrCKfinalExamElig,MATCH($D811,rngCadetPIDs,0)),"")="No"),"FINAL EXAM AFTER FAILED FINAL PT (500.1.H)","OK")))))))</f>
        <v/>
      </c>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IF($C812="","",IF($K812="","",IF(COUNTIFS(nrES_PID,$D812,nrES_Code,$F812,nrES_Att,"&gt;"&amp;$K812,nrES_Raw,"&gt;=0")=0,"Yes","No")))</f>
        <v/>
      </c>
      <c r="Q812" s="17">
        <f>IF($C812="","",IF($L812="","",IF(AND($K812=1,ISNUMBER($L812),$L812&lt;$J812,COUNTIFS(nrES_PID,$D812,nrES_Code,$F812,nrES_Att,2,nrES_Raw,"&gt;=0")=0),"Yes","No")))</f>
        <v/>
      </c>
      <c r="R812" s="17">
        <f>IF($C812="","",IF($L812="","",IF(AND($K812=2,ISNUMBER($L812),$L812&lt;$J812),"Yes","No")))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OR($C812="",$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RANGE",IF(COUNTIF(nrES_RecID,$B812)&gt;1,"DUPLICATE RECORD",IF(AND($K812=2,COUNTIFS(nrES_PID,$D812,nrES_Code,$F812,nrES_Att,1)=0),"ATTEMPT 2 WITHOUT ATTEMPT 1",IF(AND($K812=2,$L812=""),"RETEST ROW HAS NO SCORE",IF(AND($H812="Final",$L812&lt;&gt;"",IFERROR(INDEX(nrCKfinalExamElig,MATCH($D812,rngCadetPIDs,0)),"")="No"),"FINAL EXAM AFTER FAILED FINAL PT (500.1.H)","OK")))))))</f>
        <v/>
      </c>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IF($C813="","",IF($K813="","",IF(COUNTIFS(nrES_PID,$D813,nrES_Code,$F813,nrES_Att,"&gt;"&amp;$K813,nrES_Raw,"&gt;=0")=0,"Yes","No")))</f>
        <v/>
      </c>
      <c r="Q813" s="17">
        <f>IF($C813="","",IF($L813="","",IF(AND($K813=1,ISNUMBER($L813),$L813&lt;$J813,COUNTIFS(nrES_PID,$D813,nrES_Code,$F813,nrES_Att,2,nrES_Raw,"&gt;=0")=0),"Yes","No")))</f>
        <v/>
      </c>
      <c r="R813" s="17">
        <f>IF($C813="","",IF($L813="","",IF(AND($K813=2,ISNUMBER($L813),$L813&lt;$J813),"Yes","No")))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OR($C813="",$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RANGE",IF(COUNTIF(nrES_RecID,$B813)&gt;1,"DUPLICATE RECORD",IF(AND($K813=2,COUNTIFS(nrES_PID,$D813,nrES_Code,$F813,nrES_Att,1)=0),"ATTEMPT 2 WITHOUT ATTEMPT 1",IF(AND($K813=2,$L813=""),"RETEST ROW HAS NO SCORE",IF(AND($H813="Final",$L813&lt;&gt;"",IFERROR(INDEX(nrCKfinalExamElig,MATCH($D813,rngCadetPIDs,0)),"")="No"),"FINAL EXAM AFTER FAILED FINAL PT (500.1.H)","OK")))))))</f>
        <v/>
      </c>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IF($C814="","",IF($K814="","",IF(COUNTIFS(nrES_PID,$D814,nrES_Code,$F814,nrES_Att,"&gt;"&amp;$K814,nrES_Raw,"&gt;=0")=0,"Yes","No")))</f>
        <v/>
      </c>
      <c r="Q814" s="17">
        <f>IF($C814="","",IF($L814="","",IF(AND($K814=1,ISNUMBER($L814),$L814&lt;$J814,COUNTIFS(nrES_PID,$D814,nrES_Code,$F814,nrES_Att,2,nrES_Raw,"&gt;=0")=0),"Yes","No")))</f>
        <v/>
      </c>
      <c r="R814" s="17">
        <f>IF($C814="","",IF($L814="","",IF(AND($K814=2,ISNUMBER($L814),$L814&lt;$J814),"Yes","No")))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OR($C814="",$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RANGE",IF(COUNTIF(nrES_RecID,$B814)&gt;1,"DUPLICATE RECORD",IF(AND($K814=2,COUNTIFS(nrES_PID,$D814,nrES_Code,$F814,nrES_Att,1)=0),"ATTEMPT 2 WITHOUT ATTEMPT 1",IF(AND($K814=2,$L814=""),"RETEST ROW HAS NO SCORE",IF(AND($H814="Final",$L814&lt;&gt;"",IFERROR(INDEX(nrCKfinalExamElig,MATCH($D814,rngCadetPIDs,0)),"")="No"),"FINAL EXAM AFTER FAILED FINAL PT (500.1.H)","OK")))))))</f>
        <v/>
      </c>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IF($C815="","",IF($K815="","",IF(COUNTIFS(nrES_PID,$D815,nrES_Code,$F815,nrES_Att,"&gt;"&amp;$K815,nrES_Raw,"&gt;=0")=0,"Yes","No")))</f>
        <v/>
      </c>
      <c r="Q815" s="17">
        <f>IF($C815="","",IF($L815="","",IF(AND($K815=1,ISNUMBER($L815),$L815&lt;$J815,COUNTIFS(nrES_PID,$D815,nrES_Code,$F815,nrES_Att,2,nrES_Raw,"&gt;=0")=0),"Yes","No")))</f>
        <v/>
      </c>
      <c r="R815" s="17">
        <f>IF($C815="","",IF($L815="","",IF(AND($K815=2,ISNUMBER($L815),$L815&lt;$J815),"Yes","No")))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OR($C815="",$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RANGE",IF(COUNTIF(nrES_RecID,$B815)&gt;1,"DUPLICATE RECORD",IF(AND($K815=2,COUNTIFS(nrES_PID,$D815,nrES_Code,$F815,nrES_Att,1)=0),"ATTEMPT 2 WITHOUT ATTEMPT 1",IF(AND($K815=2,$L815=""),"RETEST ROW HAS NO SCORE",IF(AND($H815="Final",$L815&lt;&gt;"",IFERROR(INDEX(nrCKfinalExamElig,MATCH($D815,rngCadetPIDs,0)),"")="No"),"FINAL EXAM AFTER FAILED FINAL PT (500.1.H)","OK")))))))</f>
        <v/>
      </c>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IF($C816="","",IF($K816="","",IF(COUNTIFS(nrES_PID,$D816,nrES_Code,$F816,nrES_Att,"&gt;"&amp;$K816,nrES_Raw,"&gt;=0")=0,"Yes","No")))</f>
        <v/>
      </c>
      <c r="Q816" s="17">
        <f>IF($C816="","",IF($L816="","",IF(AND($K816=1,ISNUMBER($L816),$L816&lt;$J816,COUNTIFS(nrES_PID,$D816,nrES_Code,$F816,nrES_Att,2,nrES_Raw,"&gt;=0")=0),"Yes","No")))</f>
        <v/>
      </c>
      <c r="R816" s="17">
        <f>IF($C816="","",IF($L816="","",IF(AND($K816=2,ISNUMBER($L816),$L816&lt;$J816),"Yes","No")))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OR($C816="",$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RANGE",IF(COUNTIF(nrES_RecID,$B816)&gt;1,"DUPLICATE RECORD",IF(AND($K816=2,COUNTIFS(nrES_PID,$D816,nrES_Code,$F816,nrES_Att,1)=0),"ATTEMPT 2 WITHOUT ATTEMPT 1",IF(AND($K816=2,$L816=""),"RETEST ROW HAS NO SCORE",IF(AND($H816="Final",$L816&lt;&gt;"",IFERROR(INDEX(nrCKfinalExamElig,MATCH($D816,rngCadetPIDs,0)),"")="No"),"FINAL EXAM AFTER FAILED FINAL PT (500.1.H)","OK")))))))</f>
        <v/>
      </c>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IF($C817="","",IF($K817="","",IF(COUNTIFS(nrES_PID,$D817,nrES_Code,$F817,nrES_Att,"&gt;"&amp;$K817,nrES_Raw,"&gt;=0")=0,"Yes","No")))</f>
        <v/>
      </c>
      <c r="Q817" s="17">
        <f>IF($C817="","",IF($L817="","",IF(AND($K817=1,ISNUMBER($L817),$L817&lt;$J817,COUNTIFS(nrES_PID,$D817,nrES_Code,$F817,nrES_Att,2,nrES_Raw,"&gt;=0")=0),"Yes","No")))</f>
        <v/>
      </c>
      <c r="R817" s="17">
        <f>IF($C817="","",IF($L817="","",IF(AND($K817=2,ISNUMBER($L817),$L817&lt;$J817),"Yes","No")))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OR($C817="",$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RANGE",IF(COUNTIF(nrES_RecID,$B817)&gt;1,"DUPLICATE RECORD",IF(AND($K817=2,COUNTIFS(nrES_PID,$D817,nrES_Code,$F817,nrES_Att,1)=0),"ATTEMPT 2 WITHOUT ATTEMPT 1",IF(AND($K817=2,$L817=""),"RETEST ROW HAS NO SCORE",IF(AND($H817="Final",$L817&lt;&gt;"",IFERROR(INDEX(nrCKfinalExamElig,MATCH($D817,rngCadetPIDs,0)),"")="No"),"FINAL EXAM AFTER FAILED FINAL PT (500.1.H)","OK")))))))</f>
        <v/>
      </c>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IF($C818="","",IF($K818="","",IF(COUNTIFS(nrES_PID,$D818,nrES_Code,$F818,nrES_Att,"&gt;"&amp;$K818,nrES_Raw,"&gt;=0")=0,"Yes","No")))</f>
        <v/>
      </c>
      <c r="Q818" s="17">
        <f>IF($C818="","",IF($L818="","",IF(AND($K818=1,ISNUMBER($L818),$L818&lt;$J818,COUNTIFS(nrES_PID,$D818,nrES_Code,$F818,nrES_Att,2,nrES_Raw,"&gt;=0")=0),"Yes","No")))</f>
        <v/>
      </c>
      <c r="R818" s="17">
        <f>IF($C818="","",IF($L818="","",IF(AND($K818=2,ISNUMBER($L818),$L818&lt;$J818),"Yes","No")))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OR($C818="",$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RANGE",IF(COUNTIF(nrES_RecID,$B818)&gt;1,"DUPLICATE RECORD",IF(AND($K818=2,COUNTIFS(nrES_PID,$D818,nrES_Code,$F818,nrES_Att,1)=0),"ATTEMPT 2 WITHOUT ATTEMPT 1",IF(AND($K818=2,$L818=""),"RETEST ROW HAS NO SCORE",IF(AND($H818="Final",$L818&lt;&gt;"",IFERROR(INDEX(nrCKfinalExamElig,MATCH($D818,rngCadetPIDs,0)),"")="No"),"FINAL EXAM AFTER FAILED FINAL PT (500.1.H)","OK")))))))</f>
        <v/>
      </c>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IF($C819="","",IF($K819="","",IF(COUNTIFS(nrES_PID,$D819,nrES_Code,$F819,nrES_Att,"&gt;"&amp;$K819,nrES_Raw,"&gt;=0")=0,"Yes","No")))</f>
        <v/>
      </c>
      <c r="Q819" s="17">
        <f>IF($C819="","",IF($L819="","",IF(AND($K819=1,ISNUMBER($L819),$L819&lt;$J819,COUNTIFS(nrES_PID,$D819,nrES_Code,$F819,nrES_Att,2,nrES_Raw,"&gt;=0")=0),"Yes","No")))</f>
        <v/>
      </c>
      <c r="R819" s="17">
        <f>IF($C819="","",IF($L819="","",IF(AND($K819=2,ISNUMBER($L819),$L819&lt;$J819),"Yes","No")))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OR($C819="",$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RANGE",IF(COUNTIF(nrES_RecID,$B819)&gt;1,"DUPLICATE RECORD",IF(AND($K819=2,COUNTIFS(nrES_PID,$D819,nrES_Code,$F819,nrES_Att,1)=0),"ATTEMPT 2 WITHOUT ATTEMPT 1",IF(AND($K819=2,$L819=""),"RETEST ROW HAS NO SCORE",IF(AND($H819="Final",$L819&lt;&gt;"",IFERROR(INDEX(nrCKfinalExamElig,MATCH($D819,rngCadetPIDs,0)),"")="No"),"FINAL EXAM AFTER FAILED FINAL PT (500.1.H)","OK")))))))</f>
        <v/>
      </c>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IF($C820="","",IF($K820="","",IF(COUNTIFS(nrES_PID,$D820,nrES_Code,$F820,nrES_Att,"&gt;"&amp;$K820,nrES_Raw,"&gt;=0")=0,"Yes","No")))</f>
        <v/>
      </c>
      <c r="Q820" s="17">
        <f>IF($C820="","",IF($L820="","",IF(AND($K820=1,ISNUMBER($L820),$L820&lt;$J820,COUNTIFS(nrES_PID,$D820,nrES_Code,$F820,nrES_Att,2,nrES_Raw,"&gt;=0")=0),"Yes","No")))</f>
        <v/>
      </c>
      <c r="R820" s="17">
        <f>IF($C820="","",IF($L820="","",IF(AND($K820=2,ISNUMBER($L820),$L820&lt;$J820),"Yes","No")))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OR($C820="",$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RANGE",IF(COUNTIF(nrES_RecID,$B820)&gt;1,"DUPLICATE RECORD",IF(AND($K820=2,COUNTIFS(nrES_PID,$D820,nrES_Code,$F820,nrES_Att,1)=0),"ATTEMPT 2 WITHOUT ATTEMPT 1",IF(AND($K820=2,$L820=""),"RETEST ROW HAS NO SCORE",IF(AND($H820="Final",$L820&lt;&gt;"",IFERROR(INDEX(nrCKfinalExamElig,MATCH($D820,rngCadetPIDs,0)),"")="No"),"FINAL EXAM AFTER FAILED FINAL PT (500.1.H)","OK")))))))</f>
        <v/>
      </c>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IF($C821="","",IF($K821="","",IF(COUNTIFS(nrES_PID,$D821,nrES_Code,$F821,nrES_Att,"&gt;"&amp;$K821,nrES_Raw,"&gt;=0")=0,"Yes","No")))</f>
        <v/>
      </c>
      <c r="Q821" s="17">
        <f>IF($C821="","",IF($L821="","",IF(AND($K821=1,ISNUMBER($L821),$L821&lt;$J821,COUNTIFS(nrES_PID,$D821,nrES_Code,$F821,nrES_Att,2,nrES_Raw,"&gt;=0")=0),"Yes","No")))</f>
        <v/>
      </c>
      <c r="R821" s="17">
        <f>IF($C821="","",IF($L821="","",IF(AND($K821=2,ISNUMBER($L821),$L821&lt;$J821),"Yes","No")))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OR($C821="",$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RANGE",IF(COUNTIF(nrES_RecID,$B821)&gt;1,"DUPLICATE RECORD",IF(AND($K821=2,COUNTIFS(nrES_PID,$D821,nrES_Code,$F821,nrES_Att,1)=0),"ATTEMPT 2 WITHOUT ATTEMPT 1",IF(AND($K821=2,$L821=""),"RETEST ROW HAS NO SCORE",IF(AND($H821="Final",$L821&lt;&gt;"",IFERROR(INDEX(nrCKfinalExamElig,MATCH($D821,rngCadetPIDs,0)),"")="No"),"FINAL EXAM AFTER FAILED FINAL PT (500.1.H)","OK")))))))</f>
        <v/>
      </c>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IF($C822="","",IF($K822="","",IF(COUNTIFS(nrES_PID,$D822,nrES_Code,$F822,nrES_Att,"&gt;"&amp;$K822,nrES_Raw,"&gt;=0")=0,"Yes","No")))</f>
        <v/>
      </c>
      <c r="Q822" s="17">
        <f>IF($C822="","",IF($L822="","",IF(AND($K822=1,ISNUMBER($L822),$L822&lt;$J822,COUNTIFS(nrES_PID,$D822,nrES_Code,$F822,nrES_Att,2,nrES_Raw,"&gt;=0")=0),"Yes","No")))</f>
        <v/>
      </c>
      <c r="R822" s="17">
        <f>IF($C822="","",IF($L822="","",IF(AND($K822=2,ISNUMBER($L822),$L822&lt;$J822),"Yes","No")))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OR($C822="",$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RANGE",IF(COUNTIF(nrES_RecID,$B822)&gt;1,"DUPLICATE RECORD",IF(AND($K822=2,COUNTIFS(nrES_PID,$D822,nrES_Code,$F822,nrES_Att,1)=0),"ATTEMPT 2 WITHOUT ATTEMPT 1",IF(AND($K822=2,$L822=""),"RETEST ROW HAS NO SCORE",IF(AND($H822="Final",$L822&lt;&gt;"",IFERROR(INDEX(nrCKfinalExamElig,MATCH($D822,rngCadetPIDs,0)),"")="No"),"FINAL EXAM AFTER FAILED FINAL PT (500.1.H)","OK")))))))</f>
        <v/>
      </c>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IF($C823="","",IF($K823="","",IF(COUNTIFS(nrES_PID,$D823,nrES_Code,$F823,nrES_Att,"&gt;"&amp;$K823,nrES_Raw,"&gt;=0")=0,"Yes","No")))</f>
        <v/>
      </c>
      <c r="Q823" s="17">
        <f>IF($C823="","",IF($L823="","",IF(AND($K823=1,ISNUMBER($L823),$L823&lt;$J823,COUNTIFS(nrES_PID,$D823,nrES_Code,$F823,nrES_Att,2,nrES_Raw,"&gt;=0")=0),"Yes","No")))</f>
        <v/>
      </c>
      <c r="R823" s="17">
        <f>IF($C823="","",IF($L823="","",IF(AND($K823=2,ISNUMBER($L823),$L823&lt;$J823),"Yes","No")))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OR($C823="",$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RANGE",IF(COUNTIF(nrES_RecID,$B823)&gt;1,"DUPLICATE RECORD",IF(AND($K823=2,COUNTIFS(nrES_PID,$D823,nrES_Code,$F823,nrES_Att,1)=0),"ATTEMPT 2 WITHOUT ATTEMPT 1",IF(AND($K823=2,$L823=""),"RETEST ROW HAS NO SCORE",IF(AND($H823="Final",$L823&lt;&gt;"",IFERROR(INDEX(nrCKfinalExamElig,MATCH($D823,rngCadetPIDs,0)),"")="No"),"FINAL EXAM AFTER FAILED FINAL PT (500.1.H)","OK")))))))</f>
        <v/>
      </c>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IF($C824="","",IF($K824="","",IF(COUNTIFS(nrES_PID,$D824,nrES_Code,$F824,nrES_Att,"&gt;"&amp;$K824,nrES_Raw,"&gt;=0")=0,"Yes","No")))</f>
        <v/>
      </c>
      <c r="Q824" s="17">
        <f>IF($C824="","",IF($L824="","",IF(AND($K824=1,ISNUMBER($L824),$L824&lt;$J824,COUNTIFS(nrES_PID,$D824,nrES_Code,$F824,nrES_Att,2,nrES_Raw,"&gt;=0")=0),"Yes","No")))</f>
        <v/>
      </c>
      <c r="R824" s="17">
        <f>IF($C824="","",IF($L824="","",IF(AND($K824=2,ISNUMBER($L824),$L824&lt;$J824),"Yes","No")))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OR($C824="",$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RANGE",IF(COUNTIF(nrES_RecID,$B824)&gt;1,"DUPLICATE RECORD",IF(AND($K824=2,COUNTIFS(nrES_PID,$D824,nrES_Code,$F824,nrES_Att,1)=0),"ATTEMPT 2 WITHOUT ATTEMPT 1",IF(AND($K824=2,$L824=""),"RETEST ROW HAS NO SCORE",IF(AND($H824="Final",$L824&lt;&gt;"",IFERROR(INDEX(nrCKfinalExamElig,MATCH($D824,rngCadetPIDs,0)),"")="No"),"FINAL EXAM AFTER FAILED FINAL PT (500.1.H)","OK")))))))</f>
        <v/>
      </c>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IF($C825="","",IF($K825="","",IF(COUNTIFS(nrES_PID,$D825,nrES_Code,$F825,nrES_Att,"&gt;"&amp;$K825,nrES_Raw,"&gt;=0")=0,"Yes","No")))</f>
        <v/>
      </c>
      <c r="Q825" s="17">
        <f>IF($C825="","",IF($L825="","",IF(AND($K825=1,ISNUMBER($L825),$L825&lt;$J825,COUNTIFS(nrES_PID,$D825,nrES_Code,$F825,nrES_Att,2,nrES_Raw,"&gt;=0")=0),"Yes","No")))</f>
        <v/>
      </c>
      <c r="R825" s="17">
        <f>IF($C825="","",IF($L825="","",IF(AND($K825=2,ISNUMBER($L825),$L825&lt;$J825),"Yes","No")))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OR($C825="",$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RANGE",IF(COUNTIF(nrES_RecID,$B825)&gt;1,"DUPLICATE RECORD",IF(AND($K825=2,COUNTIFS(nrES_PID,$D825,nrES_Code,$F825,nrES_Att,1)=0),"ATTEMPT 2 WITHOUT ATTEMPT 1",IF(AND($K825=2,$L825=""),"RETEST ROW HAS NO SCORE",IF(AND($H825="Final",$L825&lt;&gt;"",IFERROR(INDEX(nrCKfinalExamElig,MATCH($D825,rngCadetPIDs,0)),"")="No"),"FINAL EXAM AFTER FAILED FINAL PT (500.1.H)","OK")))))))</f>
        <v/>
      </c>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IF($C826="","",IF($K826="","",IF(COUNTIFS(nrES_PID,$D826,nrES_Code,$F826,nrES_Att,"&gt;"&amp;$K826,nrES_Raw,"&gt;=0")=0,"Yes","No")))</f>
        <v/>
      </c>
      <c r="Q826" s="17">
        <f>IF($C826="","",IF($L826="","",IF(AND($K826=1,ISNUMBER($L826),$L826&lt;$J826,COUNTIFS(nrES_PID,$D826,nrES_Code,$F826,nrES_Att,2,nrES_Raw,"&gt;=0")=0),"Yes","No")))</f>
        <v/>
      </c>
      <c r="R826" s="17">
        <f>IF($C826="","",IF($L826="","",IF(AND($K826=2,ISNUMBER($L826),$L826&lt;$J826),"Yes","No")))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OR($C826="",$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RANGE",IF(COUNTIF(nrES_RecID,$B826)&gt;1,"DUPLICATE RECORD",IF(AND($K826=2,COUNTIFS(nrES_PID,$D826,nrES_Code,$F826,nrES_Att,1)=0),"ATTEMPT 2 WITHOUT ATTEMPT 1",IF(AND($K826=2,$L826=""),"RETEST ROW HAS NO SCORE",IF(AND($H826="Final",$L826&lt;&gt;"",IFERROR(INDEX(nrCKfinalExamElig,MATCH($D826,rngCadetPIDs,0)),"")="No"),"FINAL EXAM AFTER FAILED FINAL PT (500.1.H)","OK")))))))</f>
        <v/>
      </c>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IF($C827="","",IF($K827="","",IF(COUNTIFS(nrES_PID,$D827,nrES_Code,$F827,nrES_Att,"&gt;"&amp;$K827,nrES_Raw,"&gt;=0")=0,"Yes","No")))</f>
        <v/>
      </c>
      <c r="Q827" s="17">
        <f>IF($C827="","",IF($L827="","",IF(AND($K827=1,ISNUMBER($L827),$L827&lt;$J827,COUNTIFS(nrES_PID,$D827,nrES_Code,$F827,nrES_Att,2,nrES_Raw,"&gt;=0")=0),"Yes","No")))</f>
        <v/>
      </c>
      <c r="R827" s="17">
        <f>IF($C827="","",IF($L827="","",IF(AND($K827=2,ISNUMBER($L827),$L827&lt;$J827),"Yes","No")))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OR($C827="",$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RANGE",IF(COUNTIF(nrES_RecID,$B827)&gt;1,"DUPLICATE RECORD",IF(AND($K827=2,COUNTIFS(nrES_PID,$D827,nrES_Code,$F827,nrES_Att,1)=0),"ATTEMPT 2 WITHOUT ATTEMPT 1",IF(AND($K827=2,$L827=""),"RETEST ROW HAS NO SCORE",IF(AND($H827="Final",$L827&lt;&gt;"",IFERROR(INDEX(nrCKfinalExamElig,MATCH($D827,rngCadetPIDs,0)),"")="No"),"FINAL EXAM AFTER FAILED FINAL PT (500.1.H)","OK")))))))</f>
        <v/>
      </c>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IF($C828="","",IF($K828="","",IF(COUNTIFS(nrES_PID,$D828,nrES_Code,$F828,nrES_Att,"&gt;"&amp;$K828,nrES_Raw,"&gt;=0")=0,"Yes","No")))</f>
        <v/>
      </c>
      <c r="Q828" s="17">
        <f>IF($C828="","",IF($L828="","",IF(AND($K828=1,ISNUMBER($L828),$L828&lt;$J828,COUNTIFS(nrES_PID,$D828,nrES_Code,$F828,nrES_Att,2,nrES_Raw,"&gt;=0")=0),"Yes","No")))</f>
        <v/>
      </c>
      <c r="R828" s="17">
        <f>IF($C828="","",IF($L828="","",IF(AND($K828=2,ISNUMBER($L828),$L828&lt;$J828),"Yes","No")))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OR($C828="",$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RANGE",IF(COUNTIF(nrES_RecID,$B828)&gt;1,"DUPLICATE RECORD",IF(AND($K828=2,COUNTIFS(nrES_PID,$D828,nrES_Code,$F828,nrES_Att,1)=0),"ATTEMPT 2 WITHOUT ATTEMPT 1",IF(AND($K828=2,$L828=""),"RETEST ROW HAS NO SCORE",IF(AND($H828="Final",$L828&lt;&gt;"",IFERROR(INDEX(nrCKfinalExamElig,MATCH($D828,rngCadetPIDs,0)),"")="No"),"FINAL EXAM AFTER FAILED FINAL PT (500.1.H)","OK")))))))</f>
        <v/>
      </c>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IF($C829="","",IF($K829="","",IF(COUNTIFS(nrES_PID,$D829,nrES_Code,$F829,nrES_Att,"&gt;"&amp;$K829,nrES_Raw,"&gt;=0")=0,"Yes","No")))</f>
        <v/>
      </c>
      <c r="Q829" s="17">
        <f>IF($C829="","",IF($L829="","",IF(AND($K829=1,ISNUMBER($L829),$L829&lt;$J829,COUNTIFS(nrES_PID,$D829,nrES_Code,$F829,nrES_Att,2,nrES_Raw,"&gt;=0")=0),"Yes","No")))</f>
        <v/>
      </c>
      <c r="R829" s="17">
        <f>IF($C829="","",IF($L829="","",IF(AND($K829=2,ISNUMBER($L829),$L829&lt;$J829),"Yes","No")))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OR($C829="",$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RANGE",IF(COUNTIF(nrES_RecID,$B829)&gt;1,"DUPLICATE RECORD",IF(AND($K829=2,COUNTIFS(nrES_PID,$D829,nrES_Code,$F829,nrES_Att,1)=0),"ATTEMPT 2 WITHOUT ATTEMPT 1",IF(AND($K829=2,$L829=""),"RETEST ROW HAS NO SCORE",IF(AND($H829="Final",$L829&lt;&gt;"",IFERROR(INDEX(nrCKfinalExamElig,MATCH($D829,rngCadetPIDs,0)),"")="No"),"FINAL EXAM AFTER FAILED FINAL PT (500.1.H)","OK")))))))</f>
        <v/>
      </c>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IF($C830="","",IF($K830="","",IF(COUNTIFS(nrES_PID,$D830,nrES_Code,$F830,nrES_Att,"&gt;"&amp;$K830,nrES_Raw,"&gt;=0")=0,"Yes","No")))</f>
        <v/>
      </c>
      <c r="Q830" s="17">
        <f>IF($C830="","",IF($L830="","",IF(AND($K830=1,ISNUMBER($L830),$L830&lt;$J830,COUNTIFS(nrES_PID,$D830,nrES_Code,$F830,nrES_Att,2,nrES_Raw,"&gt;=0")=0),"Yes","No")))</f>
        <v/>
      </c>
      <c r="R830" s="17">
        <f>IF($C830="","",IF($L830="","",IF(AND($K830=2,ISNUMBER($L830),$L830&lt;$J830),"Yes","No")))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OR($C830="",$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RANGE",IF(COUNTIF(nrES_RecID,$B830)&gt;1,"DUPLICATE RECORD",IF(AND($K830=2,COUNTIFS(nrES_PID,$D830,nrES_Code,$F830,nrES_Att,1)=0),"ATTEMPT 2 WITHOUT ATTEMPT 1",IF(AND($K830=2,$L830=""),"RETEST ROW HAS NO SCORE",IF(AND($H830="Final",$L830&lt;&gt;"",IFERROR(INDEX(nrCKfinalExamElig,MATCH($D830,rngCadetPIDs,0)),"")="No"),"FINAL EXAM AFTER FAILED FINAL PT (500.1.H)","OK")))))))</f>
        <v/>
      </c>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IF($C831="","",IF($K831="","",IF(COUNTIFS(nrES_PID,$D831,nrES_Code,$F831,nrES_Att,"&gt;"&amp;$K831,nrES_Raw,"&gt;=0")=0,"Yes","No")))</f>
        <v/>
      </c>
      <c r="Q831" s="17">
        <f>IF($C831="","",IF($L831="","",IF(AND($K831=1,ISNUMBER($L831),$L831&lt;$J831,COUNTIFS(nrES_PID,$D831,nrES_Code,$F831,nrES_Att,2,nrES_Raw,"&gt;=0")=0),"Yes","No")))</f>
        <v/>
      </c>
      <c r="R831" s="17">
        <f>IF($C831="","",IF($L831="","",IF(AND($K831=2,ISNUMBER($L831),$L831&lt;$J831),"Yes","No")))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OR($C831="",$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RANGE",IF(COUNTIF(nrES_RecID,$B831)&gt;1,"DUPLICATE RECORD",IF(AND($K831=2,COUNTIFS(nrES_PID,$D831,nrES_Code,$F831,nrES_Att,1)=0),"ATTEMPT 2 WITHOUT ATTEMPT 1",IF(AND($K831=2,$L831=""),"RETEST ROW HAS NO SCORE",IF(AND($H831="Final",$L831&lt;&gt;"",IFERROR(INDEX(nrCKfinalExamElig,MATCH($D831,rngCadetPIDs,0)),"")="No"),"FINAL EXAM AFTER FAILED FINAL PT (500.1.H)","OK")))))))</f>
        <v/>
      </c>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IF($C832="","",IF($K832="","",IF(COUNTIFS(nrES_PID,$D832,nrES_Code,$F832,nrES_Att,"&gt;"&amp;$K832,nrES_Raw,"&gt;=0")=0,"Yes","No")))</f>
        <v/>
      </c>
      <c r="Q832" s="17">
        <f>IF($C832="","",IF($L832="","",IF(AND($K832=1,ISNUMBER($L832),$L832&lt;$J832,COUNTIFS(nrES_PID,$D832,nrES_Code,$F832,nrES_Att,2,nrES_Raw,"&gt;=0")=0),"Yes","No")))</f>
        <v/>
      </c>
      <c r="R832" s="17">
        <f>IF($C832="","",IF($L832="","",IF(AND($K832=2,ISNUMBER($L832),$L832&lt;$J832),"Yes","No")))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OR($C832="",$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RANGE",IF(COUNTIF(nrES_RecID,$B832)&gt;1,"DUPLICATE RECORD",IF(AND($K832=2,COUNTIFS(nrES_PID,$D832,nrES_Code,$F832,nrES_Att,1)=0),"ATTEMPT 2 WITHOUT ATTEMPT 1",IF(AND($K832=2,$L832=""),"RETEST ROW HAS NO SCORE",IF(AND($H832="Final",$L832&lt;&gt;"",IFERROR(INDEX(nrCKfinalExamElig,MATCH($D832,rngCadetPIDs,0)),"")="No"),"FINAL EXAM AFTER FAILED FINAL PT (500.1.H)","OK")))))))</f>
        <v/>
      </c>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IF($C833="","",IF($K833="","",IF(COUNTIFS(nrES_PID,$D833,nrES_Code,$F833,nrES_Att,"&gt;"&amp;$K833,nrES_Raw,"&gt;=0")=0,"Yes","No")))</f>
        <v/>
      </c>
      <c r="Q833" s="17">
        <f>IF($C833="","",IF($L833="","",IF(AND($K833=1,ISNUMBER($L833),$L833&lt;$J833,COUNTIFS(nrES_PID,$D833,nrES_Code,$F833,nrES_Att,2,nrES_Raw,"&gt;=0")=0),"Yes","No")))</f>
        <v/>
      </c>
      <c r="R833" s="17">
        <f>IF($C833="","",IF($L833="","",IF(AND($K833=2,ISNUMBER($L833),$L833&lt;$J833),"Yes","No")))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OR($C833="",$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RANGE",IF(COUNTIF(nrES_RecID,$B833)&gt;1,"DUPLICATE RECORD",IF(AND($K833=2,COUNTIFS(nrES_PID,$D833,nrES_Code,$F833,nrES_Att,1)=0),"ATTEMPT 2 WITHOUT ATTEMPT 1",IF(AND($K833=2,$L833=""),"RETEST ROW HAS NO SCORE",IF(AND($H833="Final",$L833&lt;&gt;"",IFERROR(INDEX(nrCKfinalExamElig,MATCH($D833,rngCadetPIDs,0)),"")="No"),"FINAL EXAM AFTER FAILED FINAL PT (500.1.H)","OK")))))))</f>
        <v/>
      </c>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IF($C834="","",IF($K834="","",IF(COUNTIFS(nrES_PID,$D834,nrES_Code,$F834,nrES_Att,"&gt;"&amp;$K834,nrES_Raw,"&gt;=0")=0,"Yes","No")))</f>
        <v/>
      </c>
      <c r="Q834" s="17">
        <f>IF($C834="","",IF($L834="","",IF(AND($K834=1,ISNUMBER($L834),$L834&lt;$J834,COUNTIFS(nrES_PID,$D834,nrES_Code,$F834,nrES_Att,2,nrES_Raw,"&gt;=0")=0),"Yes","No")))</f>
        <v/>
      </c>
      <c r="R834" s="17">
        <f>IF($C834="","",IF($L834="","",IF(AND($K834=2,ISNUMBER($L834),$L834&lt;$J834),"Yes","No")))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OR($C834="",$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RANGE",IF(COUNTIF(nrES_RecID,$B834)&gt;1,"DUPLICATE RECORD",IF(AND($K834=2,COUNTIFS(nrES_PID,$D834,nrES_Code,$F834,nrES_Att,1)=0),"ATTEMPT 2 WITHOUT ATTEMPT 1",IF(AND($K834=2,$L834=""),"RETEST ROW HAS NO SCORE",IF(AND($H834="Final",$L834&lt;&gt;"",IFERROR(INDEX(nrCKfinalExamElig,MATCH($D834,rngCadetPIDs,0)),"")="No"),"FINAL EXAM AFTER FAILED FINAL PT (500.1.H)","OK")))))))</f>
        <v/>
      </c>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IF($C835="","",IF($K835="","",IF(COUNTIFS(nrES_PID,$D835,nrES_Code,$F835,nrES_Att,"&gt;"&amp;$K835,nrES_Raw,"&gt;=0")=0,"Yes","No")))</f>
        <v/>
      </c>
      <c r="Q835" s="17">
        <f>IF($C835="","",IF($L835="","",IF(AND($K835=1,ISNUMBER($L835),$L835&lt;$J835,COUNTIFS(nrES_PID,$D835,nrES_Code,$F835,nrES_Att,2,nrES_Raw,"&gt;=0")=0),"Yes","No")))</f>
        <v/>
      </c>
      <c r="R835" s="17">
        <f>IF($C835="","",IF($L835="","",IF(AND($K835=2,ISNUMBER($L835),$L835&lt;$J835),"Yes","No")))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OR($C835="",$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RANGE",IF(COUNTIF(nrES_RecID,$B835)&gt;1,"DUPLICATE RECORD",IF(AND($K835=2,COUNTIFS(nrES_PID,$D835,nrES_Code,$F835,nrES_Att,1)=0),"ATTEMPT 2 WITHOUT ATTEMPT 1",IF(AND($K835=2,$L835=""),"RETEST ROW HAS NO SCORE",IF(AND($H835="Final",$L835&lt;&gt;"",IFERROR(INDEX(nrCKfinalExamElig,MATCH($D835,rngCadetPIDs,0)),"")="No"),"FINAL EXAM AFTER FAILED FINAL PT (500.1.H)","OK")))))))</f>
        <v/>
      </c>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IF($C836="","",IF($K836="","",IF(COUNTIFS(nrES_PID,$D836,nrES_Code,$F836,nrES_Att,"&gt;"&amp;$K836,nrES_Raw,"&gt;=0")=0,"Yes","No")))</f>
        <v/>
      </c>
      <c r="Q836" s="17">
        <f>IF($C836="","",IF($L836="","",IF(AND($K836=1,ISNUMBER($L836),$L836&lt;$J836,COUNTIFS(nrES_PID,$D836,nrES_Code,$F836,nrES_Att,2,nrES_Raw,"&gt;=0")=0),"Yes","No")))</f>
        <v/>
      </c>
      <c r="R836" s="17">
        <f>IF($C836="","",IF($L836="","",IF(AND($K836=2,ISNUMBER($L836),$L836&lt;$J836),"Yes","No")))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OR($C836="",$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RANGE",IF(COUNTIF(nrES_RecID,$B836)&gt;1,"DUPLICATE RECORD",IF(AND($K836=2,COUNTIFS(nrES_PID,$D836,nrES_Code,$F836,nrES_Att,1)=0),"ATTEMPT 2 WITHOUT ATTEMPT 1",IF(AND($K836=2,$L836=""),"RETEST ROW HAS NO SCORE",IF(AND($H836="Final",$L836&lt;&gt;"",IFERROR(INDEX(nrCKfinalExamElig,MATCH($D836,rngCadetPIDs,0)),"")="No"),"FINAL EXAM AFTER FAILED FINAL PT (500.1.H)","OK")))))))</f>
        <v/>
      </c>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IF($C837="","",IF($K837="","",IF(COUNTIFS(nrES_PID,$D837,nrES_Code,$F837,nrES_Att,"&gt;"&amp;$K837,nrES_Raw,"&gt;=0")=0,"Yes","No")))</f>
        <v/>
      </c>
      <c r="Q837" s="17">
        <f>IF($C837="","",IF($L837="","",IF(AND($K837=1,ISNUMBER($L837),$L837&lt;$J837,COUNTIFS(nrES_PID,$D837,nrES_Code,$F837,nrES_Att,2,nrES_Raw,"&gt;=0")=0),"Yes","No")))</f>
        <v/>
      </c>
      <c r="R837" s="17">
        <f>IF($C837="","",IF($L837="","",IF(AND($K837=2,ISNUMBER($L837),$L837&lt;$J837),"Yes","No")))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OR($C837="",$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RANGE",IF(COUNTIF(nrES_RecID,$B837)&gt;1,"DUPLICATE RECORD",IF(AND($K837=2,COUNTIFS(nrES_PID,$D837,nrES_Code,$F837,nrES_Att,1)=0),"ATTEMPT 2 WITHOUT ATTEMPT 1",IF(AND($K837=2,$L837=""),"RETEST ROW HAS NO SCORE",IF(AND($H837="Final",$L837&lt;&gt;"",IFERROR(INDEX(nrCKfinalExamElig,MATCH($D837,rngCadetPIDs,0)),"")="No"),"FINAL EXAM AFTER FAILED FINAL PT (500.1.H)","OK")))))))</f>
        <v/>
      </c>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IF($C838="","",IF($K838="","",IF(COUNTIFS(nrES_PID,$D838,nrES_Code,$F838,nrES_Att,"&gt;"&amp;$K838,nrES_Raw,"&gt;=0")=0,"Yes","No")))</f>
        <v/>
      </c>
      <c r="Q838" s="17">
        <f>IF($C838="","",IF($L838="","",IF(AND($K838=1,ISNUMBER($L838),$L838&lt;$J838,COUNTIFS(nrES_PID,$D838,nrES_Code,$F838,nrES_Att,2,nrES_Raw,"&gt;=0")=0),"Yes","No")))</f>
        <v/>
      </c>
      <c r="R838" s="17">
        <f>IF($C838="","",IF($L838="","",IF(AND($K838=2,ISNUMBER($L838),$L838&lt;$J838),"Yes","No")))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OR($C838="",$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RANGE",IF(COUNTIF(nrES_RecID,$B838)&gt;1,"DUPLICATE RECORD",IF(AND($K838=2,COUNTIFS(nrES_PID,$D838,nrES_Code,$F838,nrES_Att,1)=0),"ATTEMPT 2 WITHOUT ATTEMPT 1",IF(AND($K838=2,$L838=""),"RETEST ROW HAS NO SCORE",IF(AND($H838="Final",$L838&lt;&gt;"",IFERROR(INDEX(nrCKfinalExamElig,MATCH($D838,rngCadetPIDs,0)),"")="No"),"FINAL EXAM AFTER FAILED FINAL PT (500.1.H)","OK")))))))</f>
        <v/>
      </c>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IF($C839="","",IF($K839="","",IF(COUNTIFS(nrES_PID,$D839,nrES_Code,$F839,nrES_Att,"&gt;"&amp;$K839,nrES_Raw,"&gt;=0")=0,"Yes","No")))</f>
        <v/>
      </c>
      <c r="Q839" s="17">
        <f>IF($C839="","",IF($L839="","",IF(AND($K839=1,ISNUMBER($L839),$L839&lt;$J839,COUNTIFS(nrES_PID,$D839,nrES_Code,$F839,nrES_Att,2,nrES_Raw,"&gt;=0")=0),"Yes","No")))</f>
        <v/>
      </c>
      <c r="R839" s="17">
        <f>IF($C839="","",IF($L839="","",IF(AND($K839=2,ISNUMBER($L839),$L839&lt;$J839),"Yes","No")))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OR($C839="",$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RANGE",IF(COUNTIF(nrES_RecID,$B839)&gt;1,"DUPLICATE RECORD",IF(AND($K839=2,COUNTIFS(nrES_PID,$D839,nrES_Code,$F839,nrES_Att,1)=0),"ATTEMPT 2 WITHOUT ATTEMPT 1",IF(AND($K839=2,$L839=""),"RETEST ROW HAS NO SCORE",IF(AND($H839="Final",$L839&lt;&gt;"",IFERROR(INDEX(nrCKfinalExamElig,MATCH($D839,rngCadetPIDs,0)),"")="No"),"FINAL EXAM AFTER FAILED FINAL PT (500.1.H)","OK")))))))</f>
        <v/>
      </c>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IF($C840="","",IF($K840="","",IF(COUNTIFS(nrES_PID,$D840,nrES_Code,$F840,nrES_Att,"&gt;"&amp;$K840,nrES_Raw,"&gt;=0")=0,"Yes","No")))</f>
        <v/>
      </c>
      <c r="Q840" s="17">
        <f>IF($C840="","",IF($L840="","",IF(AND($K840=1,ISNUMBER($L840),$L840&lt;$J840,COUNTIFS(nrES_PID,$D840,nrES_Code,$F840,nrES_Att,2,nrES_Raw,"&gt;=0")=0),"Yes","No")))</f>
        <v/>
      </c>
      <c r="R840" s="17">
        <f>IF($C840="","",IF($L840="","",IF(AND($K840=2,ISNUMBER($L840),$L840&lt;$J840),"Yes","No")))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OR($C840="",$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RANGE",IF(COUNTIF(nrES_RecID,$B840)&gt;1,"DUPLICATE RECORD",IF(AND($K840=2,COUNTIFS(nrES_PID,$D840,nrES_Code,$F840,nrES_Att,1)=0),"ATTEMPT 2 WITHOUT ATTEMPT 1",IF(AND($K840=2,$L840=""),"RETEST ROW HAS NO SCORE",IF(AND($H840="Final",$L840&lt;&gt;"",IFERROR(INDEX(nrCKfinalExamElig,MATCH($D840,rngCadetPIDs,0)),"")="No"),"FINAL EXAM AFTER FAILED FINAL PT (500.1.H)","OK")))))))</f>
        <v/>
      </c>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IF($C841="","",IF($K841="","",IF(COUNTIFS(nrES_PID,$D841,nrES_Code,$F841,nrES_Att,"&gt;"&amp;$K841,nrES_Raw,"&gt;=0")=0,"Yes","No")))</f>
        <v/>
      </c>
      <c r="Q841" s="17">
        <f>IF($C841="","",IF($L841="","",IF(AND($K841=1,ISNUMBER($L841),$L841&lt;$J841,COUNTIFS(nrES_PID,$D841,nrES_Code,$F841,nrES_Att,2,nrES_Raw,"&gt;=0")=0),"Yes","No")))</f>
        <v/>
      </c>
      <c r="R841" s="17">
        <f>IF($C841="","",IF($L841="","",IF(AND($K841=2,ISNUMBER($L841),$L841&lt;$J841),"Yes","No")))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OR($C841="",$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RANGE",IF(COUNTIF(nrES_RecID,$B841)&gt;1,"DUPLICATE RECORD",IF(AND($K841=2,COUNTIFS(nrES_PID,$D841,nrES_Code,$F841,nrES_Att,1)=0),"ATTEMPT 2 WITHOUT ATTEMPT 1",IF(AND($K841=2,$L841=""),"RETEST ROW HAS NO SCORE",IF(AND($H841="Final",$L841&lt;&gt;"",IFERROR(INDEX(nrCKfinalExamElig,MATCH($D841,rngCadetPIDs,0)),"")="No"),"FINAL EXAM AFTER FAILED FINAL PT (500.1.H)","OK")))))))</f>
        <v/>
      </c>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IF($C842="","",IF($K842="","",IF(COUNTIFS(nrES_PID,$D842,nrES_Code,$F842,nrES_Att,"&gt;"&amp;$K842,nrES_Raw,"&gt;=0")=0,"Yes","No")))</f>
        <v/>
      </c>
      <c r="Q842" s="17">
        <f>IF($C842="","",IF($L842="","",IF(AND($K842=1,ISNUMBER($L842),$L842&lt;$J842,COUNTIFS(nrES_PID,$D842,nrES_Code,$F842,nrES_Att,2,nrES_Raw,"&gt;=0")=0),"Yes","No")))</f>
        <v/>
      </c>
      <c r="R842" s="17">
        <f>IF($C842="","",IF($L842="","",IF(AND($K842=2,ISNUMBER($L842),$L842&lt;$J842),"Yes","No")))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OR($C842="",$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RANGE",IF(COUNTIF(nrES_RecID,$B842)&gt;1,"DUPLICATE RECORD",IF(AND($K842=2,COUNTIFS(nrES_PID,$D842,nrES_Code,$F842,nrES_Att,1)=0),"ATTEMPT 2 WITHOUT ATTEMPT 1",IF(AND($K842=2,$L842=""),"RETEST ROW HAS NO SCORE",IF(AND($H842="Final",$L842&lt;&gt;"",IFERROR(INDEX(nrCKfinalExamElig,MATCH($D842,rngCadetPIDs,0)),"")="No"),"FINAL EXAM AFTER FAILED FINAL PT (500.1.H)","OK")))))))</f>
        <v/>
      </c>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IF($C843="","",IF($K843="","",IF(COUNTIFS(nrES_PID,$D843,nrES_Code,$F843,nrES_Att,"&gt;"&amp;$K843,nrES_Raw,"&gt;=0")=0,"Yes","No")))</f>
        <v/>
      </c>
      <c r="Q843" s="17">
        <f>IF($C843="","",IF($L843="","",IF(AND($K843=1,ISNUMBER($L843),$L843&lt;$J843,COUNTIFS(nrES_PID,$D843,nrES_Code,$F843,nrES_Att,2,nrES_Raw,"&gt;=0")=0),"Yes","No")))</f>
        <v/>
      </c>
      <c r="R843" s="17">
        <f>IF($C843="","",IF($L843="","",IF(AND($K843=2,ISNUMBER($L843),$L843&lt;$J843),"Yes","No")))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OR($C843="",$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RANGE",IF(COUNTIF(nrES_RecID,$B843)&gt;1,"DUPLICATE RECORD",IF(AND($K843=2,COUNTIFS(nrES_PID,$D843,nrES_Code,$F843,nrES_Att,1)=0),"ATTEMPT 2 WITHOUT ATTEMPT 1",IF(AND($K843=2,$L843=""),"RETEST ROW HAS NO SCORE",IF(AND($H843="Final",$L843&lt;&gt;"",IFERROR(INDEX(nrCKfinalExamElig,MATCH($D843,rngCadetPIDs,0)),"")="No"),"FINAL EXAM AFTER FAILED FINAL PT (500.1.H)","OK")))))))</f>
        <v/>
      </c>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IF($C844="","",IF($K844="","",IF(COUNTIFS(nrES_PID,$D844,nrES_Code,$F844,nrES_Att,"&gt;"&amp;$K844,nrES_Raw,"&gt;=0")=0,"Yes","No")))</f>
        <v/>
      </c>
      <c r="Q844" s="17">
        <f>IF($C844="","",IF($L844="","",IF(AND($K844=1,ISNUMBER($L844),$L844&lt;$J844,COUNTIFS(nrES_PID,$D844,nrES_Code,$F844,nrES_Att,2,nrES_Raw,"&gt;=0")=0),"Yes","No")))</f>
        <v/>
      </c>
      <c r="R844" s="17">
        <f>IF($C844="","",IF($L844="","",IF(AND($K844=2,ISNUMBER($L844),$L844&lt;$J844),"Yes","No")))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OR($C844="",$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RANGE",IF(COUNTIF(nrES_RecID,$B844)&gt;1,"DUPLICATE RECORD",IF(AND($K844=2,COUNTIFS(nrES_PID,$D844,nrES_Code,$F844,nrES_Att,1)=0),"ATTEMPT 2 WITHOUT ATTEMPT 1",IF(AND($K844=2,$L844=""),"RETEST ROW HAS NO SCORE",IF(AND($H844="Final",$L844&lt;&gt;"",IFERROR(INDEX(nrCKfinalExamElig,MATCH($D844,rngCadetPIDs,0)),"")="No"),"FINAL EXAM AFTER FAILED FINAL PT (500.1.H)","OK")))))))</f>
        <v/>
      </c>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IF($C845="","",IF($K845="","",IF(COUNTIFS(nrES_PID,$D845,nrES_Code,$F845,nrES_Att,"&gt;"&amp;$K845,nrES_Raw,"&gt;=0")=0,"Yes","No")))</f>
        <v/>
      </c>
      <c r="Q845" s="17">
        <f>IF($C845="","",IF($L845="","",IF(AND($K845=1,ISNUMBER($L845),$L845&lt;$J845,COUNTIFS(nrES_PID,$D845,nrES_Code,$F845,nrES_Att,2,nrES_Raw,"&gt;=0")=0),"Yes","No")))</f>
        <v/>
      </c>
      <c r="R845" s="17">
        <f>IF($C845="","",IF($L845="","",IF(AND($K845=2,ISNUMBER($L845),$L845&lt;$J845),"Yes","No")))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OR($C845="",$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RANGE",IF(COUNTIF(nrES_RecID,$B845)&gt;1,"DUPLICATE RECORD",IF(AND($K845=2,COUNTIFS(nrES_PID,$D845,nrES_Code,$F845,nrES_Att,1)=0),"ATTEMPT 2 WITHOUT ATTEMPT 1",IF(AND($K845=2,$L845=""),"RETEST ROW HAS NO SCORE",IF(AND($H845="Final",$L845&lt;&gt;"",IFERROR(INDEX(nrCKfinalExamElig,MATCH($D845,rngCadetPIDs,0)),"")="No"),"FINAL EXAM AFTER FAILED FINAL PT (500.1.H)","OK")))))))</f>
        <v/>
      </c>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IF($C846="","",IF($K846="","",IF(COUNTIFS(nrES_PID,$D846,nrES_Code,$F846,nrES_Att,"&gt;"&amp;$K846,nrES_Raw,"&gt;=0")=0,"Yes","No")))</f>
        <v/>
      </c>
      <c r="Q846" s="17">
        <f>IF($C846="","",IF($L846="","",IF(AND($K846=1,ISNUMBER($L846),$L846&lt;$J846,COUNTIFS(nrES_PID,$D846,nrES_Code,$F846,nrES_Att,2,nrES_Raw,"&gt;=0")=0),"Yes","No")))</f>
        <v/>
      </c>
      <c r="R846" s="17">
        <f>IF($C846="","",IF($L846="","",IF(AND($K846=2,ISNUMBER($L846),$L846&lt;$J846),"Yes","No")))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OR($C846="",$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RANGE",IF(COUNTIF(nrES_RecID,$B846)&gt;1,"DUPLICATE RECORD",IF(AND($K846=2,COUNTIFS(nrES_PID,$D846,nrES_Code,$F846,nrES_Att,1)=0),"ATTEMPT 2 WITHOUT ATTEMPT 1",IF(AND($K846=2,$L846=""),"RETEST ROW HAS NO SCORE",IF(AND($H846="Final",$L846&lt;&gt;"",IFERROR(INDEX(nrCKfinalExamElig,MATCH($D846,rngCadetPIDs,0)),"")="No"),"FINAL EXAM AFTER FAILED FINAL PT (500.1.H)","OK")))))))</f>
        <v/>
      </c>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IF($C847="","",IF($K847="","",IF(COUNTIFS(nrES_PID,$D847,nrES_Code,$F847,nrES_Att,"&gt;"&amp;$K847,nrES_Raw,"&gt;=0")=0,"Yes","No")))</f>
        <v/>
      </c>
      <c r="Q847" s="17">
        <f>IF($C847="","",IF($L847="","",IF(AND($K847=1,ISNUMBER($L847),$L847&lt;$J847,COUNTIFS(nrES_PID,$D847,nrES_Code,$F847,nrES_Att,2,nrES_Raw,"&gt;=0")=0),"Yes","No")))</f>
        <v/>
      </c>
      <c r="R847" s="17">
        <f>IF($C847="","",IF($L847="","",IF(AND($K847=2,ISNUMBER($L847),$L847&lt;$J847),"Yes","No")))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OR($C847="",$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RANGE",IF(COUNTIF(nrES_RecID,$B847)&gt;1,"DUPLICATE RECORD",IF(AND($K847=2,COUNTIFS(nrES_PID,$D847,nrES_Code,$F847,nrES_Att,1)=0),"ATTEMPT 2 WITHOUT ATTEMPT 1",IF(AND($K847=2,$L847=""),"RETEST ROW HAS NO SCORE",IF(AND($H847="Final",$L847&lt;&gt;"",IFERROR(INDEX(nrCKfinalExamElig,MATCH($D847,rngCadetPIDs,0)),"")="No"),"FINAL EXAM AFTER FAILED FINAL PT (500.1.H)","OK")))))))</f>
        <v/>
      </c>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IF($C848="","",IF($K848="","",IF(COUNTIFS(nrES_PID,$D848,nrES_Code,$F848,nrES_Att,"&gt;"&amp;$K848,nrES_Raw,"&gt;=0")=0,"Yes","No")))</f>
        <v/>
      </c>
      <c r="Q848" s="17">
        <f>IF($C848="","",IF($L848="","",IF(AND($K848=1,ISNUMBER($L848),$L848&lt;$J848,COUNTIFS(nrES_PID,$D848,nrES_Code,$F848,nrES_Att,2,nrES_Raw,"&gt;=0")=0),"Yes","No")))</f>
        <v/>
      </c>
      <c r="R848" s="17">
        <f>IF($C848="","",IF($L848="","",IF(AND($K848=2,ISNUMBER($L848),$L848&lt;$J848),"Yes","No")))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OR($C848="",$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RANGE",IF(COUNTIF(nrES_RecID,$B848)&gt;1,"DUPLICATE RECORD",IF(AND($K848=2,COUNTIFS(nrES_PID,$D848,nrES_Code,$F848,nrES_Att,1)=0),"ATTEMPT 2 WITHOUT ATTEMPT 1",IF(AND($K848=2,$L848=""),"RETEST ROW HAS NO SCORE",IF(AND($H848="Final",$L848&lt;&gt;"",IFERROR(INDEX(nrCKfinalExamElig,MATCH($D848,rngCadetPIDs,0)),"")="No"),"FINAL EXAM AFTER FAILED FINAL PT (500.1.H)","OK")))))))</f>
        <v/>
      </c>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IF($C849="","",IF($K849="","",IF(COUNTIFS(nrES_PID,$D849,nrES_Code,$F849,nrES_Att,"&gt;"&amp;$K849,nrES_Raw,"&gt;=0")=0,"Yes","No")))</f>
        <v/>
      </c>
      <c r="Q849" s="17">
        <f>IF($C849="","",IF($L849="","",IF(AND($K849=1,ISNUMBER($L849),$L849&lt;$J849,COUNTIFS(nrES_PID,$D849,nrES_Code,$F849,nrES_Att,2,nrES_Raw,"&gt;=0")=0),"Yes","No")))</f>
        <v/>
      </c>
      <c r="R849" s="17">
        <f>IF($C849="","",IF($L849="","",IF(AND($K849=2,ISNUMBER($L849),$L849&lt;$J849),"Yes","No")))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OR($C849="",$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RANGE",IF(COUNTIF(nrES_RecID,$B849)&gt;1,"DUPLICATE RECORD",IF(AND($K849=2,COUNTIFS(nrES_PID,$D849,nrES_Code,$F849,nrES_Att,1)=0),"ATTEMPT 2 WITHOUT ATTEMPT 1",IF(AND($K849=2,$L849=""),"RETEST ROW HAS NO SCORE",IF(AND($H849="Final",$L849&lt;&gt;"",IFERROR(INDEX(nrCKfinalExamElig,MATCH($D849,rngCadetPIDs,0)),"")="No"),"FINAL EXAM AFTER FAILED FINAL PT (500.1.H)","OK")))))))</f>
        <v/>
      </c>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IF($C850="","",IF($K850="","",IF(COUNTIFS(nrES_PID,$D850,nrES_Code,$F850,nrES_Att,"&gt;"&amp;$K850,nrES_Raw,"&gt;=0")=0,"Yes","No")))</f>
        <v/>
      </c>
      <c r="Q850" s="17">
        <f>IF($C850="","",IF($L850="","",IF(AND($K850=1,ISNUMBER($L850),$L850&lt;$J850,COUNTIFS(nrES_PID,$D850,nrES_Code,$F850,nrES_Att,2,nrES_Raw,"&gt;=0")=0),"Yes","No")))</f>
        <v/>
      </c>
      <c r="R850" s="17">
        <f>IF($C850="","",IF($L850="","",IF(AND($K850=2,ISNUMBER($L850),$L850&lt;$J850),"Yes","No")))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OR($C850="",$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RANGE",IF(COUNTIF(nrES_RecID,$B850)&gt;1,"DUPLICATE RECORD",IF(AND($K850=2,COUNTIFS(nrES_PID,$D850,nrES_Code,$F850,nrES_Att,1)=0),"ATTEMPT 2 WITHOUT ATTEMPT 1",IF(AND($K850=2,$L850=""),"RETEST ROW HAS NO SCORE",IF(AND($H850="Final",$L850&lt;&gt;"",IFERROR(INDEX(nrCKfinalExamElig,MATCH($D850,rngCadetPIDs,0)),"")="No"),"FINAL EXAM AFTER FAILED FINAL PT (500.1.H)","OK")))))))</f>
        <v/>
      </c>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IF($C851="","",IF($K851="","",IF(COUNTIFS(nrES_PID,$D851,nrES_Code,$F851,nrES_Att,"&gt;"&amp;$K851,nrES_Raw,"&gt;=0")=0,"Yes","No")))</f>
        <v/>
      </c>
      <c r="Q851" s="17">
        <f>IF($C851="","",IF($L851="","",IF(AND($K851=1,ISNUMBER($L851),$L851&lt;$J851,COUNTIFS(nrES_PID,$D851,nrES_Code,$F851,nrES_Att,2,nrES_Raw,"&gt;=0")=0),"Yes","No")))</f>
        <v/>
      </c>
      <c r="R851" s="17">
        <f>IF($C851="","",IF($L851="","",IF(AND($K851=2,ISNUMBER($L851),$L851&lt;$J851),"Yes","No")))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OR($C851="",$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RANGE",IF(COUNTIF(nrES_RecID,$B851)&gt;1,"DUPLICATE RECORD",IF(AND($K851=2,COUNTIFS(nrES_PID,$D851,nrES_Code,$F851,nrES_Att,1)=0),"ATTEMPT 2 WITHOUT ATTEMPT 1",IF(AND($K851=2,$L851=""),"RETEST ROW HAS NO SCORE",IF(AND($H851="Final",$L851&lt;&gt;"",IFERROR(INDEX(nrCKfinalExamElig,MATCH($D851,rngCadetPIDs,0)),"")="No"),"FINAL EXAM AFTER FAILED FINAL PT (500.1.H)","OK")))))))</f>
        <v/>
      </c>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IF($C852="","",IF($K852="","",IF(COUNTIFS(nrES_PID,$D852,nrES_Code,$F852,nrES_Att,"&gt;"&amp;$K852,nrES_Raw,"&gt;=0")=0,"Yes","No")))</f>
        <v/>
      </c>
      <c r="Q852" s="17">
        <f>IF($C852="","",IF($L852="","",IF(AND($K852=1,ISNUMBER($L852),$L852&lt;$J852,COUNTIFS(nrES_PID,$D852,nrES_Code,$F852,nrES_Att,2,nrES_Raw,"&gt;=0")=0),"Yes","No")))</f>
        <v/>
      </c>
      <c r="R852" s="17">
        <f>IF($C852="","",IF($L852="","",IF(AND($K852=2,ISNUMBER($L852),$L852&lt;$J852),"Yes","No")))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OR($C852="",$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RANGE",IF(COUNTIF(nrES_RecID,$B852)&gt;1,"DUPLICATE RECORD",IF(AND($K852=2,COUNTIFS(nrES_PID,$D852,nrES_Code,$F852,nrES_Att,1)=0),"ATTEMPT 2 WITHOUT ATTEMPT 1",IF(AND($K852=2,$L852=""),"RETEST ROW HAS NO SCORE",IF(AND($H852="Final",$L852&lt;&gt;"",IFERROR(INDEX(nrCKfinalExamElig,MATCH($D852,rngCadetPIDs,0)),"")="No"),"FINAL EXAM AFTER FAILED FINAL PT (500.1.H)","OK")))))))</f>
        <v/>
      </c>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IF($C853="","",IF($K853="","",IF(COUNTIFS(nrES_PID,$D853,nrES_Code,$F853,nrES_Att,"&gt;"&amp;$K853,nrES_Raw,"&gt;=0")=0,"Yes","No")))</f>
        <v/>
      </c>
      <c r="Q853" s="17">
        <f>IF($C853="","",IF($L853="","",IF(AND($K853=1,ISNUMBER($L853),$L853&lt;$J853,COUNTIFS(nrES_PID,$D853,nrES_Code,$F853,nrES_Att,2,nrES_Raw,"&gt;=0")=0),"Yes","No")))</f>
        <v/>
      </c>
      <c r="R853" s="17">
        <f>IF($C853="","",IF($L853="","",IF(AND($K853=2,ISNUMBER($L853),$L853&lt;$J853),"Yes","No")))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OR($C853="",$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RANGE",IF(COUNTIF(nrES_RecID,$B853)&gt;1,"DUPLICATE RECORD",IF(AND($K853=2,COUNTIFS(nrES_PID,$D853,nrES_Code,$F853,nrES_Att,1)=0),"ATTEMPT 2 WITHOUT ATTEMPT 1",IF(AND($K853=2,$L853=""),"RETEST ROW HAS NO SCORE",IF(AND($H853="Final",$L853&lt;&gt;"",IFERROR(INDEX(nrCKfinalExamElig,MATCH($D853,rngCadetPIDs,0)),"")="No"),"FINAL EXAM AFTER FAILED FINAL PT (500.1.H)","OK")))))))</f>
        <v/>
      </c>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IF($C854="","",IF($K854="","",IF(COUNTIFS(nrES_PID,$D854,nrES_Code,$F854,nrES_Att,"&gt;"&amp;$K854,nrES_Raw,"&gt;=0")=0,"Yes","No")))</f>
        <v/>
      </c>
      <c r="Q854" s="17">
        <f>IF($C854="","",IF($L854="","",IF(AND($K854=1,ISNUMBER($L854),$L854&lt;$J854,COUNTIFS(nrES_PID,$D854,nrES_Code,$F854,nrES_Att,2,nrES_Raw,"&gt;=0")=0),"Yes","No")))</f>
        <v/>
      </c>
      <c r="R854" s="17">
        <f>IF($C854="","",IF($L854="","",IF(AND($K854=2,ISNUMBER($L854),$L854&lt;$J854),"Yes","No")))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OR($C854="",$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RANGE",IF(COUNTIF(nrES_RecID,$B854)&gt;1,"DUPLICATE RECORD",IF(AND($K854=2,COUNTIFS(nrES_PID,$D854,nrES_Code,$F854,nrES_Att,1)=0),"ATTEMPT 2 WITHOUT ATTEMPT 1",IF(AND($K854=2,$L854=""),"RETEST ROW HAS NO SCORE",IF(AND($H854="Final",$L854&lt;&gt;"",IFERROR(INDEX(nrCKfinalExamElig,MATCH($D854,rngCadetPIDs,0)),"")="No"),"FINAL EXAM AFTER FAILED FINAL PT (500.1.H)","OK")))))))</f>
        <v/>
      </c>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IF($C855="","",IF($K855="","",IF(COUNTIFS(nrES_PID,$D855,nrES_Code,$F855,nrES_Att,"&gt;"&amp;$K855,nrES_Raw,"&gt;=0")=0,"Yes","No")))</f>
        <v/>
      </c>
      <c r="Q855" s="17">
        <f>IF($C855="","",IF($L855="","",IF(AND($K855=1,ISNUMBER($L855),$L855&lt;$J855,COUNTIFS(nrES_PID,$D855,nrES_Code,$F855,nrES_Att,2,nrES_Raw,"&gt;=0")=0),"Yes","No")))</f>
        <v/>
      </c>
      <c r="R855" s="17">
        <f>IF($C855="","",IF($L855="","",IF(AND($K855=2,ISNUMBER($L855),$L855&lt;$J855),"Yes","No")))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OR($C855="",$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RANGE",IF(COUNTIF(nrES_RecID,$B855)&gt;1,"DUPLICATE RECORD",IF(AND($K855=2,COUNTIFS(nrES_PID,$D855,nrES_Code,$F855,nrES_Att,1)=0),"ATTEMPT 2 WITHOUT ATTEMPT 1",IF(AND($K855=2,$L855=""),"RETEST ROW HAS NO SCORE",IF(AND($H855="Final",$L855&lt;&gt;"",IFERROR(INDEX(nrCKfinalExamElig,MATCH($D855,rngCadetPIDs,0)),"")="No"),"FINAL EXAM AFTER FAILED FINAL PT (500.1.H)","OK")))))))</f>
        <v/>
      </c>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IF($C856="","",IF($K856="","",IF(COUNTIFS(nrES_PID,$D856,nrES_Code,$F856,nrES_Att,"&gt;"&amp;$K856,nrES_Raw,"&gt;=0")=0,"Yes","No")))</f>
        <v/>
      </c>
      <c r="Q856" s="17">
        <f>IF($C856="","",IF($L856="","",IF(AND($K856=1,ISNUMBER($L856),$L856&lt;$J856,COUNTIFS(nrES_PID,$D856,nrES_Code,$F856,nrES_Att,2,nrES_Raw,"&gt;=0")=0),"Yes","No")))</f>
        <v/>
      </c>
      <c r="R856" s="17">
        <f>IF($C856="","",IF($L856="","",IF(AND($K856=2,ISNUMBER($L856),$L856&lt;$J856),"Yes","No")))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OR($C856="",$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RANGE",IF(COUNTIF(nrES_RecID,$B856)&gt;1,"DUPLICATE RECORD",IF(AND($K856=2,COUNTIFS(nrES_PID,$D856,nrES_Code,$F856,nrES_Att,1)=0),"ATTEMPT 2 WITHOUT ATTEMPT 1",IF(AND($K856=2,$L856=""),"RETEST ROW HAS NO SCORE",IF(AND($H856="Final",$L856&lt;&gt;"",IFERROR(INDEX(nrCKfinalExamElig,MATCH($D856,rngCadetPIDs,0)),"")="No"),"FINAL EXAM AFTER FAILED FINAL PT (500.1.H)","OK")))))))</f>
        <v/>
      </c>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IF($C857="","",IF($K857="","",IF(COUNTIFS(nrES_PID,$D857,nrES_Code,$F857,nrES_Att,"&gt;"&amp;$K857,nrES_Raw,"&gt;=0")=0,"Yes","No")))</f>
        <v/>
      </c>
      <c r="Q857" s="17">
        <f>IF($C857="","",IF($L857="","",IF(AND($K857=1,ISNUMBER($L857),$L857&lt;$J857,COUNTIFS(nrES_PID,$D857,nrES_Code,$F857,nrES_Att,2,nrES_Raw,"&gt;=0")=0),"Yes","No")))</f>
        <v/>
      </c>
      <c r="R857" s="17">
        <f>IF($C857="","",IF($L857="","",IF(AND($K857=2,ISNUMBER($L857),$L857&lt;$J857),"Yes","No")))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OR($C857="",$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RANGE",IF(COUNTIF(nrES_RecID,$B857)&gt;1,"DUPLICATE RECORD",IF(AND($K857=2,COUNTIFS(nrES_PID,$D857,nrES_Code,$F857,nrES_Att,1)=0),"ATTEMPT 2 WITHOUT ATTEMPT 1",IF(AND($K857=2,$L857=""),"RETEST ROW HAS NO SCORE",IF(AND($H857="Final",$L857&lt;&gt;"",IFERROR(INDEX(nrCKfinalExamElig,MATCH($D857,rngCadetPIDs,0)),"")="No"),"FINAL EXAM AFTER FAILED FINAL PT (500.1.H)","OK")))))))</f>
        <v/>
      </c>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IF($C858="","",IF($K858="","",IF(COUNTIFS(nrES_PID,$D858,nrES_Code,$F858,nrES_Att,"&gt;"&amp;$K858,nrES_Raw,"&gt;=0")=0,"Yes","No")))</f>
        <v/>
      </c>
      <c r="Q858" s="17">
        <f>IF($C858="","",IF($L858="","",IF(AND($K858=1,ISNUMBER($L858),$L858&lt;$J858,COUNTIFS(nrES_PID,$D858,nrES_Code,$F858,nrES_Att,2,nrES_Raw,"&gt;=0")=0),"Yes","No")))</f>
        <v/>
      </c>
      <c r="R858" s="17">
        <f>IF($C858="","",IF($L858="","",IF(AND($K858=2,ISNUMBER($L858),$L858&lt;$J858),"Yes","No")))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OR($C858="",$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RANGE",IF(COUNTIF(nrES_RecID,$B858)&gt;1,"DUPLICATE RECORD",IF(AND($K858=2,COUNTIFS(nrES_PID,$D858,nrES_Code,$F858,nrES_Att,1)=0),"ATTEMPT 2 WITHOUT ATTEMPT 1",IF(AND($K858=2,$L858=""),"RETEST ROW HAS NO SCORE",IF(AND($H858="Final",$L858&lt;&gt;"",IFERROR(INDEX(nrCKfinalExamElig,MATCH($D858,rngCadetPIDs,0)),"")="No"),"FINAL EXAM AFTER FAILED FINAL PT (500.1.H)","OK")))))))</f>
        <v/>
      </c>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IF($C859="","",IF($K859="","",IF(COUNTIFS(nrES_PID,$D859,nrES_Code,$F859,nrES_Att,"&gt;"&amp;$K859,nrES_Raw,"&gt;=0")=0,"Yes","No")))</f>
        <v/>
      </c>
      <c r="Q859" s="17">
        <f>IF($C859="","",IF($L859="","",IF(AND($K859=1,ISNUMBER($L859),$L859&lt;$J859,COUNTIFS(nrES_PID,$D859,nrES_Code,$F859,nrES_Att,2,nrES_Raw,"&gt;=0")=0),"Yes","No")))</f>
        <v/>
      </c>
      <c r="R859" s="17">
        <f>IF($C859="","",IF($L859="","",IF(AND($K859=2,ISNUMBER($L859),$L859&lt;$J859),"Yes","No")))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OR($C859="",$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RANGE",IF(COUNTIF(nrES_RecID,$B859)&gt;1,"DUPLICATE RECORD",IF(AND($K859=2,COUNTIFS(nrES_PID,$D859,nrES_Code,$F859,nrES_Att,1)=0),"ATTEMPT 2 WITHOUT ATTEMPT 1",IF(AND($K859=2,$L859=""),"RETEST ROW HAS NO SCORE",IF(AND($H859="Final",$L859&lt;&gt;"",IFERROR(INDEX(nrCKfinalExamElig,MATCH($D859,rngCadetPIDs,0)),"")="No"),"FINAL EXAM AFTER FAILED FINAL PT (500.1.H)","OK")))))))</f>
        <v/>
      </c>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IF($C860="","",IF($K860="","",IF(COUNTIFS(nrES_PID,$D860,nrES_Code,$F860,nrES_Att,"&gt;"&amp;$K860,nrES_Raw,"&gt;=0")=0,"Yes","No")))</f>
        <v/>
      </c>
      <c r="Q860" s="17">
        <f>IF($C860="","",IF($L860="","",IF(AND($K860=1,ISNUMBER($L860),$L860&lt;$J860,COUNTIFS(nrES_PID,$D860,nrES_Code,$F860,nrES_Att,2,nrES_Raw,"&gt;=0")=0),"Yes","No")))</f>
        <v/>
      </c>
      <c r="R860" s="17">
        <f>IF($C860="","",IF($L860="","",IF(AND($K860=2,ISNUMBER($L860),$L860&lt;$J860),"Yes","No")))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OR($C860="",$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RANGE",IF(COUNTIF(nrES_RecID,$B860)&gt;1,"DUPLICATE RECORD",IF(AND($K860=2,COUNTIFS(nrES_PID,$D860,nrES_Code,$F860,nrES_Att,1)=0),"ATTEMPT 2 WITHOUT ATTEMPT 1",IF(AND($K860=2,$L860=""),"RETEST ROW HAS NO SCORE",IF(AND($H860="Final",$L860&lt;&gt;"",IFERROR(INDEX(nrCKfinalExamElig,MATCH($D860,rngCadetPIDs,0)),"")="No"),"FINAL EXAM AFTER FAILED FINAL PT (500.1.H)","OK")))))))</f>
        <v/>
      </c>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IF($C861="","",IF($K861="","",IF(COUNTIFS(nrES_PID,$D861,nrES_Code,$F861,nrES_Att,"&gt;"&amp;$K861,nrES_Raw,"&gt;=0")=0,"Yes","No")))</f>
        <v/>
      </c>
      <c r="Q861" s="17">
        <f>IF($C861="","",IF($L861="","",IF(AND($K861=1,ISNUMBER($L861),$L861&lt;$J861,COUNTIFS(nrES_PID,$D861,nrES_Code,$F861,nrES_Att,2,nrES_Raw,"&gt;=0")=0),"Yes","No")))</f>
        <v/>
      </c>
      <c r="R861" s="17">
        <f>IF($C861="","",IF($L861="","",IF(AND($K861=2,ISNUMBER($L861),$L861&lt;$J861),"Yes","No")))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OR($C861="",$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RANGE",IF(COUNTIF(nrES_RecID,$B861)&gt;1,"DUPLICATE RECORD",IF(AND($K861=2,COUNTIFS(nrES_PID,$D861,nrES_Code,$F861,nrES_Att,1)=0),"ATTEMPT 2 WITHOUT ATTEMPT 1",IF(AND($K861=2,$L861=""),"RETEST ROW HAS NO SCORE",IF(AND($H861="Final",$L861&lt;&gt;"",IFERROR(INDEX(nrCKfinalExamElig,MATCH($D861,rngCadetPIDs,0)),"")="No"),"FINAL EXAM AFTER FAILED FINAL PT (500.1.H)","OK")))))))</f>
        <v/>
      </c>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IF($C862="","",IF($K862="","",IF(COUNTIFS(nrES_PID,$D862,nrES_Code,$F862,nrES_Att,"&gt;"&amp;$K862,nrES_Raw,"&gt;=0")=0,"Yes","No")))</f>
        <v/>
      </c>
      <c r="Q862" s="17">
        <f>IF($C862="","",IF($L862="","",IF(AND($K862=1,ISNUMBER($L862),$L862&lt;$J862,COUNTIFS(nrES_PID,$D862,nrES_Code,$F862,nrES_Att,2,nrES_Raw,"&gt;=0")=0),"Yes","No")))</f>
        <v/>
      </c>
      <c r="R862" s="17">
        <f>IF($C862="","",IF($L862="","",IF(AND($K862=2,ISNUMBER($L862),$L862&lt;$J862),"Yes","No")))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OR($C862="",$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RANGE",IF(COUNTIF(nrES_RecID,$B862)&gt;1,"DUPLICATE RECORD",IF(AND($K862=2,COUNTIFS(nrES_PID,$D862,nrES_Code,$F862,nrES_Att,1)=0),"ATTEMPT 2 WITHOUT ATTEMPT 1",IF(AND($K862=2,$L862=""),"RETEST ROW HAS NO SCORE",IF(AND($H862="Final",$L862&lt;&gt;"",IFERROR(INDEX(nrCKfinalExamElig,MATCH($D862,rngCadetPIDs,0)),"")="No"),"FINAL EXAM AFTER FAILED FINAL PT (500.1.H)","OK")))))))</f>
        <v/>
      </c>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IF($C863="","",IF($K863="","",IF(COUNTIFS(nrES_PID,$D863,nrES_Code,$F863,nrES_Att,"&gt;"&amp;$K863,nrES_Raw,"&gt;=0")=0,"Yes","No")))</f>
        <v/>
      </c>
      <c r="Q863" s="17">
        <f>IF($C863="","",IF($L863="","",IF(AND($K863=1,ISNUMBER($L863),$L863&lt;$J863,COUNTIFS(nrES_PID,$D863,nrES_Code,$F863,nrES_Att,2,nrES_Raw,"&gt;=0")=0),"Yes","No")))</f>
        <v/>
      </c>
      <c r="R863" s="17">
        <f>IF($C863="","",IF($L863="","",IF(AND($K863=2,ISNUMBER($L863),$L863&lt;$J863),"Yes","No")))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OR($C863="",$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RANGE",IF(COUNTIF(nrES_RecID,$B863)&gt;1,"DUPLICATE RECORD",IF(AND($K863=2,COUNTIFS(nrES_PID,$D863,nrES_Code,$F863,nrES_Att,1)=0),"ATTEMPT 2 WITHOUT ATTEMPT 1",IF(AND($K863=2,$L863=""),"RETEST ROW HAS NO SCORE",IF(AND($H863="Final",$L863&lt;&gt;"",IFERROR(INDEX(nrCKfinalExamElig,MATCH($D863,rngCadetPIDs,0)),"")="No"),"FINAL EXAM AFTER FAILED FINAL PT (500.1.H)","OK")))))))</f>
        <v/>
      </c>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IF($C864="","",IF($K864="","",IF(COUNTIFS(nrES_PID,$D864,nrES_Code,$F864,nrES_Att,"&gt;"&amp;$K864,nrES_Raw,"&gt;=0")=0,"Yes","No")))</f>
        <v/>
      </c>
      <c r="Q864" s="17">
        <f>IF($C864="","",IF($L864="","",IF(AND($K864=1,ISNUMBER($L864),$L864&lt;$J864,COUNTIFS(nrES_PID,$D864,nrES_Code,$F864,nrES_Att,2,nrES_Raw,"&gt;=0")=0),"Yes","No")))</f>
        <v/>
      </c>
      <c r="R864" s="17">
        <f>IF($C864="","",IF($L864="","",IF(AND($K864=2,ISNUMBER($L864),$L864&lt;$J864),"Yes","No")))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OR($C864="",$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RANGE",IF(COUNTIF(nrES_RecID,$B864)&gt;1,"DUPLICATE RECORD",IF(AND($K864=2,COUNTIFS(nrES_PID,$D864,nrES_Code,$F864,nrES_Att,1)=0),"ATTEMPT 2 WITHOUT ATTEMPT 1",IF(AND($K864=2,$L864=""),"RETEST ROW HAS NO SCORE",IF(AND($H864="Final",$L864&lt;&gt;"",IFERROR(INDEX(nrCKfinalExamElig,MATCH($D864,rngCadetPIDs,0)),"")="No"),"FINAL EXAM AFTER FAILED FINAL PT (500.1.H)","OK")))))))</f>
        <v/>
      </c>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IF($C865="","",IF($K865="","",IF(COUNTIFS(nrES_PID,$D865,nrES_Code,$F865,nrES_Att,"&gt;"&amp;$K865,nrES_Raw,"&gt;=0")=0,"Yes","No")))</f>
        <v/>
      </c>
      <c r="Q865" s="17">
        <f>IF($C865="","",IF($L865="","",IF(AND($K865=1,ISNUMBER($L865),$L865&lt;$J865,COUNTIFS(nrES_PID,$D865,nrES_Code,$F865,nrES_Att,2,nrES_Raw,"&gt;=0")=0),"Yes","No")))</f>
        <v/>
      </c>
      <c r="R865" s="17">
        <f>IF($C865="","",IF($L865="","",IF(AND($K865=2,ISNUMBER($L865),$L865&lt;$J865),"Yes","No")))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OR($C865="",$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RANGE",IF(COUNTIF(nrES_RecID,$B865)&gt;1,"DUPLICATE RECORD",IF(AND($K865=2,COUNTIFS(nrES_PID,$D865,nrES_Code,$F865,nrES_Att,1)=0),"ATTEMPT 2 WITHOUT ATTEMPT 1",IF(AND($K865=2,$L865=""),"RETEST ROW HAS NO SCORE",IF(AND($H865="Final",$L865&lt;&gt;"",IFERROR(INDEX(nrCKfinalExamElig,MATCH($D865,rngCadetPIDs,0)),"")="No"),"FINAL EXAM AFTER FAILED FINAL PT (500.1.H)","OK")))))))</f>
        <v/>
      </c>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IF($C866="","",IF($K866="","",IF(COUNTIFS(nrES_PID,$D866,nrES_Code,$F866,nrES_Att,"&gt;"&amp;$K866,nrES_Raw,"&gt;=0")=0,"Yes","No")))</f>
        <v/>
      </c>
      <c r="Q866" s="17">
        <f>IF($C866="","",IF($L866="","",IF(AND($K866=1,ISNUMBER($L866),$L866&lt;$J866,COUNTIFS(nrES_PID,$D866,nrES_Code,$F866,nrES_Att,2,nrES_Raw,"&gt;=0")=0),"Yes","No")))</f>
        <v/>
      </c>
      <c r="R866" s="17">
        <f>IF($C866="","",IF($L866="","",IF(AND($K866=2,ISNUMBER($L866),$L866&lt;$J866),"Yes","No")))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OR($C866="",$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RANGE",IF(COUNTIF(nrES_RecID,$B866)&gt;1,"DUPLICATE RECORD",IF(AND($K866=2,COUNTIFS(nrES_PID,$D866,nrES_Code,$F866,nrES_Att,1)=0),"ATTEMPT 2 WITHOUT ATTEMPT 1",IF(AND($K866=2,$L866=""),"RETEST ROW HAS NO SCORE",IF(AND($H866="Final",$L866&lt;&gt;"",IFERROR(INDEX(nrCKfinalExamElig,MATCH($D866,rngCadetPIDs,0)),"")="No"),"FINAL EXAM AFTER FAILED FINAL PT (500.1.H)","OK")))))))</f>
        <v/>
      </c>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IF($C867="","",IF($K867="","",IF(COUNTIFS(nrES_PID,$D867,nrES_Code,$F867,nrES_Att,"&gt;"&amp;$K867,nrES_Raw,"&gt;=0")=0,"Yes","No")))</f>
        <v/>
      </c>
      <c r="Q867" s="17">
        <f>IF($C867="","",IF($L867="","",IF(AND($K867=1,ISNUMBER($L867),$L867&lt;$J867,COUNTIFS(nrES_PID,$D867,nrES_Code,$F867,nrES_Att,2,nrES_Raw,"&gt;=0")=0),"Yes","No")))</f>
        <v/>
      </c>
      <c r="R867" s="17">
        <f>IF($C867="","",IF($L867="","",IF(AND($K867=2,ISNUMBER($L867),$L867&lt;$J867),"Yes","No")))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OR($C867="",$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RANGE",IF(COUNTIF(nrES_RecID,$B867)&gt;1,"DUPLICATE RECORD",IF(AND($K867=2,COUNTIFS(nrES_PID,$D867,nrES_Code,$F867,nrES_Att,1)=0),"ATTEMPT 2 WITHOUT ATTEMPT 1",IF(AND($K867=2,$L867=""),"RETEST ROW HAS NO SCORE",IF(AND($H867="Final",$L867&lt;&gt;"",IFERROR(INDEX(nrCKfinalExamElig,MATCH($D867,rngCadetPIDs,0)),"")="No"),"FINAL EXAM AFTER FAILED FINAL PT (500.1.H)","OK")))))))</f>
        <v/>
      </c>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IF($C868="","",IF($K868="","",IF(COUNTIFS(nrES_PID,$D868,nrES_Code,$F868,nrES_Att,"&gt;"&amp;$K868,nrES_Raw,"&gt;=0")=0,"Yes","No")))</f>
        <v/>
      </c>
      <c r="Q868" s="17">
        <f>IF($C868="","",IF($L868="","",IF(AND($K868=1,ISNUMBER($L868),$L868&lt;$J868,COUNTIFS(nrES_PID,$D868,nrES_Code,$F868,nrES_Att,2,nrES_Raw,"&gt;=0")=0),"Yes","No")))</f>
        <v/>
      </c>
      <c r="R868" s="17">
        <f>IF($C868="","",IF($L868="","",IF(AND($K868=2,ISNUMBER($L868),$L868&lt;$J868),"Yes","No")))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OR($C868="",$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RANGE",IF(COUNTIF(nrES_RecID,$B868)&gt;1,"DUPLICATE RECORD",IF(AND($K868=2,COUNTIFS(nrES_PID,$D868,nrES_Code,$F868,nrES_Att,1)=0),"ATTEMPT 2 WITHOUT ATTEMPT 1",IF(AND($K868=2,$L868=""),"RETEST ROW HAS NO SCORE",IF(AND($H868="Final",$L868&lt;&gt;"",IFERROR(INDEX(nrCKfinalExamElig,MATCH($D868,rngCadetPIDs,0)),"")="No"),"FINAL EXAM AFTER FAILED FINAL PT (500.1.H)","OK")))))))</f>
        <v/>
      </c>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IF($C869="","",IF($K869="","",IF(COUNTIFS(nrES_PID,$D869,nrES_Code,$F869,nrES_Att,"&gt;"&amp;$K869,nrES_Raw,"&gt;=0")=0,"Yes","No")))</f>
        <v/>
      </c>
      <c r="Q869" s="17">
        <f>IF($C869="","",IF($L869="","",IF(AND($K869=1,ISNUMBER($L869),$L869&lt;$J869,COUNTIFS(nrES_PID,$D869,nrES_Code,$F869,nrES_Att,2,nrES_Raw,"&gt;=0")=0),"Yes","No")))</f>
        <v/>
      </c>
      <c r="R869" s="17">
        <f>IF($C869="","",IF($L869="","",IF(AND($K869=2,ISNUMBER($L869),$L869&lt;$J869),"Yes","No")))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OR($C869="",$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RANGE",IF(COUNTIF(nrES_RecID,$B869)&gt;1,"DUPLICATE RECORD",IF(AND($K869=2,COUNTIFS(nrES_PID,$D869,nrES_Code,$F869,nrES_Att,1)=0),"ATTEMPT 2 WITHOUT ATTEMPT 1",IF(AND($K869=2,$L869=""),"RETEST ROW HAS NO SCORE",IF(AND($H869="Final",$L869&lt;&gt;"",IFERROR(INDEX(nrCKfinalExamElig,MATCH($D869,rngCadetPIDs,0)),"")="No"),"FINAL EXAM AFTER FAILED FINAL PT (500.1.H)","OK")))))))</f>
        <v/>
      </c>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IF($C870="","",IF($K870="","",IF(COUNTIFS(nrES_PID,$D870,nrES_Code,$F870,nrES_Att,"&gt;"&amp;$K870,nrES_Raw,"&gt;=0")=0,"Yes","No")))</f>
        <v/>
      </c>
      <c r="Q870" s="17">
        <f>IF($C870="","",IF($L870="","",IF(AND($K870=1,ISNUMBER($L870),$L870&lt;$J870,COUNTIFS(nrES_PID,$D870,nrES_Code,$F870,nrES_Att,2,nrES_Raw,"&gt;=0")=0),"Yes","No")))</f>
        <v/>
      </c>
      <c r="R870" s="17">
        <f>IF($C870="","",IF($L870="","",IF(AND($K870=2,ISNUMBER($L870),$L870&lt;$J870),"Yes","No")))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OR($C870="",$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RANGE",IF(COUNTIF(nrES_RecID,$B870)&gt;1,"DUPLICATE RECORD",IF(AND($K870=2,COUNTIFS(nrES_PID,$D870,nrES_Code,$F870,nrES_Att,1)=0),"ATTEMPT 2 WITHOUT ATTEMPT 1",IF(AND($K870=2,$L870=""),"RETEST ROW HAS NO SCORE",IF(AND($H870="Final",$L870&lt;&gt;"",IFERROR(INDEX(nrCKfinalExamElig,MATCH($D870,rngCadetPIDs,0)),"")="No"),"FINAL EXAM AFTER FAILED FINAL PT (500.1.H)","OK")))))))</f>
        <v/>
      </c>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IF($C871="","",IF($K871="","",IF(COUNTIFS(nrES_PID,$D871,nrES_Code,$F871,nrES_Att,"&gt;"&amp;$K871,nrES_Raw,"&gt;=0")=0,"Yes","No")))</f>
        <v/>
      </c>
      <c r="Q871" s="17">
        <f>IF($C871="","",IF($L871="","",IF(AND($K871=1,ISNUMBER($L871),$L871&lt;$J871,COUNTIFS(nrES_PID,$D871,nrES_Code,$F871,nrES_Att,2,nrES_Raw,"&gt;=0")=0),"Yes","No")))</f>
        <v/>
      </c>
      <c r="R871" s="17">
        <f>IF($C871="","",IF($L871="","",IF(AND($K871=2,ISNUMBER($L871),$L871&lt;$J871),"Yes","No")))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OR($C871="",$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RANGE",IF(COUNTIF(nrES_RecID,$B871)&gt;1,"DUPLICATE RECORD",IF(AND($K871=2,COUNTIFS(nrES_PID,$D871,nrES_Code,$F871,nrES_Att,1)=0),"ATTEMPT 2 WITHOUT ATTEMPT 1",IF(AND($K871=2,$L871=""),"RETEST ROW HAS NO SCORE",IF(AND($H871="Final",$L871&lt;&gt;"",IFERROR(INDEX(nrCKfinalExamElig,MATCH($D871,rngCadetPIDs,0)),"")="No"),"FINAL EXAM AFTER FAILED FINAL PT (500.1.H)","OK")))))))</f>
        <v/>
      </c>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IF($C872="","",IF($K872="","",IF(COUNTIFS(nrES_PID,$D872,nrES_Code,$F872,nrES_Att,"&gt;"&amp;$K872,nrES_Raw,"&gt;=0")=0,"Yes","No")))</f>
        <v/>
      </c>
      <c r="Q872" s="17">
        <f>IF($C872="","",IF($L872="","",IF(AND($K872=1,ISNUMBER($L872),$L872&lt;$J872,COUNTIFS(nrES_PID,$D872,nrES_Code,$F872,nrES_Att,2,nrES_Raw,"&gt;=0")=0),"Yes","No")))</f>
        <v/>
      </c>
      <c r="R872" s="17">
        <f>IF($C872="","",IF($L872="","",IF(AND($K872=2,ISNUMBER($L872),$L872&lt;$J872),"Yes","No")))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OR($C872="",$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RANGE",IF(COUNTIF(nrES_RecID,$B872)&gt;1,"DUPLICATE RECORD",IF(AND($K872=2,COUNTIFS(nrES_PID,$D872,nrES_Code,$F872,nrES_Att,1)=0),"ATTEMPT 2 WITHOUT ATTEMPT 1",IF(AND($K872=2,$L872=""),"RETEST ROW HAS NO SCORE",IF(AND($H872="Final",$L872&lt;&gt;"",IFERROR(INDEX(nrCKfinalExamElig,MATCH($D872,rngCadetPIDs,0)),"")="No"),"FINAL EXAM AFTER FAILED FINAL PT (500.1.H)","OK")))))))</f>
        <v/>
      </c>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IF($C873="","",IF($K873="","",IF(COUNTIFS(nrES_PID,$D873,nrES_Code,$F873,nrES_Att,"&gt;"&amp;$K873,nrES_Raw,"&gt;=0")=0,"Yes","No")))</f>
        <v/>
      </c>
      <c r="Q873" s="17">
        <f>IF($C873="","",IF($L873="","",IF(AND($K873=1,ISNUMBER($L873),$L873&lt;$J873,COUNTIFS(nrES_PID,$D873,nrES_Code,$F873,nrES_Att,2,nrES_Raw,"&gt;=0")=0),"Yes","No")))</f>
        <v/>
      </c>
      <c r="R873" s="17">
        <f>IF($C873="","",IF($L873="","",IF(AND($K873=2,ISNUMBER($L873),$L873&lt;$J873),"Yes","No")))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OR($C873="",$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RANGE",IF(COUNTIF(nrES_RecID,$B873)&gt;1,"DUPLICATE RECORD",IF(AND($K873=2,COUNTIFS(nrES_PID,$D873,nrES_Code,$F873,nrES_Att,1)=0),"ATTEMPT 2 WITHOUT ATTEMPT 1",IF(AND($K873=2,$L873=""),"RETEST ROW HAS NO SCORE",IF(AND($H873="Final",$L873&lt;&gt;"",IFERROR(INDEX(nrCKfinalExamElig,MATCH($D873,rngCadetPIDs,0)),"")="No"),"FINAL EXAM AFTER FAILED FINAL PT (500.1.H)","OK")))))))</f>
        <v/>
      </c>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IF($C874="","",IF($K874="","",IF(COUNTIFS(nrES_PID,$D874,nrES_Code,$F874,nrES_Att,"&gt;"&amp;$K874,nrES_Raw,"&gt;=0")=0,"Yes","No")))</f>
        <v/>
      </c>
      <c r="Q874" s="17">
        <f>IF($C874="","",IF($L874="","",IF(AND($K874=1,ISNUMBER($L874),$L874&lt;$J874,COUNTIFS(nrES_PID,$D874,nrES_Code,$F874,nrES_Att,2,nrES_Raw,"&gt;=0")=0),"Yes","No")))</f>
        <v/>
      </c>
      <c r="R874" s="17">
        <f>IF($C874="","",IF($L874="","",IF(AND($K874=2,ISNUMBER($L874),$L874&lt;$J874),"Yes","No")))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OR($C874="",$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RANGE",IF(COUNTIF(nrES_RecID,$B874)&gt;1,"DUPLICATE RECORD",IF(AND($K874=2,COUNTIFS(nrES_PID,$D874,nrES_Code,$F874,nrES_Att,1)=0),"ATTEMPT 2 WITHOUT ATTEMPT 1",IF(AND($K874=2,$L874=""),"RETEST ROW HAS NO SCORE",IF(AND($H874="Final",$L874&lt;&gt;"",IFERROR(INDEX(nrCKfinalExamElig,MATCH($D874,rngCadetPIDs,0)),"")="No"),"FINAL EXAM AFTER FAILED FINAL PT (500.1.H)","OK")))))))</f>
        <v/>
      </c>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IF($C875="","",IF($K875="","",IF(COUNTIFS(nrES_PID,$D875,nrES_Code,$F875,nrES_Att,"&gt;"&amp;$K875,nrES_Raw,"&gt;=0")=0,"Yes","No")))</f>
        <v/>
      </c>
      <c r="Q875" s="17">
        <f>IF($C875="","",IF($L875="","",IF(AND($K875=1,ISNUMBER($L875),$L875&lt;$J875,COUNTIFS(nrES_PID,$D875,nrES_Code,$F875,nrES_Att,2,nrES_Raw,"&gt;=0")=0),"Yes","No")))</f>
        <v/>
      </c>
      <c r="R875" s="17">
        <f>IF($C875="","",IF($L875="","",IF(AND($K875=2,ISNUMBER($L875),$L875&lt;$J875),"Yes","No")))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OR($C875="",$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RANGE",IF(COUNTIF(nrES_RecID,$B875)&gt;1,"DUPLICATE RECORD",IF(AND($K875=2,COUNTIFS(nrES_PID,$D875,nrES_Code,$F875,nrES_Att,1)=0),"ATTEMPT 2 WITHOUT ATTEMPT 1",IF(AND($K875=2,$L875=""),"RETEST ROW HAS NO SCORE",IF(AND($H875="Final",$L875&lt;&gt;"",IFERROR(INDEX(nrCKfinalExamElig,MATCH($D875,rngCadetPIDs,0)),"")="No"),"FINAL EXAM AFTER FAILED FINAL PT (500.1.H)","OK")))))))</f>
        <v/>
      </c>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IF($C876="","",IF($K876="","",IF(COUNTIFS(nrES_PID,$D876,nrES_Code,$F876,nrES_Att,"&gt;"&amp;$K876,nrES_Raw,"&gt;=0")=0,"Yes","No")))</f>
        <v/>
      </c>
      <c r="Q876" s="17">
        <f>IF($C876="","",IF($L876="","",IF(AND($K876=1,ISNUMBER($L876),$L876&lt;$J876,COUNTIFS(nrES_PID,$D876,nrES_Code,$F876,nrES_Att,2,nrES_Raw,"&gt;=0")=0),"Yes","No")))</f>
        <v/>
      </c>
      <c r="R876" s="17">
        <f>IF($C876="","",IF($L876="","",IF(AND($K876=2,ISNUMBER($L876),$L876&lt;$J876),"Yes","No")))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OR($C876="",$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RANGE",IF(COUNTIF(nrES_RecID,$B876)&gt;1,"DUPLICATE RECORD",IF(AND($K876=2,COUNTIFS(nrES_PID,$D876,nrES_Code,$F876,nrES_Att,1)=0),"ATTEMPT 2 WITHOUT ATTEMPT 1",IF(AND($K876=2,$L876=""),"RETEST ROW HAS NO SCORE",IF(AND($H876="Final",$L876&lt;&gt;"",IFERROR(INDEX(nrCKfinalExamElig,MATCH($D876,rngCadetPIDs,0)),"")="No"),"FINAL EXAM AFTER FAILED FINAL PT (500.1.H)","OK")))))))</f>
        <v/>
      </c>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IF($C877="","",IF($K877="","",IF(COUNTIFS(nrES_PID,$D877,nrES_Code,$F877,nrES_Att,"&gt;"&amp;$K877,nrES_Raw,"&gt;=0")=0,"Yes","No")))</f>
        <v/>
      </c>
      <c r="Q877" s="17">
        <f>IF($C877="","",IF($L877="","",IF(AND($K877=1,ISNUMBER($L877),$L877&lt;$J877,COUNTIFS(nrES_PID,$D877,nrES_Code,$F877,nrES_Att,2,nrES_Raw,"&gt;=0")=0),"Yes","No")))</f>
        <v/>
      </c>
      <c r="R877" s="17">
        <f>IF($C877="","",IF($L877="","",IF(AND($K877=2,ISNUMBER($L877),$L877&lt;$J877),"Yes","No")))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OR($C877="",$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RANGE",IF(COUNTIF(nrES_RecID,$B877)&gt;1,"DUPLICATE RECORD",IF(AND($K877=2,COUNTIFS(nrES_PID,$D877,nrES_Code,$F877,nrES_Att,1)=0),"ATTEMPT 2 WITHOUT ATTEMPT 1",IF(AND($K877=2,$L877=""),"RETEST ROW HAS NO SCORE",IF(AND($H877="Final",$L877&lt;&gt;"",IFERROR(INDEX(nrCKfinalExamElig,MATCH($D877,rngCadetPIDs,0)),"")="No"),"FINAL EXAM AFTER FAILED FINAL PT (500.1.H)","OK")))))))</f>
        <v/>
      </c>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IF($C878="","",IF($K878="","",IF(COUNTIFS(nrES_PID,$D878,nrES_Code,$F878,nrES_Att,"&gt;"&amp;$K878,nrES_Raw,"&gt;=0")=0,"Yes","No")))</f>
        <v/>
      </c>
      <c r="Q878" s="17">
        <f>IF($C878="","",IF($L878="","",IF(AND($K878=1,ISNUMBER($L878),$L878&lt;$J878,COUNTIFS(nrES_PID,$D878,nrES_Code,$F878,nrES_Att,2,nrES_Raw,"&gt;=0")=0),"Yes","No")))</f>
        <v/>
      </c>
      <c r="R878" s="17">
        <f>IF($C878="","",IF($L878="","",IF(AND($K878=2,ISNUMBER($L878),$L878&lt;$J878),"Yes","No")))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OR($C878="",$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RANGE",IF(COUNTIF(nrES_RecID,$B878)&gt;1,"DUPLICATE RECORD",IF(AND($K878=2,COUNTIFS(nrES_PID,$D878,nrES_Code,$F878,nrES_Att,1)=0),"ATTEMPT 2 WITHOUT ATTEMPT 1",IF(AND($K878=2,$L878=""),"RETEST ROW HAS NO SCORE",IF(AND($H878="Final",$L878&lt;&gt;"",IFERROR(INDEX(nrCKfinalExamElig,MATCH($D878,rngCadetPIDs,0)),"")="No"),"FINAL EXAM AFTER FAILED FINAL PT (500.1.H)","OK")))))))</f>
        <v/>
      </c>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IF($C879="","",IF($K879="","",IF(COUNTIFS(nrES_PID,$D879,nrES_Code,$F879,nrES_Att,"&gt;"&amp;$K879,nrES_Raw,"&gt;=0")=0,"Yes","No")))</f>
        <v/>
      </c>
      <c r="Q879" s="17">
        <f>IF($C879="","",IF($L879="","",IF(AND($K879=1,ISNUMBER($L879),$L879&lt;$J879,COUNTIFS(nrES_PID,$D879,nrES_Code,$F879,nrES_Att,2,nrES_Raw,"&gt;=0")=0),"Yes","No")))</f>
        <v/>
      </c>
      <c r="R879" s="17">
        <f>IF($C879="","",IF($L879="","",IF(AND($K879=2,ISNUMBER($L879),$L879&lt;$J879),"Yes","No")))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OR($C879="",$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RANGE",IF(COUNTIF(nrES_RecID,$B879)&gt;1,"DUPLICATE RECORD",IF(AND($K879=2,COUNTIFS(nrES_PID,$D879,nrES_Code,$F879,nrES_Att,1)=0),"ATTEMPT 2 WITHOUT ATTEMPT 1",IF(AND($K879=2,$L879=""),"RETEST ROW HAS NO SCORE",IF(AND($H879="Final",$L879&lt;&gt;"",IFERROR(INDEX(nrCKfinalExamElig,MATCH($D879,rngCadetPIDs,0)),"")="No"),"FINAL EXAM AFTER FAILED FINAL PT (500.1.H)","OK")))))))</f>
        <v/>
      </c>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IF($C880="","",IF($K880="","",IF(COUNTIFS(nrES_PID,$D880,nrES_Code,$F880,nrES_Att,"&gt;"&amp;$K880,nrES_Raw,"&gt;=0")=0,"Yes","No")))</f>
        <v/>
      </c>
      <c r="Q880" s="17">
        <f>IF($C880="","",IF($L880="","",IF(AND($K880=1,ISNUMBER($L880),$L880&lt;$J880,COUNTIFS(nrES_PID,$D880,nrES_Code,$F880,nrES_Att,2,nrES_Raw,"&gt;=0")=0),"Yes","No")))</f>
        <v/>
      </c>
      <c r="R880" s="17">
        <f>IF($C880="","",IF($L880="","",IF(AND($K880=2,ISNUMBER($L880),$L880&lt;$J880),"Yes","No")))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OR($C880="",$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RANGE",IF(COUNTIF(nrES_RecID,$B880)&gt;1,"DUPLICATE RECORD",IF(AND($K880=2,COUNTIFS(nrES_PID,$D880,nrES_Code,$F880,nrES_Att,1)=0),"ATTEMPT 2 WITHOUT ATTEMPT 1",IF(AND($K880=2,$L880=""),"RETEST ROW HAS NO SCORE",IF(AND($H880="Final",$L880&lt;&gt;"",IFERROR(INDEX(nrCKfinalExamElig,MATCH($D880,rngCadetPIDs,0)),"")="No"),"FINAL EXAM AFTER FAILED FINAL PT (500.1.H)","OK")))))))</f>
        <v/>
      </c>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IF($C881="","",IF($K881="","",IF(COUNTIFS(nrES_PID,$D881,nrES_Code,$F881,nrES_Att,"&gt;"&amp;$K881,nrES_Raw,"&gt;=0")=0,"Yes","No")))</f>
        <v/>
      </c>
      <c r="Q881" s="17">
        <f>IF($C881="","",IF($L881="","",IF(AND($K881=1,ISNUMBER($L881),$L881&lt;$J881,COUNTIFS(nrES_PID,$D881,nrES_Code,$F881,nrES_Att,2,nrES_Raw,"&gt;=0")=0),"Yes","No")))</f>
        <v/>
      </c>
      <c r="R881" s="17">
        <f>IF($C881="","",IF($L881="","",IF(AND($K881=2,ISNUMBER($L881),$L881&lt;$J881),"Yes","No")))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OR($C881="",$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RANGE",IF(COUNTIF(nrES_RecID,$B881)&gt;1,"DUPLICATE RECORD",IF(AND($K881=2,COUNTIFS(nrES_PID,$D881,nrES_Code,$F881,nrES_Att,1)=0),"ATTEMPT 2 WITHOUT ATTEMPT 1",IF(AND($K881=2,$L881=""),"RETEST ROW HAS NO SCORE",IF(AND($H881="Final",$L881&lt;&gt;"",IFERROR(INDEX(nrCKfinalExamElig,MATCH($D881,rngCadetPIDs,0)),"")="No"),"FINAL EXAM AFTER FAILED FINAL PT (500.1.H)","OK")))))))</f>
        <v/>
      </c>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IF($C882="","",IF($K882="","",IF(COUNTIFS(nrES_PID,$D882,nrES_Code,$F882,nrES_Att,"&gt;"&amp;$K882,nrES_Raw,"&gt;=0")=0,"Yes","No")))</f>
        <v/>
      </c>
      <c r="Q882" s="17">
        <f>IF($C882="","",IF($L882="","",IF(AND($K882=1,ISNUMBER($L882),$L882&lt;$J882,COUNTIFS(nrES_PID,$D882,nrES_Code,$F882,nrES_Att,2,nrES_Raw,"&gt;=0")=0),"Yes","No")))</f>
        <v/>
      </c>
      <c r="R882" s="17">
        <f>IF($C882="","",IF($L882="","",IF(AND($K882=2,ISNUMBER($L882),$L882&lt;$J882),"Yes","No")))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OR($C882="",$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RANGE",IF(COUNTIF(nrES_RecID,$B882)&gt;1,"DUPLICATE RECORD",IF(AND($K882=2,COUNTIFS(nrES_PID,$D882,nrES_Code,$F882,nrES_Att,1)=0),"ATTEMPT 2 WITHOUT ATTEMPT 1",IF(AND($K882=2,$L882=""),"RETEST ROW HAS NO SCORE",IF(AND($H882="Final",$L882&lt;&gt;"",IFERROR(INDEX(nrCKfinalExamElig,MATCH($D882,rngCadetPIDs,0)),"")="No"),"FINAL EXAM AFTER FAILED FINAL PT (500.1.H)","OK")))))))</f>
        <v/>
      </c>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IF($C883="","",IF($K883="","",IF(COUNTIFS(nrES_PID,$D883,nrES_Code,$F883,nrES_Att,"&gt;"&amp;$K883,nrES_Raw,"&gt;=0")=0,"Yes","No")))</f>
        <v/>
      </c>
      <c r="Q883" s="17">
        <f>IF($C883="","",IF($L883="","",IF(AND($K883=1,ISNUMBER($L883),$L883&lt;$J883,COUNTIFS(nrES_PID,$D883,nrES_Code,$F883,nrES_Att,2,nrES_Raw,"&gt;=0")=0),"Yes","No")))</f>
        <v/>
      </c>
      <c r="R883" s="17">
        <f>IF($C883="","",IF($L883="","",IF(AND($K883=2,ISNUMBER($L883),$L883&lt;$J883),"Yes","No")))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OR($C883="",$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RANGE",IF(COUNTIF(nrES_RecID,$B883)&gt;1,"DUPLICATE RECORD",IF(AND($K883=2,COUNTIFS(nrES_PID,$D883,nrES_Code,$F883,nrES_Att,1)=0),"ATTEMPT 2 WITHOUT ATTEMPT 1",IF(AND($K883=2,$L883=""),"RETEST ROW HAS NO SCORE",IF(AND($H883="Final",$L883&lt;&gt;"",IFERROR(INDEX(nrCKfinalExamElig,MATCH($D883,rngCadetPIDs,0)),"")="No"),"FINAL EXAM AFTER FAILED FINAL PT (500.1.H)","OK")))))))</f>
        <v/>
      </c>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IF($C884="","",IF($K884="","",IF(COUNTIFS(nrES_PID,$D884,nrES_Code,$F884,nrES_Att,"&gt;"&amp;$K884,nrES_Raw,"&gt;=0")=0,"Yes","No")))</f>
        <v/>
      </c>
      <c r="Q884" s="17">
        <f>IF($C884="","",IF($L884="","",IF(AND($K884=1,ISNUMBER($L884),$L884&lt;$J884,COUNTIFS(nrES_PID,$D884,nrES_Code,$F884,nrES_Att,2,nrES_Raw,"&gt;=0")=0),"Yes","No")))</f>
        <v/>
      </c>
      <c r="R884" s="17">
        <f>IF($C884="","",IF($L884="","",IF(AND($K884=2,ISNUMBER($L884),$L884&lt;$J884),"Yes","No")))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OR($C884="",$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RANGE",IF(COUNTIF(nrES_RecID,$B884)&gt;1,"DUPLICATE RECORD",IF(AND($K884=2,COUNTIFS(nrES_PID,$D884,nrES_Code,$F884,nrES_Att,1)=0),"ATTEMPT 2 WITHOUT ATTEMPT 1",IF(AND($K884=2,$L884=""),"RETEST ROW HAS NO SCORE",IF(AND($H884="Final",$L884&lt;&gt;"",IFERROR(INDEX(nrCKfinalExamElig,MATCH($D884,rngCadetPIDs,0)),"")="No"),"FINAL EXAM AFTER FAILED FINAL PT (500.1.H)","OK")))))))</f>
        <v/>
      </c>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IF($C885="","",IF($K885="","",IF(COUNTIFS(nrES_PID,$D885,nrES_Code,$F885,nrES_Att,"&gt;"&amp;$K885,nrES_Raw,"&gt;=0")=0,"Yes","No")))</f>
        <v/>
      </c>
      <c r="Q885" s="17">
        <f>IF($C885="","",IF($L885="","",IF(AND($K885=1,ISNUMBER($L885),$L885&lt;$J885,COUNTIFS(nrES_PID,$D885,nrES_Code,$F885,nrES_Att,2,nrES_Raw,"&gt;=0")=0),"Yes","No")))</f>
        <v/>
      </c>
      <c r="R885" s="17">
        <f>IF($C885="","",IF($L885="","",IF(AND($K885=2,ISNUMBER($L885),$L885&lt;$J885),"Yes","No")))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OR($C885="",$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RANGE",IF(COUNTIF(nrES_RecID,$B885)&gt;1,"DUPLICATE RECORD",IF(AND($K885=2,COUNTIFS(nrES_PID,$D885,nrES_Code,$F885,nrES_Att,1)=0),"ATTEMPT 2 WITHOUT ATTEMPT 1",IF(AND($K885=2,$L885=""),"RETEST ROW HAS NO SCORE",IF(AND($H885="Final",$L885&lt;&gt;"",IFERROR(INDEX(nrCKfinalExamElig,MATCH($D885,rngCadetPIDs,0)),"")="No"),"FINAL EXAM AFTER FAILED FINAL PT (500.1.H)","OK")))))))</f>
        <v/>
      </c>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IF($C886="","",IF($K886="","",IF(COUNTIFS(nrES_PID,$D886,nrES_Code,$F886,nrES_Att,"&gt;"&amp;$K886,nrES_Raw,"&gt;=0")=0,"Yes","No")))</f>
        <v/>
      </c>
      <c r="Q886" s="17">
        <f>IF($C886="","",IF($L886="","",IF(AND($K886=1,ISNUMBER($L886),$L886&lt;$J886,COUNTIFS(nrES_PID,$D886,nrES_Code,$F886,nrES_Att,2,nrES_Raw,"&gt;=0")=0),"Yes","No")))</f>
        <v/>
      </c>
      <c r="R886" s="17">
        <f>IF($C886="","",IF($L886="","",IF(AND($K886=2,ISNUMBER($L886),$L886&lt;$J886),"Yes","No")))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OR($C886="",$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RANGE",IF(COUNTIF(nrES_RecID,$B886)&gt;1,"DUPLICATE RECORD",IF(AND($K886=2,COUNTIFS(nrES_PID,$D886,nrES_Code,$F886,nrES_Att,1)=0),"ATTEMPT 2 WITHOUT ATTEMPT 1",IF(AND($K886=2,$L886=""),"RETEST ROW HAS NO SCORE",IF(AND($H886="Final",$L886&lt;&gt;"",IFERROR(INDEX(nrCKfinalExamElig,MATCH($D886,rngCadetPIDs,0)),"")="No"),"FINAL EXAM AFTER FAILED FINAL PT (500.1.H)","OK")))))))</f>
        <v/>
      </c>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IF($C887="","",IF($K887="","",IF(COUNTIFS(nrES_PID,$D887,nrES_Code,$F887,nrES_Att,"&gt;"&amp;$K887,nrES_Raw,"&gt;=0")=0,"Yes","No")))</f>
        <v/>
      </c>
      <c r="Q887" s="17">
        <f>IF($C887="","",IF($L887="","",IF(AND($K887=1,ISNUMBER($L887),$L887&lt;$J887,COUNTIFS(nrES_PID,$D887,nrES_Code,$F887,nrES_Att,2,nrES_Raw,"&gt;=0")=0),"Yes","No")))</f>
        <v/>
      </c>
      <c r="R887" s="17">
        <f>IF($C887="","",IF($L887="","",IF(AND($K887=2,ISNUMBER($L887),$L887&lt;$J887),"Yes","No")))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OR($C887="",$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RANGE",IF(COUNTIF(nrES_RecID,$B887)&gt;1,"DUPLICATE RECORD",IF(AND($K887=2,COUNTIFS(nrES_PID,$D887,nrES_Code,$F887,nrES_Att,1)=0),"ATTEMPT 2 WITHOUT ATTEMPT 1",IF(AND($K887=2,$L887=""),"RETEST ROW HAS NO SCORE",IF(AND($H887="Final",$L887&lt;&gt;"",IFERROR(INDEX(nrCKfinalExamElig,MATCH($D887,rngCadetPIDs,0)),"")="No"),"FINAL EXAM AFTER FAILED FINAL PT (500.1.H)","OK")))))))</f>
        <v/>
      </c>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IF($C888="","",IF($K888="","",IF(COUNTIFS(nrES_PID,$D888,nrES_Code,$F888,nrES_Att,"&gt;"&amp;$K888,nrES_Raw,"&gt;=0")=0,"Yes","No")))</f>
        <v/>
      </c>
      <c r="Q888" s="17">
        <f>IF($C888="","",IF($L888="","",IF(AND($K888=1,ISNUMBER($L888),$L888&lt;$J888,COUNTIFS(nrES_PID,$D888,nrES_Code,$F888,nrES_Att,2,nrES_Raw,"&gt;=0")=0),"Yes","No")))</f>
        <v/>
      </c>
      <c r="R888" s="17">
        <f>IF($C888="","",IF($L888="","",IF(AND($K888=2,ISNUMBER($L888),$L888&lt;$J888),"Yes","No")))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OR($C888="",$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RANGE",IF(COUNTIF(nrES_RecID,$B888)&gt;1,"DUPLICATE RECORD",IF(AND($K888=2,COUNTIFS(nrES_PID,$D888,nrES_Code,$F888,nrES_Att,1)=0),"ATTEMPT 2 WITHOUT ATTEMPT 1",IF(AND($K888=2,$L888=""),"RETEST ROW HAS NO SCORE",IF(AND($H888="Final",$L888&lt;&gt;"",IFERROR(INDEX(nrCKfinalExamElig,MATCH($D888,rngCadetPIDs,0)),"")="No"),"FINAL EXAM AFTER FAILED FINAL PT (500.1.H)","OK")))))))</f>
        <v/>
      </c>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IF($C889="","",IF($K889="","",IF(COUNTIFS(nrES_PID,$D889,nrES_Code,$F889,nrES_Att,"&gt;"&amp;$K889,nrES_Raw,"&gt;=0")=0,"Yes","No")))</f>
        <v/>
      </c>
      <c r="Q889" s="17">
        <f>IF($C889="","",IF($L889="","",IF(AND($K889=1,ISNUMBER($L889),$L889&lt;$J889,COUNTIFS(nrES_PID,$D889,nrES_Code,$F889,nrES_Att,2,nrES_Raw,"&gt;=0")=0),"Yes","No")))</f>
        <v/>
      </c>
      <c r="R889" s="17">
        <f>IF($C889="","",IF($L889="","",IF(AND($K889=2,ISNUMBER($L889),$L889&lt;$J889),"Yes","No")))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OR($C889="",$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RANGE",IF(COUNTIF(nrES_RecID,$B889)&gt;1,"DUPLICATE RECORD",IF(AND($K889=2,COUNTIFS(nrES_PID,$D889,nrES_Code,$F889,nrES_Att,1)=0),"ATTEMPT 2 WITHOUT ATTEMPT 1",IF(AND($K889=2,$L889=""),"RETEST ROW HAS NO SCORE",IF(AND($H889="Final",$L889&lt;&gt;"",IFERROR(INDEX(nrCKfinalExamElig,MATCH($D889,rngCadetPIDs,0)),"")="No"),"FINAL EXAM AFTER FAILED FINAL PT (500.1.H)","OK")))))))</f>
        <v/>
      </c>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IF($C890="","",IF($K890="","",IF(COUNTIFS(nrES_PID,$D890,nrES_Code,$F890,nrES_Att,"&gt;"&amp;$K890,nrES_Raw,"&gt;=0")=0,"Yes","No")))</f>
        <v/>
      </c>
      <c r="Q890" s="17">
        <f>IF($C890="","",IF($L890="","",IF(AND($K890=1,ISNUMBER($L890),$L890&lt;$J890,COUNTIFS(nrES_PID,$D890,nrES_Code,$F890,nrES_Att,2,nrES_Raw,"&gt;=0")=0),"Yes","No")))</f>
        <v/>
      </c>
      <c r="R890" s="17">
        <f>IF($C890="","",IF($L890="","",IF(AND($K890=2,ISNUMBER($L890),$L890&lt;$J890),"Yes","No")))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OR($C890="",$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RANGE",IF(COUNTIF(nrES_RecID,$B890)&gt;1,"DUPLICATE RECORD",IF(AND($K890=2,COUNTIFS(nrES_PID,$D890,nrES_Code,$F890,nrES_Att,1)=0),"ATTEMPT 2 WITHOUT ATTEMPT 1",IF(AND($K890=2,$L890=""),"RETEST ROW HAS NO SCORE",IF(AND($H890="Final",$L890&lt;&gt;"",IFERROR(INDEX(nrCKfinalExamElig,MATCH($D890,rngCadetPIDs,0)),"")="No"),"FINAL EXAM AFTER FAILED FINAL PT (500.1.H)","OK")))))))</f>
        <v/>
      </c>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IF($C891="","",IF($K891="","",IF(COUNTIFS(nrES_PID,$D891,nrES_Code,$F891,nrES_Att,"&gt;"&amp;$K891,nrES_Raw,"&gt;=0")=0,"Yes","No")))</f>
        <v/>
      </c>
      <c r="Q891" s="17">
        <f>IF($C891="","",IF($L891="","",IF(AND($K891=1,ISNUMBER($L891),$L891&lt;$J891,COUNTIFS(nrES_PID,$D891,nrES_Code,$F891,nrES_Att,2,nrES_Raw,"&gt;=0")=0),"Yes","No")))</f>
        <v/>
      </c>
      <c r="R891" s="17">
        <f>IF($C891="","",IF($L891="","",IF(AND($K891=2,ISNUMBER($L891),$L891&lt;$J891),"Yes","No")))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OR($C891="",$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RANGE",IF(COUNTIF(nrES_RecID,$B891)&gt;1,"DUPLICATE RECORD",IF(AND($K891=2,COUNTIFS(nrES_PID,$D891,nrES_Code,$F891,nrES_Att,1)=0),"ATTEMPT 2 WITHOUT ATTEMPT 1",IF(AND($K891=2,$L891=""),"RETEST ROW HAS NO SCORE",IF(AND($H891="Final",$L891&lt;&gt;"",IFERROR(INDEX(nrCKfinalExamElig,MATCH($D891,rngCadetPIDs,0)),"")="No"),"FINAL EXAM AFTER FAILED FINAL PT (500.1.H)","OK")))))))</f>
        <v/>
      </c>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IF($C892="","",IF($K892="","",IF(COUNTIFS(nrES_PID,$D892,nrES_Code,$F892,nrES_Att,"&gt;"&amp;$K892,nrES_Raw,"&gt;=0")=0,"Yes","No")))</f>
        <v/>
      </c>
      <c r="Q892" s="17">
        <f>IF($C892="","",IF($L892="","",IF(AND($K892=1,ISNUMBER($L892),$L892&lt;$J892,COUNTIFS(nrES_PID,$D892,nrES_Code,$F892,nrES_Att,2,nrES_Raw,"&gt;=0")=0),"Yes","No")))</f>
        <v/>
      </c>
      <c r="R892" s="17">
        <f>IF($C892="","",IF($L892="","",IF(AND($K892=2,ISNUMBER($L892),$L892&lt;$J892),"Yes","No")))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OR($C892="",$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RANGE",IF(COUNTIF(nrES_RecID,$B892)&gt;1,"DUPLICATE RECORD",IF(AND($K892=2,COUNTIFS(nrES_PID,$D892,nrES_Code,$F892,nrES_Att,1)=0),"ATTEMPT 2 WITHOUT ATTEMPT 1",IF(AND($K892=2,$L892=""),"RETEST ROW HAS NO SCORE",IF(AND($H892="Final",$L892&lt;&gt;"",IFERROR(INDEX(nrCKfinalExamElig,MATCH($D892,rngCadetPIDs,0)),"")="No"),"FINAL EXAM AFTER FAILED FINAL PT (500.1.H)","OK")))))))</f>
        <v/>
      </c>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IF($C893="","",IF($K893="","",IF(COUNTIFS(nrES_PID,$D893,nrES_Code,$F893,nrES_Att,"&gt;"&amp;$K893,nrES_Raw,"&gt;=0")=0,"Yes","No")))</f>
        <v/>
      </c>
      <c r="Q893" s="17">
        <f>IF($C893="","",IF($L893="","",IF(AND($K893=1,ISNUMBER($L893),$L893&lt;$J893,COUNTIFS(nrES_PID,$D893,nrES_Code,$F893,nrES_Att,2,nrES_Raw,"&gt;=0")=0),"Yes","No")))</f>
        <v/>
      </c>
      <c r="R893" s="17">
        <f>IF($C893="","",IF($L893="","",IF(AND($K893=2,ISNUMBER($L893),$L893&lt;$J893),"Yes","No")))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OR($C893="",$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RANGE",IF(COUNTIF(nrES_RecID,$B893)&gt;1,"DUPLICATE RECORD",IF(AND($K893=2,COUNTIFS(nrES_PID,$D893,nrES_Code,$F893,nrES_Att,1)=0),"ATTEMPT 2 WITHOUT ATTEMPT 1",IF(AND($K893=2,$L893=""),"RETEST ROW HAS NO SCORE",IF(AND($H893="Final",$L893&lt;&gt;"",IFERROR(INDEX(nrCKfinalExamElig,MATCH($D893,rngCadetPIDs,0)),"")="No"),"FINAL EXAM AFTER FAILED FINAL PT (500.1.H)","OK")))))))</f>
        <v/>
      </c>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IF($C894="","",IF($K894="","",IF(COUNTIFS(nrES_PID,$D894,nrES_Code,$F894,nrES_Att,"&gt;"&amp;$K894,nrES_Raw,"&gt;=0")=0,"Yes","No")))</f>
        <v/>
      </c>
      <c r="Q894" s="17">
        <f>IF($C894="","",IF($L894="","",IF(AND($K894=1,ISNUMBER($L894),$L894&lt;$J894,COUNTIFS(nrES_PID,$D894,nrES_Code,$F894,nrES_Att,2,nrES_Raw,"&gt;=0")=0),"Yes","No")))</f>
        <v/>
      </c>
      <c r="R894" s="17">
        <f>IF($C894="","",IF($L894="","",IF(AND($K894=2,ISNUMBER($L894),$L894&lt;$J894),"Yes","No")))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OR($C894="",$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RANGE",IF(COUNTIF(nrES_RecID,$B894)&gt;1,"DUPLICATE RECORD",IF(AND($K894=2,COUNTIFS(nrES_PID,$D894,nrES_Code,$F894,nrES_Att,1)=0),"ATTEMPT 2 WITHOUT ATTEMPT 1",IF(AND($K894=2,$L894=""),"RETEST ROW HAS NO SCORE",IF(AND($H894="Final",$L894&lt;&gt;"",IFERROR(INDEX(nrCKfinalExamElig,MATCH($D894,rngCadetPIDs,0)),"")="No"),"FINAL EXAM AFTER FAILED FINAL PT (500.1.H)","OK")))))))</f>
        <v/>
      </c>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IF($C895="","",IF($K895="","",IF(COUNTIFS(nrES_PID,$D895,nrES_Code,$F895,nrES_Att,"&gt;"&amp;$K895,nrES_Raw,"&gt;=0")=0,"Yes","No")))</f>
        <v/>
      </c>
      <c r="Q895" s="17">
        <f>IF($C895="","",IF($L895="","",IF(AND($K895=1,ISNUMBER($L895),$L895&lt;$J895,COUNTIFS(nrES_PID,$D895,nrES_Code,$F895,nrES_Att,2,nrES_Raw,"&gt;=0")=0),"Yes","No")))</f>
        <v/>
      </c>
      <c r="R895" s="17">
        <f>IF($C895="","",IF($L895="","",IF(AND($K895=2,ISNUMBER($L895),$L895&lt;$J895),"Yes","No")))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OR($C895="",$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RANGE",IF(COUNTIF(nrES_RecID,$B895)&gt;1,"DUPLICATE RECORD",IF(AND($K895=2,COUNTIFS(nrES_PID,$D895,nrES_Code,$F895,nrES_Att,1)=0),"ATTEMPT 2 WITHOUT ATTEMPT 1",IF(AND($K895=2,$L895=""),"RETEST ROW HAS NO SCORE",IF(AND($H895="Final",$L895&lt;&gt;"",IFERROR(INDEX(nrCKfinalExamElig,MATCH($D895,rngCadetPIDs,0)),"")="No"),"FINAL EXAM AFTER FAILED FINAL PT (500.1.H)","OK")))))))</f>
        <v/>
      </c>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IF($C896="","",IF($K896="","",IF(COUNTIFS(nrES_PID,$D896,nrES_Code,$F896,nrES_Att,"&gt;"&amp;$K896,nrES_Raw,"&gt;=0")=0,"Yes","No")))</f>
        <v/>
      </c>
      <c r="Q896" s="17">
        <f>IF($C896="","",IF($L896="","",IF(AND($K896=1,ISNUMBER($L896),$L896&lt;$J896,COUNTIFS(nrES_PID,$D896,nrES_Code,$F896,nrES_Att,2,nrES_Raw,"&gt;=0")=0),"Yes","No")))</f>
        <v/>
      </c>
      <c r="R896" s="17">
        <f>IF($C896="","",IF($L896="","",IF(AND($K896=2,ISNUMBER($L896),$L896&lt;$J896),"Yes","No")))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OR($C896="",$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RANGE",IF(COUNTIF(nrES_RecID,$B896)&gt;1,"DUPLICATE RECORD",IF(AND($K896=2,COUNTIFS(nrES_PID,$D896,nrES_Code,$F896,nrES_Att,1)=0),"ATTEMPT 2 WITHOUT ATTEMPT 1",IF(AND($K896=2,$L896=""),"RETEST ROW HAS NO SCORE",IF(AND($H896="Final",$L896&lt;&gt;"",IFERROR(INDEX(nrCKfinalExamElig,MATCH($D896,rngCadetPIDs,0)),"")="No"),"FINAL EXAM AFTER FAILED FINAL PT (500.1.H)","OK")))))))</f>
        <v/>
      </c>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IF($C897="","",IF($K897="","",IF(COUNTIFS(nrES_PID,$D897,nrES_Code,$F897,nrES_Att,"&gt;"&amp;$K897,nrES_Raw,"&gt;=0")=0,"Yes","No")))</f>
        <v/>
      </c>
      <c r="Q897" s="17">
        <f>IF($C897="","",IF($L897="","",IF(AND($K897=1,ISNUMBER($L897),$L897&lt;$J897,COUNTIFS(nrES_PID,$D897,nrES_Code,$F897,nrES_Att,2,nrES_Raw,"&gt;=0")=0),"Yes","No")))</f>
        <v/>
      </c>
      <c r="R897" s="17">
        <f>IF($C897="","",IF($L897="","",IF(AND($K897=2,ISNUMBER($L897),$L897&lt;$J897),"Yes","No")))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OR($C897="",$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RANGE",IF(COUNTIF(nrES_RecID,$B897)&gt;1,"DUPLICATE RECORD",IF(AND($K897=2,COUNTIFS(nrES_PID,$D897,nrES_Code,$F897,nrES_Att,1)=0),"ATTEMPT 2 WITHOUT ATTEMPT 1",IF(AND($K897=2,$L897=""),"RETEST ROW HAS NO SCORE",IF(AND($H897="Final",$L897&lt;&gt;"",IFERROR(INDEX(nrCKfinalExamElig,MATCH($D897,rngCadetPIDs,0)),"")="No"),"FINAL EXAM AFTER FAILED FINAL PT (500.1.H)","OK")))))))</f>
        <v/>
      </c>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IF($C898="","",IF($K898="","",IF(COUNTIFS(nrES_PID,$D898,nrES_Code,$F898,nrES_Att,"&gt;"&amp;$K898,nrES_Raw,"&gt;=0")=0,"Yes","No")))</f>
        <v/>
      </c>
      <c r="Q898" s="17">
        <f>IF($C898="","",IF($L898="","",IF(AND($K898=1,ISNUMBER($L898),$L898&lt;$J898,COUNTIFS(nrES_PID,$D898,nrES_Code,$F898,nrES_Att,2,nrES_Raw,"&gt;=0")=0),"Yes","No")))</f>
        <v/>
      </c>
      <c r="R898" s="17">
        <f>IF($C898="","",IF($L898="","",IF(AND($K898=2,ISNUMBER($L898),$L898&lt;$J898),"Yes","No")))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OR($C898="",$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RANGE",IF(COUNTIF(nrES_RecID,$B898)&gt;1,"DUPLICATE RECORD",IF(AND($K898=2,COUNTIFS(nrES_PID,$D898,nrES_Code,$F898,nrES_Att,1)=0),"ATTEMPT 2 WITHOUT ATTEMPT 1",IF(AND($K898=2,$L898=""),"RETEST ROW HAS NO SCORE",IF(AND($H898="Final",$L898&lt;&gt;"",IFERROR(INDEX(nrCKfinalExamElig,MATCH($D898,rngCadetPIDs,0)),"")="No"),"FINAL EXAM AFTER FAILED FINAL PT (500.1.H)","OK")))))))</f>
        <v/>
      </c>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IF($C899="","",IF($K899="","",IF(COUNTIFS(nrES_PID,$D899,nrES_Code,$F899,nrES_Att,"&gt;"&amp;$K899,nrES_Raw,"&gt;=0")=0,"Yes","No")))</f>
        <v/>
      </c>
      <c r="Q899" s="17">
        <f>IF($C899="","",IF($L899="","",IF(AND($K899=1,ISNUMBER($L899),$L899&lt;$J899,COUNTIFS(nrES_PID,$D899,nrES_Code,$F899,nrES_Att,2,nrES_Raw,"&gt;=0")=0),"Yes","No")))</f>
        <v/>
      </c>
      <c r="R899" s="17">
        <f>IF($C899="","",IF($L899="","",IF(AND($K899=2,ISNUMBER($L899),$L899&lt;$J899),"Yes","No")))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OR($C899="",$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RANGE",IF(COUNTIF(nrES_RecID,$B899)&gt;1,"DUPLICATE RECORD",IF(AND($K899=2,COUNTIFS(nrES_PID,$D899,nrES_Code,$F899,nrES_Att,1)=0),"ATTEMPT 2 WITHOUT ATTEMPT 1",IF(AND($K899=2,$L899=""),"RETEST ROW HAS NO SCORE",IF(AND($H899="Final",$L899&lt;&gt;"",IFERROR(INDEX(nrCKfinalExamElig,MATCH($D899,rngCadetPIDs,0)),"")="No"),"FINAL EXAM AFTER FAILED FINAL PT (500.1.H)","OK")))))))</f>
        <v/>
      </c>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IF($C900="","",IF($K900="","",IF(COUNTIFS(nrES_PID,$D900,nrES_Code,$F900,nrES_Att,"&gt;"&amp;$K900,nrES_Raw,"&gt;=0")=0,"Yes","No")))</f>
        <v/>
      </c>
      <c r="Q900" s="17">
        <f>IF($C900="","",IF($L900="","",IF(AND($K900=1,ISNUMBER($L900),$L900&lt;$J900,COUNTIFS(nrES_PID,$D900,nrES_Code,$F900,nrES_Att,2,nrES_Raw,"&gt;=0")=0),"Yes","No")))</f>
        <v/>
      </c>
      <c r="R900" s="17">
        <f>IF($C900="","",IF($L900="","",IF(AND($K900=2,ISNUMBER($L900),$L900&lt;$J900),"Yes","No")))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OR($C900="",$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RANGE",IF(COUNTIF(nrES_RecID,$B900)&gt;1,"DUPLICATE RECORD",IF(AND($K900=2,COUNTIFS(nrES_PID,$D900,nrES_Code,$F900,nrES_Att,1)=0),"ATTEMPT 2 WITHOUT ATTEMPT 1",IF(AND($K900=2,$L900=""),"RETEST ROW HAS NO SCORE",IF(AND($H900="Final",$L900&lt;&gt;"",IFERROR(INDEX(nrCKfinalExamElig,MATCH($D900,rngCadetPIDs,0)),"")="No"),"FINAL EXAM AFTER FAILED FINAL PT (500.1.H)","OK")))))))</f>
        <v/>
      </c>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IF($C901="","",IF($K901="","",IF(COUNTIFS(nrES_PID,$D901,nrES_Code,$F901,nrES_Att,"&gt;"&amp;$K901,nrES_Raw,"&gt;=0")=0,"Yes","No")))</f>
        <v/>
      </c>
      <c r="Q901" s="17">
        <f>IF($C901="","",IF($L901="","",IF(AND($K901=1,ISNUMBER($L901),$L901&lt;$J901,COUNTIFS(nrES_PID,$D901,nrES_Code,$F901,nrES_Att,2,nrES_Raw,"&gt;=0")=0),"Yes","No")))</f>
        <v/>
      </c>
      <c r="R901" s="17">
        <f>IF($C901="","",IF($L901="","",IF(AND($K901=2,ISNUMBER($L901),$L901&lt;$J901),"Yes","No")))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OR($C901="",$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RANGE",IF(COUNTIF(nrES_RecID,$B901)&gt;1,"DUPLICATE RECORD",IF(AND($K901=2,COUNTIFS(nrES_PID,$D901,nrES_Code,$F901,nrES_Att,1)=0),"ATTEMPT 2 WITHOUT ATTEMPT 1",IF(AND($K901=2,$L901=""),"RETEST ROW HAS NO SCORE",IF(AND($H901="Final",$L901&lt;&gt;"",IFERROR(INDEX(nrCKfinalExamElig,MATCH($D901,rngCadetPIDs,0)),"")="No"),"FINAL EXAM AFTER FAILED FINAL PT (500.1.H)","OK")))))))</f>
        <v/>
      </c>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IF($C902="","",IF($K902="","",IF(COUNTIFS(nrES_PID,$D902,nrES_Code,$F902,nrES_Att,"&gt;"&amp;$K902,nrES_Raw,"&gt;=0")=0,"Yes","No")))</f>
        <v/>
      </c>
      <c r="Q902" s="17">
        <f>IF($C902="","",IF($L902="","",IF(AND($K902=1,ISNUMBER($L902),$L902&lt;$J902,COUNTIFS(nrES_PID,$D902,nrES_Code,$F902,nrES_Att,2,nrES_Raw,"&gt;=0")=0),"Yes","No")))</f>
        <v/>
      </c>
      <c r="R902" s="17">
        <f>IF($C902="","",IF($L902="","",IF(AND($K902=2,ISNUMBER($L902),$L902&lt;$J902),"Yes","No")))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OR($C902="",$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RANGE",IF(COUNTIF(nrES_RecID,$B902)&gt;1,"DUPLICATE RECORD",IF(AND($K902=2,COUNTIFS(nrES_PID,$D902,nrES_Code,$F902,nrES_Att,1)=0),"ATTEMPT 2 WITHOUT ATTEMPT 1",IF(AND($K902=2,$L902=""),"RETEST ROW HAS NO SCORE",IF(AND($H902="Final",$L902&lt;&gt;"",IFERROR(INDEX(nrCKfinalExamElig,MATCH($D902,rngCadetPIDs,0)),"")="No"),"FINAL EXAM AFTER FAILED FINAL PT (500.1.H)","OK")))))))</f>
        <v/>
      </c>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IF($C903="","",IF($K903="","",IF(COUNTIFS(nrES_PID,$D903,nrES_Code,$F903,nrES_Att,"&gt;"&amp;$K903,nrES_Raw,"&gt;=0")=0,"Yes","No")))</f>
        <v/>
      </c>
      <c r="Q903" s="17">
        <f>IF($C903="","",IF($L903="","",IF(AND($K903=1,ISNUMBER($L903),$L903&lt;$J903,COUNTIFS(nrES_PID,$D903,nrES_Code,$F903,nrES_Att,2,nrES_Raw,"&gt;=0")=0),"Yes","No")))</f>
        <v/>
      </c>
      <c r="R903" s="17">
        <f>IF($C903="","",IF($L903="","",IF(AND($K903=2,ISNUMBER($L903),$L903&lt;$J903),"Yes","No")))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OR($C903="",$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RANGE",IF(COUNTIF(nrES_RecID,$B903)&gt;1,"DUPLICATE RECORD",IF(AND($K903=2,COUNTIFS(nrES_PID,$D903,nrES_Code,$F903,nrES_Att,1)=0),"ATTEMPT 2 WITHOUT ATTEMPT 1",IF(AND($K903=2,$L903=""),"RETEST ROW HAS NO SCORE",IF(AND($H903="Final",$L903&lt;&gt;"",IFERROR(INDEX(nrCKfinalExamElig,MATCH($D903,rngCadetPIDs,0)),"")="No"),"FINAL EXAM AFTER FAILED FINAL PT (500.1.H)","OK")))))))</f>
        <v/>
      </c>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IF($C904="","",IF($K904="","",IF(COUNTIFS(nrES_PID,$D904,nrES_Code,$F904,nrES_Att,"&gt;"&amp;$K904,nrES_Raw,"&gt;=0")=0,"Yes","No")))</f>
        <v/>
      </c>
      <c r="Q904" s="17">
        <f>IF($C904="","",IF($L904="","",IF(AND($K904=1,ISNUMBER($L904),$L904&lt;$J904,COUNTIFS(nrES_PID,$D904,nrES_Code,$F904,nrES_Att,2,nrES_Raw,"&gt;=0")=0),"Yes","No")))</f>
        <v/>
      </c>
      <c r="R904" s="17">
        <f>IF($C904="","",IF($L904="","",IF(AND($K904=2,ISNUMBER($L904),$L904&lt;$J904),"Yes","No")))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OR($C904="",$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RANGE",IF(COUNTIF(nrES_RecID,$B904)&gt;1,"DUPLICATE RECORD",IF(AND($K904=2,COUNTIFS(nrES_PID,$D904,nrES_Code,$F904,nrES_Att,1)=0),"ATTEMPT 2 WITHOUT ATTEMPT 1",IF(AND($K904=2,$L904=""),"RETEST ROW HAS NO SCORE",IF(AND($H904="Final",$L904&lt;&gt;"",IFERROR(INDEX(nrCKfinalExamElig,MATCH($D904,rngCadetPIDs,0)),"")="No"),"FINAL EXAM AFTER FAILED FINAL PT (500.1.H)","OK")))))))</f>
        <v/>
      </c>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IF($C905="","",IF($K905="","",IF(COUNTIFS(nrES_PID,$D905,nrES_Code,$F905,nrES_Att,"&gt;"&amp;$K905,nrES_Raw,"&gt;=0")=0,"Yes","No")))</f>
        <v/>
      </c>
      <c r="Q905" s="17">
        <f>IF($C905="","",IF($L905="","",IF(AND($K905=1,ISNUMBER($L905),$L905&lt;$J905,COUNTIFS(nrES_PID,$D905,nrES_Code,$F905,nrES_Att,2,nrES_Raw,"&gt;=0")=0),"Yes","No")))</f>
        <v/>
      </c>
      <c r="R905" s="17">
        <f>IF($C905="","",IF($L905="","",IF(AND($K905=2,ISNUMBER($L905),$L905&lt;$J905),"Yes","No")))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OR($C905="",$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RANGE",IF(COUNTIF(nrES_RecID,$B905)&gt;1,"DUPLICATE RECORD",IF(AND($K905=2,COUNTIFS(nrES_PID,$D905,nrES_Code,$F905,nrES_Att,1)=0),"ATTEMPT 2 WITHOUT ATTEMPT 1",IF(AND($K905=2,$L905=""),"RETEST ROW HAS NO SCORE",IF(AND($H905="Final",$L905&lt;&gt;"",IFERROR(INDEX(nrCKfinalExamElig,MATCH($D905,rngCadetPIDs,0)),"")="No"),"FINAL EXAM AFTER FAILED FINAL PT (500.1.H)","OK")))))))</f>
        <v/>
      </c>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IF($C906="","",IF($K906="","",IF(COUNTIFS(nrES_PID,$D906,nrES_Code,$F906,nrES_Att,"&gt;"&amp;$K906,nrES_Raw,"&gt;=0")=0,"Yes","No")))</f>
        <v/>
      </c>
      <c r="Q906" s="17">
        <f>IF($C906="","",IF($L906="","",IF(AND($K906=1,ISNUMBER($L906),$L906&lt;$J906,COUNTIFS(nrES_PID,$D906,nrES_Code,$F906,nrES_Att,2,nrES_Raw,"&gt;=0")=0),"Yes","No")))</f>
        <v/>
      </c>
      <c r="R906" s="17">
        <f>IF($C906="","",IF($L906="","",IF(AND($K906=2,ISNUMBER($L906),$L906&lt;$J906),"Yes","No")))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OR($C906="",$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RANGE",IF(COUNTIF(nrES_RecID,$B906)&gt;1,"DUPLICATE RECORD",IF(AND($K906=2,COUNTIFS(nrES_PID,$D906,nrES_Code,$F906,nrES_Att,1)=0),"ATTEMPT 2 WITHOUT ATTEMPT 1",IF(AND($K906=2,$L906=""),"RETEST ROW HAS NO SCORE",IF(AND($H906="Final",$L906&lt;&gt;"",IFERROR(INDEX(nrCKfinalExamElig,MATCH($D906,rngCadetPIDs,0)),"")="No"),"FINAL EXAM AFTER FAILED FINAL PT (500.1.H)","OK")))))))</f>
        <v/>
      </c>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IF($C907="","",IF($K907="","",IF(COUNTIFS(nrES_PID,$D907,nrES_Code,$F907,nrES_Att,"&gt;"&amp;$K907,nrES_Raw,"&gt;=0")=0,"Yes","No")))</f>
        <v/>
      </c>
      <c r="Q907" s="17">
        <f>IF($C907="","",IF($L907="","",IF(AND($K907=1,ISNUMBER($L907),$L907&lt;$J907,COUNTIFS(nrES_PID,$D907,nrES_Code,$F907,nrES_Att,2,nrES_Raw,"&gt;=0")=0),"Yes","No")))</f>
        <v/>
      </c>
      <c r="R907" s="17">
        <f>IF($C907="","",IF($L907="","",IF(AND($K907=2,ISNUMBER($L907),$L907&lt;$J907),"Yes","No")))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OR($C907="",$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RANGE",IF(COUNTIF(nrES_RecID,$B907)&gt;1,"DUPLICATE RECORD",IF(AND($K907=2,COUNTIFS(nrES_PID,$D907,nrES_Code,$F907,nrES_Att,1)=0),"ATTEMPT 2 WITHOUT ATTEMPT 1",IF(AND($K907=2,$L907=""),"RETEST ROW HAS NO SCORE",IF(AND($H907="Final",$L907&lt;&gt;"",IFERROR(INDEX(nrCKfinalExamElig,MATCH($D907,rngCadetPIDs,0)),"")="No"),"FINAL EXAM AFTER FAILED FINAL PT (500.1.H)","OK")))))))</f>
        <v/>
      </c>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IF($C908="","",IF($K908="","",IF(COUNTIFS(nrES_PID,$D908,nrES_Code,$F908,nrES_Att,"&gt;"&amp;$K908,nrES_Raw,"&gt;=0")=0,"Yes","No")))</f>
        <v/>
      </c>
      <c r="Q908" s="17">
        <f>IF($C908="","",IF($L908="","",IF(AND($K908=1,ISNUMBER($L908),$L908&lt;$J908,COUNTIFS(nrES_PID,$D908,nrES_Code,$F908,nrES_Att,2,nrES_Raw,"&gt;=0")=0),"Yes","No")))</f>
        <v/>
      </c>
      <c r="R908" s="17">
        <f>IF($C908="","",IF($L908="","",IF(AND($K908=2,ISNUMBER($L908),$L908&lt;$J908),"Yes","No")))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OR($C908="",$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RANGE",IF(COUNTIF(nrES_RecID,$B908)&gt;1,"DUPLICATE RECORD",IF(AND($K908=2,COUNTIFS(nrES_PID,$D908,nrES_Code,$F908,nrES_Att,1)=0),"ATTEMPT 2 WITHOUT ATTEMPT 1",IF(AND($K908=2,$L908=""),"RETEST ROW HAS NO SCORE",IF(AND($H908="Final",$L908&lt;&gt;"",IFERROR(INDEX(nrCKfinalExamElig,MATCH($D908,rngCadetPIDs,0)),"")="No"),"FINAL EXAM AFTER FAILED FINAL PT (500.1.H)","OK")))))))</f>
        <v/>
      </c>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IF($C909="","",IF($K909="","",IF(COUNTIFS(nrES_PID,$D909,nrES_Code,$F909,nrES_Att,"&gt;"&amp;$K909,nrES_Raw,"&gt;=0")=0,"Yes","No")))</f>
        <v/>
      </c>
      <c r="Q909" s="17">
        <f>IF($C909="","",IF($L909="","",IF(AND($K909=1,ISNUMBER($L909),$L909&lt;$J909,COUNTIFS(nrES_PID,$D909,nrES_Code,$F909,nrES_Att,2,nrES_Raw,"&gt;=0")=0),"Yes","No")))</f>
        <v/>
      </c>
      <c r="R909" s="17">
        <f>IF($C909="","",IF($L909="","",IF(AND($K909=2,ISNUMBER($L909),$L909&lt;$J909),"Yes","No")))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OR($C909="",$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RANGE",IF(COUNTIF(nrES_RecID,$B909)&gt;1,"DUPLICATE RECORD",IF(AND($K909=2,COUNTIFS(nrES_PID,$D909,nrES_Code,$F909,nrES_Att,1)=0),"ATTEMPT 2 WITHOUT ATTEMPT 1",IF(AND($K909=2,$L909=""),"RETEST ROW HAS NO SCORE",IF(AND($H909="Final",$L909&lt;&gt;"",IFERROR(INDEX(nrCKfinalExamElig,MATCH($D909,rngCadetPIDs,0)),"")="No"),"FINAL EXAM AFTER FAILED FINAL PT (500.1.H)","OK")))))))</f>
        <v/>
      </c>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IF($C910="","",IF($K910="","",IF(COUNTIFS(nrES_PID,$D910,nrES_Code,$F910,nrES_Att,"&gt;"&amp;$K910,nrES_Raw,"&gt;=0")=0,"Yes","No")))</f>
        <v/>
      </c>
      <c r="Q910" s="17">
        <f>IF($C910="","",IF($L910="","",IF(AND($K910=1,ISNUMBER($L910),$L910&lt;$J910,COUNTIFS(nrES_PID,$D910,nrES_Code,$F910,nrES_Att,2,nrES_Raw,"&gt;=0")=0),"Yes","No")))</f>
        <v/>
      </c>
      <c r="R910" s="17">
        <f>IF($C910="","",IF($L910="","",IF(AND($K910=2,ISNUMBER($L910),$L910&lt;$J910),"Yes","No")))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OR($C910="",$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RANGE",IF(COUNTIF(nrES_RecID,$B910)&gt;1,"DUPLICATE RECORD",IF(AND($K910=2,COUNTIFS(nrES_PID,$D910,nrES_Code,$F910,nrES_Att,1)=0),"ATTEMPT 2 WITHOUT ATTEMPT 1",IF(AND($K910=2,$L910=""),"RETEST ROW HAS NO SCORE",IF(AND($H910="Final",$L910&lt;&gt;"",IFERROR(INDEX(nrCKfinalExamElig,MATCH($D910,rngCadetPIDs,0)),"")="No"),"FINAL EXAM AFTER FAILED FINAL PT (500.1.H)","OK")))))))</f>
        <v/>
      </c>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IF($C911="","",IF($K911="","",IF(COUNTIFS(nrES_PID,$D911,nrES_Code,$F911,nrES_Att,"&gt;"&amp;$K911,nrES_Raw,"&gt;=0")=0,"Yes","No")))</f>
        <v/>
      </c>
      <c r="Q911" s="17">
        <f>IF($C911="","",IF($L911="","",IF(AND($K911=1,ISNUMBER($L911),$L911&lt;$J911,COUNTIFS(nrES_PID,$D911,nrES_Code,$F911,nrES_Att,2,nrES_Raw,"&gt;=0")=0),"Yes","No")))</f>
        <v/>
      </c>
      <c r="R911" s="17">
        <f>IF($C911="","",IF($L911="","",IF(AND($K911=2,ISNUMBER($L911),$L911&lt;$J911),"Yes","No")))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OR($C911="",$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RANGE",IF(COUNTIF(nrES_RecID,$B911)&gt;1,"DUPLICATE RECORD",IF(AND($K911=2,COUNTIFS(nrES_PID,$D911,nrES_Code,$F911,nrES_Att,1)=0),"ATTEMPT 2 WITHOUT ATTEMPT 1",IF(AND($K911=2,$L911=""),"RETEST ROW HAS NO SCORE",IF(AND($H911="Final",$L911&lt;&gt;"",IFERROR(INDEX(nrCKfinalExamElig,MATCH($D911,rngCadetPIDs,0)),"")="No"),"FINAL EXAM AFTER FAILED FINAL PT (500.1.H)","OK")))))))</f>
        <v/>
      </c>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IF($C912="","",IF($K912="","",IF(COUNTIFS(nrES_PID,$D912,nrES_Code,$F912,nrES_Att,"&gt;"&amp;$K912,nrES_Raw,"&gt;=0")=0,"Yes","No")))</f>
        <v/>
      </c>
      <c r="Q912" s="17">
        <f>IF($C912="","",IF($L912="","",IF(AND($K912=1,ISNUMBER($L912),$L912&lt;$J912,COUNTIFS(nrES_PID,$D912,nrES_Code,$F912,nrES_Att,2,nrES_Raw,"&gt;=0")=0),"Yes","No")))</f>
        <v/>
      </c>
      <c r="R912" s="17">
        <f>IF($C912="","",IF($L912="","",IF(AND($K912=2,ISNUMBER($L912),$L912&lt;$J912),"Yes","No")))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OR($C912="",$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RANGE",IF(COUNTIF(nrES_RecID,$B912)&gt;1,"DUPLICATE RECORD",IF(AND($K912=2,COUNTIFS(nrES_PID,$D912,nrES_Code,$F912,nrES_Att,1)=0),"ATTEMPT 2 WITHOUT ATTEMPT 1",IF(AND($K912=2,$L912=""),"RETEST ROW HAS NO SCORE",IF(AND($H912="Final",$L912&lt;&gt;"",IFERROR(INDEX(nrCKfinalExamElig,MATCH($D912,rngCadetPIDs,0)),"")="No"),"FINAL EXAM AFTER FAILED FINAL PT (500.1.H)","OK")))))))</f>
        <v/>
      </c>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IF($C913="","",IF($K913="","",IF(COUNTIFS(nrES_PID,$D913,nrES_Code,$F913,nrES_Att,"&gt;"&amp;$K913,nrES_Raw,"&gt;=0")=0,"Yes","No")))</f>
        <v/>
      </c>
      <c r="Q913" s="17">
        <f>IF($C913="","",IF($L913="","",IF(AND($K913=1,ISNUMBER($L913),$L913&lt;$J913,COUNTIFS(nrES_PID,$D913,nrES_Code,$F913,nrES_Att,2,nrES_Raw,"&gt;=0")=0),"Yes","No")))</f>
        <v/>
      </c>
      <c r="R913" s="17">
        <f>IF($C913="","",IF($L913="","",IF(AND($K913=2,ISNUMBER($L913),$L913&lt;$J913),"Yes","No")))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OR($C913="",$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RANGE",IF(COUNTIF(nrES_RecID,$B913)&gt;1,"DUPLICATE RECORD",IF(AND($K913=2,COUNTIFS(nrES_PID,$D913,nrES_Code,$F913,nrES_Att,1)=0),"ATTEMPT 2 WITHOUT ATTEMPT 1",IF(AND($K913=2,$L913=""),"RETEST ROW HAS NO SCORE",IF(AND($H913="Final",$L913&lt;&gt;"",IFERROR(INDEX(nrCKfinalExamElig,MATCH($D913,rngCadetPIDs,0)),"")="No"),"FINAL EXAM AFTER FAILED FINAL PT (500.1.H)","OK")))))))</f>
        <v/>
      </c>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IF($C914="","",IF($K914="","",IF(COUNTIFS(nrES_PID,$D914,nrES_Code,$F914,nrES_Att,"&gt;"&amp;$K914,nrES_Raw,"&gt;=0")=0,"Yes","No")))</f>
        <v/>
      </c>
      <c r="Q914" s="17">
        <f>IF($C914="","",IF($L914="","",IF(AND($K914=1,ISNUMBER($L914),$L914&lt;$J914,COUNTIFS(nrES_PID,$D914,nrES_Code,$F914,nrES_Att,2,nrES_Raw,"&gt;=0")=0),"Yes","No")))</f>
        <v/>
      </c>
      <c r="R914" s="17">
        <f>IF($C914="","",IF($L914="","",IF(AND($K914=2,ISNUMBER($L914),$L914&lt;$J914),"Yes","No")))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OR($C914="",$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RANGE",IF(COUNTIF(nrES_RecID,$B914)&gt;1,"DUPLICATE RECORD",IF(AND($K914=2,COUNTIFS(nrES_PID,$D914,nrES_Code,$F914,nrES_Att,1)=0),"ATTEMPT 2 WITHOUT ATTEMPT 1",IF(AND($K914=2,$L914=""),"RETEST ROW HAS NO SCORE",IF(AND($H914="Final",$L914&lt;&gt;"",IFERROR(INDEX(nrCKfinalExamElig,MATCH($D914,rngCadetPIDs,0)),"")="No"),"FINAL EXAM AFTER FAILED FINAL PT (500.1.H)","OK")))))))</f>
        <v/>
      </c>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IF($C915="","",IF($K915="","",IF(COUNTIFS(nrES_PID,$D915,nrES_Code,$F915,nrES_Att,"&gt;"&amp;$K915,nrES_Raw,"&gt;=0")=0,"Yes","No")))</f>
        <v/>
      </c>
      <c r="Q915" s="17">
        <f>IF($C915="","",IF($L915="","",IF(AND($K915=1,ISNUMBER($L915),$L915&lt;$J915,COUNTIFS(nrES_PID,$D915,nrES_Code,$F915,nrES_Att,2,nrES_Raw,"&gt;=0")=0),"Yes","No")))</f>
        <v/>
      </c>
      <c r="R915" s="17">
        <f>IF($C915="","",IF($L915="","",IF(AND($K915=2,ISNUMBER($L915),$L915&lt;$J915),"Yes","No")))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OR($C915="",$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RANGE",IF(COUNTIF(nrES_RecID,$B915)&gt;1,"DUPLICATE RECORD",IF(AND($K915=2,COUNTIFS(nrES_PID,$D915,nrES_Code,$F915,nrES_Att,1)=0),"ATTEMPT 2 WITHOUT ATTEMPT 1",IF(AND($K915=2,$L915=""),"RETEST ROW HAS NO SCORE",IF(AND($H915="Final",$L915&lt;&gt;"",IFERROR(INDEX(nrCKfinalExamElig,MATCH($D915,rngCadetPIDs,0)),"")="No"),"FINAL EXAM AFTER FAILED FINAL PT (500.1.H)","OK")))))))</f>
        <v/>
      </c>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IF($C916="","",IF($K916="","",IF(COUNTIFS(nrES_PID,$D916,nrES_Code,$F916,nrES_Att,"&gt;"&amp;$K916,nrES_Raw,"&gt;=0")=0,"Yes","No")))</f>
        <v/>
      </c>
      <c r="Q916" s="17">
        <f>IF($C916="","",IF($L916="","",IF(AND($K916=1,ISNUMBER($L916),$L916&lt;$J916,COUNTIFS(nrES_PID,$D916,nrES_Code,$F916,nrES_Att,2,nrES_Raw,"&gt;=0")=0),"Yes","No")))</f>
        <v/>
      </c>
      <c r="R916" s="17">
        <f>IF($C916="","",IF($L916="","",IF(AND($K916=2,ISNUMBER($L916),$L916&lt;$J916),"Yes","No")))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OR($C916="",$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RANGE",IF(COUNTIF(nrES_RecID,$B916)&gt;1,"DUPLICATE RECORD",IF(AND($K916=2,COUNTIFS(nrES_PID,$D916,nrES_Code,$F916,nrES_Att,1)=0),"ATTEMPT 2 WITHOUT ATTEMPT 1",IF(AND($K916=2,$L916=""),"RETEST ROW HAS NO SCORE",IF(AND($H916="Final",$L916&lt;&gt;"",IFERROR(INDEX(nrCKfinalExamElig,MATCH($D916,rngCadetPIDs,0)),"")="No"),"FINAL EXAM AFTER FAILED FINAL PT (500.1.H)","OK")))))))</f>
        <v/>
      </c>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IF($C917="","",IF($K917="","",IF(COUNTIFS(nrES_PID,$D917,nrES_Code,$F917,nrES_Att,"&gt;"&amp;$K917,nrES_Raw,"&gt;=0")=0,"Yes","No")))</f>
        <v/>
      </c>
      <c r="Q917" s="17">
        <f>IF($C917="","",IF($L917="","",IF(AND($K917=1,ISNUMBER($L917),$L917&lt;$J917,COUNTIFS(nrES_PID,$D917,nrES_Code,$F917,nrES_Att,2,nrES_Raw,"&gt;=0")=0),"Yes","No")))</f>
        <v/>
      </c>
      <c r="R917" s="17">
        <f>IF($C917="","",IF($L917="","",IF(AND($K917=2,ISNUMBER($L917),$L917&lt;$J917),"Yes","No")))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OR($C917="",$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RANGE",IF(COUNTIF(nrES_RecID,$B917)&gt;1,"DUPLICATE RECORD",IF(AND($K917=2,COUNTIFS(nrES_PID,$D917,nrES_Code,$F917,nrES_Att,1)=0),"ATTEMPT 2 WITHOUT ATTEMPT 1",IF(AND($K917=2,$L917=""),"RETEST ROW HAS NO SCORE",IF(AND($H917="Final",$L917&lt;&gt;"",IFERROR(INDEX(nrCKfinalExamElig,MATCH($D917,rngCadetPIDs,0)),"")="No"),"FINAL EXAM AFTER FAILED FINAL PT (500.1.H)","OK")))))))</f>
        <v/>
      </c>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IF($C918="","",IF($K918="","",IF(COUNTIFS(nrES_PID,$D918,nrES_Code,$F918,nrES_Att,"&gt;"&amp;$K918,nrES_Raw,"&gt;=0")=0,"Yes","No")))</f>
        <v/>
      </c>
      <c r="Q918" s="17">
        <f>IF($C918="","",IF($L918="","",IF(AND($K918=1,ISNUMBER($L918),$L918&lt;$J918,COUNTIFS(nrES_PID,$D918,nrES_Code,$F918,nrES_Att,2,nrES_Raw,"&gt;=0")=0),"Yes","No")))</f>
        <v/>
      </c>
      <c r="R918" s="17">
        <f>IF($C918="","",IF($L918="","",IF(AND($K918=2,ISNUMBER($L918),$L918&lt;$J918),"Yes","No")))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OR($C918="",$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RANGE",IF(COUNTIF(nrES_RecID,$B918)&gt;1,"DUPLICATE RECORD",IF(AND($K918=2,COUNTIFS(nrES_PID,$D918,nrES_Code,$F918,nrES_Att,1)=0),"ATTEMPT 2 WITHOUT ATTEMPT 1",IF(AND($K918=2,$L918=""),"RETEST ROW HAS NO SCORE",IF(AND($H918="Final",$L918&lt;&gt;"",IFERROR(INDEX(nrCKfinalExamElig,MATCH($D918,rngCadetPIDs,0)),"")="No"),"FINAL EXAM AFTER FAILED FINAL PT (500.1.H)","OK")))))))</f>
        <v/>
      </c>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IF($C919="","",IF($K919="","",IF(COUNTIFS(nrES_PID,$D919,nrES_Code,$F919,nrES_Att,"&gt;"&amp;$K919,nrES_Raw,"&gt;=0")=0,"Yes","No")))</f>
        <v/>
      </c>
      <c r="Q919" s="17">
        <f>IF($C919="","",IF($L919="","",IF(AND($K919=1,ISNUMBER($L919),$L919&lt;$J919,COUNTIFS(nrES_PID,$D919,nrES_Code,$F919,nrES_Att,2,nrES_Raw,"&gt;=0")=0),"Yes","No")))</f>
        <v/>
      </c>
      <c r="R919" s="17">
        <f>IF($C919="","",IF($L919="","",IF(AND($K919=2,ISNUMBER($L919),$L919&lt;$J919),"Yes","No")))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OR($C919="",$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RANGE",IF(COUNTIF(nrES_RecID,$B919)&gt;1,"DUPLICATE RECORD",IF(AND($K919=2,COUNTIFS(nrES_PID,$D919,nrES_Code,$F919,nrES_Att,1)=0),"ATTEMPT 2 WITHOUT ATTEMPT 1",IF(AND($K919=2,$L919=""),"RETEST ROW HAS NO SCORE",IF(AND($H919="Final",$L919&lt;&gt;"",IFERROR(INDEX(nrCKfinalExamElig,MATCH($D919,rngCadetPIDs,0)),"")="No"),"FINAL EXAM AFTER FAILED FINAL PT (500.1.H)","OK")))))))</f>
        <v/>
      </c>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IF($C920="","",IF($K920="","",IF(COUNTIFS(nrES_PID,$D920,nrES_Code,$F920,nrES_Att,"&gt;"&amp;$K920,nrES_Raw,"&gt;=0")=0,"Yes","No")))</f>
        <v/>
      </c>
      <c r="Q920" s="17">
        <f>IF($C920="","",IF($L920="","",IF(AND($K920=1,ISNUMBER($L920),$L920&lt;$J920,COUNTIFS(nrES_PID,$D920,nrES_Code,$F920,nrES_Att,2,nrES_Raw,"&gt;=0")=0),"Yes","No")))</f>
        <v/>
      </c>
      <c r="R920" s="17">
        <f>IF($C920="","",IF($L920="","",IF(AND($K920=2,ISNUMBER($L920),$L920&lt;$J920),"Yes","No")))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OR($C920="",$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RANGE",IF(COUNTIF(nrES_RecID,$B920)&gt;1,"DUPLICATE RECORD",IF(AND($K920=2,COUNTIFS(nrES_PID,$D920,nrES_Code,$F920,nrES_Att,1)=0),"ATTEMPT 2 WITHOUT ATTEMPT 1",IF(AND($K920=2,$L920=""),"RETEST ROW HAS NO SCORE",IF(AND($H920="Final",$L920&lt;&gt;"",IFERROR(INDEX(nrCKfinalExamElig,MATCH($D920,rngCadetPIDs,0)),"")="No"),"FINAL EXAM AFTER FAILED FINAL PT (500.1.H)","OK")))))))</f>
        <v/>
      </c>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IF($C921="","",IF($K921="","",IF(COUNTIFS(nrES_PID,$D921,nrES_Code,$F921,nrES_Att,"&gt;"&amp;$K921,nrES_Raw,"&gt;=0")=0,"Yes","No")))</f>
        <v/>
      </c>
      <c r="Q921" s="17">
        <f>IF($C921="","",IF($L921="","",IF(AND($K921=1,ISNUMBER($L921),$L921&lt;$J921,COUNTIFS(nrES_PID,$D921,nrES_Code,$F921,nrES_Att,2,nrES_Raw,"&gt;=0")=0),"Yes","No")))</f>
        <v/>
      </c>
      <c r="R921" s="17">
        <f>IF($C921="","",IF($L921="","",IF(AND($K921=2,ISNUMBER($L921),$L921&lt;$J921),"Yes","No")))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OR($C921="",$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RANGE",IF(COUNTIF(nrES_RecID,$B921)&gt;1,"DUPLICATE RECORD",IF(AND($K921=2,COUNTIFS(nrES_PID,$D921,nrES_Code,$F921,nrES_Att,1)=0),"ATTEMPT 2 WITHOUT ATTEMPT 1",IF(AND($K921=2,$L921=""),"RETEST ROW HAS NO SCORE",IF(AND($H921="Final",$L921&lt;&gt;"",IFERROR(INDEX(nrCKfinalExamElig,MATCH($D921,rngCadetPIDs,0)),"")="No"),"FINAL EXAM AFTER FAILED FINAL PT (500.1.H)","OK")))))))</f>
        <v/>
      </c>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IF($C922="","",IF($K922="","",IF(COUNTIFS(nrES_PID,$D922,nrES_Code,$F922,nrES_Att,"&gt;"&amp;$K922,nrES_Raw,"&gt;=0")=0,"Yes","No")))</f>
        <v/>
      </c>
      <c r="Q922" s="17">
        <f>IF($C922="","",IF($L922="","",IF(AND($K922=1,ISNUMBER($L922),$L922&lt;$J922,COUNTIFS(nrES_PID,$D922,nrES_Code,$F922,nrES_Att,2,nrES_Raw,"&gt;=0")=0),"Yes","No")))</f>
        <v/>
      </c>
      <c r="R922" s="17">
        <f>IF($C922="","",IF($L922="","",IF(AND($K922=2,ISNUMBER($L922),$L922&lt;$J922),"Yes","No")))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OR($C922="",$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RANGE",IF(COUNTIF(nrES_RecID,$B922)&gt;1,"DUPLICATE RECORD",IF(AND($K922=2,COUNTIFS(nrES_PID,$D922,nrES_Code,$F922,nrES_Att,1)=0),"ATTEMPT 2 WITHOUT ATTEMPT 1",IF(AND($K922=2,$L922=""),"RETEST ROW HAS NO SCORE",IF(AND($H922="Final",$L922&lt;&gt;"",IFERROR(INDEX(nrCKfinalExamElig,MATCH($D922,rngCadetPIDs,0)),"")="No"),"FINAL EXAM AFTER FAILED FINAL PT (500.1.H)","OK")))))))</f>
        <v/>
      </c>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IF($C923="","",IF($K923="","",IF(COUNTIFS(nrES_PID,$D923,nrES_Code,$F923,nrES_Att,"&gt;"&amp;$K923,nrES_Raw,"&gt;=0")=0,"Yes","No")))</f>
        <v/>
      </c>
      <c r="Q923" s="17">
        <f>IF($C923="","",IF($L923="","",IF(AND($K923=1,ISNUMBER($L923),$L923&lt;$J923,COUNTIFS(nrES_PID,$D923,nrES_Code,$F923,nrES_Att,2,nrES_Raw,"&gt;=0")=0),"Yes","No")))</f>
        <v/>
      </c>
      <c r="R923" s="17">
        <f>IF($C923="","",IF($L923="","",IF(AND($K923=2,ISNUMBER($L923),$L923&lt;$J923),"Yes","No")))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OR($C923="",$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RANGE",IF(COUNTIF(nrES_RecID,$B923)&gt;1,"DUPLICATE RECORD",IF(AND($K923=2,COUNTIFS(nrES_PID,$D923,nrES_Code,$F923,nrES_Att,1)=0),"ATTEMPT 2 WITHOUT ATTEMPT 1",IF(AND($K923=2,$L923=""),"RETEST ROW HAS NO SCORE",IF(AND($H923="Final",$L923&lt;&gt;"",IFERROR(INDEX(nrCKfinalExamElig,MATCH($D923,rngCadetPIDs,0)),"")="No"),"FINAL EXAM AFTER FAILED FINAL PT (500.1.H)","OK")))))))</f>
        <v/>
      </c>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IF($C924="","",IF($K924="","",IF(COUNTIFS(nrES_PID,$D924,nrES_Code,$F924,nrES_Att,"&gt;"&amp;$K924,nrES_Raw,"&gt;=0")=0,"Yes","No")))</f>
        <v/>
      </c>
      <c r="Q924" s="17">
        <f>IF($C924="","",IF($L924="","",IF(AND($K924=1,ISNUMBER($L924),$L924&lt;$J924,COUNTIFS(nrES_PID,$D924,nrES_Code,$F924,nrES_Att,2,nrES_Raw,"&gt;=0")=0),"Yes","No")))</f>
        <v/>
      </c>
      <c r="R924" s="17">
        <f>IF($C924="","",IF($L924="","",IF(AND($K924=2,ISNUMBER($L924),$L924&lt;$J924),"Yes","No")))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OR($C924="",$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RANGE",IF(COUNTIF(nrES_RecID,$B924)&gt;1,"DUPLICATE RECORD",IF(AND($K924=2,COUNTIFS(nrES_PID,$D924,nrES_Code,$F924,nrES_Att,1)=0),"ATTEMPT 2 WITHOUT ATTEMPT 1",IF(AND($K924=2,$L924=""),"RETEST ROW HAS NO SCORE",IF(AND($H924="Final",$L924&lt;&gt;"",IFERROR(INDEX(nrCKfinalExamElig,MATCH($D924,rngCadetPIDs,0)),"")="No"),"FINAL EXAM AFTER FAILED FINAL PT (500.1.H)","OK")))))))</f>
        <v/>
      </c>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IF($C925="","",IF($K925="","",IF(COUNTIFS(nrES_PID,$D925,nrES_Code,$F925,nrES_Att,"&gt;"&amp;$K925,nrES_Raw,"&gt;=0")=0,"Yes","No")))</f>
        <v/>
      </c>
      <c r="Q925" s="17">
        <f>IF($C925="","",IF($L925="","",IF(AND($K925=1,ISNUMBER($L925),$L925&lt;$J925,COUNTIFS(nrES_PID,$D925,nrES_Code,$F925,nrES_Att,2,nrES_Raw,"&gt;=0")=0),"Yes","No")))</f>
        <v/>
      </c>
      <c r="R925" s="17">
        <f>IF($C925="","",IF($L925="","",IF(AND($K925=2,ISNUMBER($L925),$L925&lt;$J925),"Yes","No")))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OR($C925="",$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RANGE",IF(COUNTIF(nrES_RecID,$B925)&gt;1,"DUPLICATE RECORD",IF(AND($K925=2,COUNTIFS(nrES_PID,$D925,nrES_Code,$F925,nrES_Att,1)=0),"ATTEMPT 2 WITHOUT ATTEMPT 1",IF(AND($K925=2,$L925=""),"RETEST ROW HAS NO SCORE",IF(AND($H925="Final",$L925&lt;&gt;"",IFERROR(INDEX(nrCKfinalExamElig,MATCH($D925,rngCadetPIDs,0)),"")="No"),"FINAL EXAM AFTER FAILED FINAL PT (500.1.H)","OK")))))))</f>
        <v/>
      </c>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IF($C926="","",IF($K926="","",IF(COUNTIFS(nrES_PID,$D926,nrES_Code,$F926,nrES_Att,"&gt;"&amp;$K926,nrES_Raw,"&gt;=0")=0,"Yes","No")))</f>
        <v/>
      </c>
      <c r="Q926" s="17">
        <f>IF($C926="","",IF($L926="","",IF(AND($K926=1,ISNUMBER($L926),$L926&lt;$J926,COUNTIFS(nrES_PID,$D926,nrES_Code,$F926,nrES_Att,2,nrES_Raw,"&gt;=0")=0),"Yes","No")))</f>
        <v/>
      </c>
      <c r="R926" s="17">
        <f>IF($C926="","",IF($L926="","",IF(AND($K926=2,ISNUMBER($L926),$L926&lt;$J926),"Yes","No")))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OR($C926="",$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RANGE",IF(COUNTIF(nrES_RecID,$B926)&gt;1,"DUPLICATE RECORD",IF(AND($K926=2,COUNTIFS(nrES_PID,$D926,nrES_Code,$F926,nrES_Att,1)=0),"ATTEMPT 2 WITHOUT ATTEMPT 1",IF(AND($K926=2,$L926=""),"RETEST ROW HAS NO SCORE",IF(AND($H926="Final",$L926&lt;&gt;"",IFERROR(INDEX(nrCKfinalExamElig,MATCH($D926,rngCadetPIDs,0)),"")="No"),"FINAL EXAM AFTER FAILED FINAL PT (500.1.H)","OK")))))))</f>
        <v/>
      </c>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IF($C927="","",IF($K927="","",IF(COUNTIFS(nrES_PID,$D927,nrES_Code,$F927,nrES_Att,"&gt;"&amp;$K927,nrES_Raw,"&gt;=0")=0,"Yes","No")))</f>
        <v/>
      </c>
      <c r="Q927" s="17">
        <f>IF($C927="","",IF($L927="","",IF(AND($K927=1,ISNUMBER($L927),$L927&lt;$J927,COUNTIFS(nrES_PID,$D927,nrES_Code,$F927,nrES_Att,2,nrES_Raw,"&gt;=0")=0),"Yes","No")))</f>
        <v/>
      </c>
      <c r="R927" s="17">
        <f>IF($C927="","",IF($L927="","",IF(AND($K927=2,ISNUMBER($L927),$L927&lt;$J927),"Yes","No")))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OR($C927="",$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RANGE",IF(COUNTIF(nrES_RecID,$B927)&gt;1,"DUPLICATE RECORD",IF(AND($K927=2,COUNTIFS(nrES_PID,$D927,nrES_Code,$F927,nrES_Att,1)=0),"ATTEMPT 2 WITHOUT ATTEMPT 1",IF(AND($K927=2,$L927=""),"RETEST ROW HAS NO SCORE",IF(AND($H927="Final",$L927&lt;&gt;"",IFERROR(INDEX(nrCKfinalExamElig,MATCH($D927,rngCadetPIDs,0)),"")="No"),"FINAL EXAM AFTER FAILED FINAL PT (500.1.H)","OK")))))))</f>
        <v/>
      </c>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IF($C928="","",IF($K928="","",IF(COUNTIFS(nrES_PID,$D928,nrES_Code,$F928,nrES_Att,"&gt;"&amp;$K928,nrES_Raw,"&gt;=0")=0,"Yes","No")))</f>
        <v/>
      </c>
      <c r="Q928" s="17">
        <f>IF($C928="","",IF($L928="","",IF(AND($K928=1,ISNUMBER($L928),$L928&lt;$J928,COUNTIFS(nrES_PID,$D928,nrES_Code,$F928,nrES_Att,2,nrES_Raw,"&gt;=0")=0),"Yes","No")))</f>
        <v/>
      </c>
      <c r="R928" s="17">
        <f>IF($C928="","",IF($L928="","",IF(AND($K928=2,ISNUMBER($L928),$L928&lt;$J928),"Yes","No")))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OR($C928="",$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RANGE",IF(COUNTIF(nrES_RecID,$B928)&gt;1,"DUPLICATE RECORD",IF(AND($K928=2,COUNTIFS(nrES_PID,$D928,nrES_Code,$F928,nrES_Att,1)=0),"ATTEMPT 2 WITHOUT ATTEMPT 1",IF(AND($K928=2,$L928=""),"RETEST ROW HAS NO SCORE",IF(AND($H928="Final",$L928&lt;&gt;"",IFERROR(INDEX(nrCKfinalExamElig,MATCH($D928,rngCadetPIDs,0)),"")="No"),"FINAL EXAM AFTER FAILED FINAL PT (500.1.H)","OK")))))))</f>
        <v/>
      </c>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IF($C929="","",IF($K929="","",IF(COUNTIFS(nrES_PID,$D929,nrES_Code,$F929,nrES_Att,"&gt;"&amp;$K929,nrES_Raw,"&gt;=0")=0,"Yes","No")))</f>
        <v/>
      </c>
      <c r="Q929" s="17">
        <f>IF($C929="","",IF($L929="","",IF(AND($K929=1,ISNUMBER($L929),$L929&lt;$J929,COUNTIFS(nrES_PID,$D929,nrES_Code,$F929,nrES_Att,2,nrES_Raw,"&gt;=0")=0),"Yes","No")))</f>
        <v/>
      </c>
      <c r="R929" s="17">
        <f>IF($C929="","",IF($L929="","",IF(AND($K929=2,ISNUMBER($L929),$L929&lt;$J929),"Yes","No")))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OR($C929="",$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RANGE",IF(COUNTIF(nrES_RecID,$B929)&gt;1,"DUPLICATE RECORD",IF(AND($K929=2,COUNTIFS(nrES_PID,$D929,nrES_Code,$F929,nrES_Att,1)=0),"ATTEMPT 2 WITHOUT ATTEMPT 1",IF(AND($K929=2,$L929=""),"RETEST ROW HAS NO SCORE",IF(AND($H929="Final",$L929&lt;&gt;"",IFERROR(INDEX(nrCKfinalExamElig,MATCH($D929,rngCadetPIDs,0)),"")="No"),"FINAL EXAM AFTER FAILED FINAL PT (500.1.H)","OK")))))))</f>
        <v/>
      </c>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IF($C930="","",IF($K930="","",IF(COUNTIFS(nrES_PID,$D930,nrES_Code,$F930,nrES_Att,"&gt;"&amp;$K930,nrES_Raw,"&gt;=0")=0,"Yes","No")))</f>
        <v/>
      </c>
      <c r="Q930" s="17">
        <f>IF($C930="","",IF($L930="","",IF(AND($K930=1,ISNUMBER($L930),$L930&lt;$J930,COUNTIFS(nrES_PID,$D930,nrES_Code,$F930,nrES_Att,2,nrES_Raw,"&gt;=0")=0),"Yes","No")))</f>
        <v/>
      </c>
      <c r="R930" s="17">
        <f>IF($C930="","",IF($L930="","",IF(AND($K930=2,ISNUMBER($L930),$L930&lt;$J930),"Yes","No")))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OR($C930="",$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RANGE",IF(COUNTIF(nrES_RecID,$B930)&gt;1,"DUPLICATE RECORD",IF(AND($K930=2,COUNTIFS(nrES_PID,$D930,nrES_Code,$F930,nrES_Att,1)=0),"ATTEMPT 2 WITHOUT ATTEMPT 1",IF(AND($K930=2,$L930=""),"RETEST ROW HAS NO SCORE",IF(AND($H930="Final",$L930&lt;&gt;"",IFERROR(INDEX(nrCKfinalExamElig,MATCH($D930,rngCadetPIDs,0)),"")="No"),"FINAL EXAM AFTER FAILED FINAL PT (500.1.H)","OK")))))))</f>
        <v/>
      </c>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IF($C931="","",IF($K931="","",IF(COUNTIFS(nrES_PID,$D931,nrES_Code,$F931,nrES_Att,"&gt;"&amp;$K931,nrES_Raw,"&gt;=0")=0,"Yes","No")))</f>
        <v/>
      </c>
      <c r="Q931" s="17">
        <f>IF($C931="","",IF($L931="","",IF(AND($K931=1,ISNUMBER($L931),$L931&lt;$J931,COUNTIFS(nrES_PID,$D931,nrES_Code,$F931,nrES_Att,2,nrES_Raw,"&gt;=0")=0),"Yes","No")))</f>
        <v/>
      </c>
      <c r="R931" s="17">
        <f>IF($C931="","",IF($L931="","",IF(AND($K931=2,ISNUMBER($L931),$L931&lt;$J931),"Yes","No")))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OR($C931="",$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RANGE",IF(COUNTIF(nrES_RecID,$B931)&gt;1,"DUPLICATE RECORD",IF(AND($K931=2,COUNTIFS(nrES_PID,$D931,nrES_Code,$F931,nrES_Att,1)=0),"ATTEMPT 2 WITHOUT ATTEMPT 1",IF(AND($K931=2,$L931=""),"RETEST ROW HAS NO SCORE",IF(AND($H931="Final",$L931&lt;&gt;"",IFERROR(INDEX(nrCKfinalExamElig,MATCH($D931,rngCadetPIDs,0)),"")="No"),"FINAL EXAM AFTER FAILED FINAL PT (500.1.H)","OK")))))))</f>
        <v/>
      </c>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IF($C932="","",IF($K932="","",IF(COUNTIFS(nrES_PID,$D932,nrES_Code,$F932,nrES_Att,"&gt;"&amp;$K932,nrES_Raw,"&gt;=0")=0,"Yes","No")))</f>
        <v/>
      </c>
      <c r="Q932" s="17">
        <f>IF($C932="","",IF($L932="","",IF(AND($K932=1,ISNUMBER($L932),$L932&lt;$J932,COUNTIFS(nrES_PID,$D932,nrES_Code,$F932,nrES_Att,2,nrES_Raw,"&gt;=0")=0),"Yes","No")))</f>
        <v/>
      </c>
      <c r="R932" s="17">
        <f>IF($C932="","",IF($L932="","",IF(AND($K932=2,ISNUMBER($L932),$L932&lt;$J932),"Yes","No")))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OR($C932="",$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RANGE",IF(COUNTIF(nrES_RecID,$B932)&gt;1,"DUPLICATE RECORD",IF(AND($K932=2,COUNTIFS(nrES_PID,$D932,nrES_Code,$F932,nrES_Att,1)=0),"ATTEMPT 2 WITHOUT ATTEMPT 1",IF(AND($K932=2,$L932=""),"RETEST ROW HAS NO SCORE",IF(AND($H932="Final",$L932&lt;&gt;"",IFERROR(INDEX(nrCKfinalExamElig,MATCH($D932,rngCadetPIDs,0)),"")="No"),"FINAL EXAM AFTER FAILED FINAL PT (500.1.H)","OK")))))))</f>
        <v/>
      </c>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IF($C933="","",IF($K933="","",IF(COUNTIFS(nrES_PID,$D933,nrES_Code,$F933,nrES_Att,"&gt;"&amp;$K933,nrES_Raw,"&gt;=0")=0,"Yes","No")))</f>
        <v/>
      </c>
      <c r="Q933" s="17">
        <f>IF($C933="","",IF($L933="","",IF(AND($K933=1,ISNUMBER($L933),$L933&lt;$J933,COUNTIFS(nrES_PID,$D933,nrES_Code,$F933,nrES_Att,2,nrES_Raw,"&gt;=0")=0),"Yes","No")))</f>
        <v/>
      </c>
      <c r="R933" s="17">
        <f>IF($C933="","",IF($L933="","",IF(AND($K933=2,ISNUMBER($L933),$L933&lt;$J933),"Yes","No")))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OR($C933="",$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RANGE",IF(COUNTIF(nrES_RecID,$B933)&gt;1,"DUPLICATE RECORD",IF(AND($K933=2,COUNTIFS(nrES_PID,$D933,nrES_Code,$F933,nrES_Att,1)=0),"ATTEMPT 2 WITHOUT ATTEMPT 1",IF(AND($K933=2,$L933=""),"RETEST ROW HAS NO SCORE",IF(AND($H933="Final",$L933&lt;&gt;"",IFERROR(INDEX(nrCKfinalExamElig,MATCH($D933,rngCadetPIDs,0)),"")="No"),"FINAL EXAM AFTER FAILED FINAL PT (500.1.H)","OK")))))))</f>
        <v/>
      </c>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IF($C934="","",IF($K934="","",IF(COUNTIFS(nrES_PID,$D934,nrES_Code,$F934,nrES_Att,"&gt;"&amp;$K934,nrES_Raw,"&gt;=0")=0,"Yes","No")))</f>
        <v/>
      </c>
      <c r="Q934" s="17">
        <f>IF($C934="","",IF($L934="","",IF(AND($K934=1,ISNUMBER($L934),$L934&lt;$J934,COUNTIFS(nrES_PID,$D934,nrES_Code,$F934,nrES_Att,2,nrES_Raw,"&gt;=0")=0),"Yes","No")))</f>
        <v/>
      </c>
      <c r="R934" s="17">
        <f>IF($C934="","",IF($L934="","",IF(AND($K934=2,ISNUMBER($L934),$L934&lt;$J934),"Yes","No")))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OR($C934="",$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RANGE",IF(COUNTIF(nrES_RecID,$B934)&gt;1,"DUPLICATE RECORD",IF(AND($K934=2,COUNTIFS(nrES_PID,$D934,nrES_Code,$F934,nrES_Att,1)=0),"ATTEMPT 2 WITHOUT ATTEMPT 1",IF(AND($K934=2,$L934=""),"RETEST ROW HAS NO SCORE",IF(AND($H934="Final",$L934&lt;&gt;"",IFERROR(INDEX(nrCKfinalExamElig,MATCH($D934,rngCadetPIDs,0)),"")="No"),"FINAL EXAM AFTER FAILED FINAL PT (500.1.H)","OK")))))))</f>
        <v/>
      </c>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IF($C935="","",IF($K935="","",IF(COUNTIFS(nrES_PID,$D935,nrES_Code,$F935,nrES_Att,"&gt;"&amp;$K935,nrES_Raw,"&gt;=0")=0,"Yes","No")))</f>
        <v/>
      </c>
      <c r="Q935" s="17">
        <f>IF($C935="","",IF($L935="","",IF(AND($K935=1,ISNUMBER($L935),$L935&lt;$J935,COUNTIFS(nrES_PID,$D935,nrES_Code,$F935,nrES_Att,2,nrES_Raw,"&gt;=0")=0),"Yes","No")))</f>
        <v/>
      </c>
      <c r="R935" s="17">
        <f>IF($C935="","",IF($L935="","",IF(AND($K935=2,ISNUMBER($L935),$L935&lt;$J935),"Yes","No")))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OR($C935="",$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RANGE",IF(COUNTIF(nrES_RecID,$B935)&gt;1,"DUPLICATE RECORD",IF(AND($K935=2,COUNTIFS(nrES_PID,$D935,nrES_Code,$F935,nrES_Att,1)=0),"ATTEMPT 2 WITHOUT ATTEMPT 1",IF(AND($K935=2,$L935=""),"RETEST ROW HAS NO SCORE",IF(AND($H935="Final",$L935&lt;&gt;"",IFERROR(INDEX(nrCKfinalExamElig,MATCH($D935,rngCadetPIDs,0)),"")="No"),"FINAL EXAM AFTER FAILED FINAL PT (500.1.H)","OK")))))))</f>
        <v/>
      </c>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IF($C936="","",IF($K936="","",IF(COUNTIFS(nrES_PID,$D936,nrES_Code,$F936,nrES_Att,"&gt;"&amp;$K936,nrES_Raw,"&gt;=0")=0,"Yes","No")))</f>
        <v/>
      </c>
      <c r="Q936" s="17">
        <f>IF($C936="","",IF($L936="","",IF(AND($K936=1,ISNUMBER($L936),$L936&lt;$J936,COUNTIFS(nrES_PID,$D936,nrES_Code,$F936,nrES_Att,2,nrES_Raw,"&gt;=0")=0),"Yes","No")))</f>
        <v/>
      </c>
      <c r="R936" s="17">
        <f>IF($C936="","",IF($L936="","",IF(AND($K936=2,ISNUMBER($L936),$L936&lt;$J936),"Yes","No")))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OR($C936="",$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RANGE",IF(COUNTIF(nrES_RecID,$B936)&gt;1,"DUPLICATE RECORD",IF(AND($K936=2,COUNTIFS(nrES_PID,$D936,nrES_Code,$F936,nrES_Att,1)=0),"ATTEMPT 2 WITHOUT ATTEMPT 1",IF(AND($K936=2,$L936=""),"RETEST ROW HAS NO SCORE",IF(AND($H936="Final",$L936&lt;&gt;"",IFERROR(INDEX(nrCKfinalExamElig,MATCH($D936,rngCadetPIDs,0)),"")="No"),"FINAL EXAM AFTER FAILED FINAL PT (500.1.H)","OK")))))))</f>
        <v/>
      </c>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IF($C937="","",IF($K937="","",IF(COUNTIFS(nrES_PID,$D937,nrES_Code,$F937,nrES_Att,"&gt;"&amp;$K937,nrES_Raw,"&gt;=0")=0,"Yes","No")))</f>
        <v/>
      </c>
      <c r="Q937" s="17">
        <f>IF($C937="","",IF($L937="","",IF(AND($K937=1,ISNUMBER($L937),$L937&lt;$J937,COUNTIFS(nrES_PID,$D937,nrES_Code,$F937,nrES_Att,2,nrES_Raw,"&gt;=0")=0),"Yes","No")))</f>
        <v/>
      </c>
      <c r="R937" s="17">
        <f>IF($C937="","",IF($L937="","",IF(AND($K937=2,ISNUMBER($L937),$L937&lt;$J937),"Yes","No")))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OR($C937="",$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RANGE",IF(COUNTIF(nrES_RecID,$B937)&gt;1,"DUPLICATE RECORD",IF(AND($K937=2,COUNTIFS(nrES_PID,$D937,nrES_Code,$F937,nrES_Att,1)=0),"ATTEMPT 2 WITHOUT ATTEMPT 1",IF(AND($K937=2,$L937=""),"RETEST ROW HAS NO SCORE",IF(AND($H937="Final",$L937&lt;&gt;"",IFERROR(INDEX(nrCKfinalExamElig,MATCH($D937,rngCadetPIDs,0)),"")="No"),"FINAL EXAM AFTER FAILED FINAL PT (500.1.H)","OK")))))))</f>
        <v/>
      </c>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IF($C938="","",IF($K938="","",IF(COUNTIFS(nrES_PID,$D938,nrES_Code,$F938,nrES_Att,"&gt;"&amp;$K938,nrES_Raw,"&gt;=0")=0,"Yes","No")))</f>
        <v/>
      </c>
      <c r="Q938" s="17">
        <f>IF($C938="","",IF($L938="","",IF(AND($K938=1,ISNUMBER($L938),$L938&lt;$J938,COUNTIFS(nrES_PID,$D938,nrES_Code,$F938,nrES_Att,2,nrES_Raw,"&gt;=0")=0),"Yes","No")))</f>
        <v/>
      </c>
      <c r="R938" s="17">
        <f>IF($C938="","",IF($L938="","",IF(AND($K938=2,ISNUMBER($L938),$L938&lt;$J938),"Yes","No")))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OR($C938="",$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RANGE",IF(COUNTIF(nrES_RecID,$B938)&gt;1,"DUPLICATE RECORD",IF(AND($K938=2,COUNTIFS(nrES_PID,$D938,nrES_Code,$F938,nrES_Att,1)=0),"ATTEMPT 2 WITHOUT ATTEMPT 1",IF(AND($K938=2,$L938=""),"RETEST ROW HAS NO SCORE",IF(AND($H938="Final",$L938&lt;&gt;"",IFERROR(INDEX(nrCKfinalExamElig,MATCH($D938,rngCadetPIDs,0)),"")="No"),"FINAL EXAM AFTER FAILED FINAL PT (500.1.H)","OK")))))))</f>
        <v/>
      </c>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IF($C939="","",IF($K939="","",IF(COUNTIFS(nrES_PID,$D939,nrES_Code,$F939,nrES_Att,"&gt;"&amp;$K939,nrES_Raw,"&gt;=0")=0,"Yes","No")))</f>
        <v/>
      </c>
      <c r="Q939" s="17">
        <f>IF($C939="","",IF($L939="","",IF(AND($K939=1,ISNUMBER($L939),$L939&lt;$J939,COUNTIFS(nrES_PID,$D939,nrES_Code,$F939,nrES_Att,2,nrES_Raw,"&gt;=0")=0),"Yes","No")))</f>
        <v/>
      </c>
      <c r="R939" s="17">
        <f>IF($C939="","",IF($L939="","",IF(AND($K939=2,ISNUMBER($L939),$L939&lt;$J939),"Yes","No")))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OR($C939="",$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RANGE",IF(COUNTIF(nrES_RecID,$B939)&gt;1,"DUPLICATE RECORD",IF(AND($K939=2,COUNTIFS(nrES_PID,$D939,nrES_Code,$F939,nrES_Att,1)=0),"ATTEMPT 2 WITHOUT ATTEMPT 1",IF(AND($K939=2,$L939=""),"RETEST ROW HAS NO SCORE",IF(AND($H939="Final",$L939&lt;&gt;"",IFERROR(INDEX(nrCKfinalExamElig,MATCH($D939,rngCadetPIDs,0)),"")="No"),"FINAL EXAM AFTER FAILED FINAL PT (500.1.H)","OK")))))))</f>
        <v/>
      </c>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IF($C940="","",IF($K940="","",IF(COUNTIFS(nrES_PID,$D940,nrES_Code,$F940,nrES_Att,"&gt;"&amp;$K940,nrES_Raw,"&gt;=0")=0,"Yes","No")))</f>
        <v/>
      </c>
      <c r="Q940" s="17">
        <f>IF($C940="","",IF($L940="","",IF(AND($K940=1,ISNUMBER($L940),$L940&lt;$J940,COUNTIFS(nrES_PID,$D940,nrES_Code,$F940,nrES_Att,2,nrES_Raw,"&gt;=0")=0),"Yes","No")))</f>
        <v/>
      </c>
      <c r="R940" s="17">
        <f>IF($C940="","",IF($L940="","",IF(AND($K940=2,ISNUMBER($L940),$L940&lt;$J940),"Yes","No")))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OR($C940="",$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RANGE",IF(COUNTIF(nrES_RecID,$B940)&gt;1,"DUPLICATE RECORD",IF(AND($K940=2,COUNTIFS(nrES_PID,$D940,nrES_Code,$F940,nrES_Att,1)=0),"ATTEMPT 2 WITHOUT ATTEMPT 1",IF(AND($K940=2,$L940=""),"RETEST ROW HAS NO SCORE",IF(AND($H940="Final",$L940&lt;&gt;"",IFERROR(INDEX(nrCKfinalExamElig,MATCH($D940,rngCadetPIDs,0)),"")="No"),"FINAL EXAM AFTER FAILED FINAL PT (500.1.H)","OK")))))))</f>
        <v/>
      </c>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IF($C941="","",IF($K941="","",IF(COUNTIFS(nrES_PID,$D941,nrES_Code,$F941,nrES_Att,"&gt;"&amp;$K941,nrES_Raw,"&gt;=0")=0,"Yes","No")))</f>
        <v/>
      </c>
      <c r="Q941" s="17">
        <f>IF($C941="","",IF($L941="","",IF(AND($K941=1,ISNUMBER($L941),$L941&lt;$J941,COUNTIFS(nrES_PID,$D941,nrES_Code,$F941,nrES_Att,2,nrES_Raw,"&gt;=0")=0),"Yes","No")))</f>
        <v/>
      </c>
      <c r="R941" s="17">
        <f>IF($C941="","",IF($L941="","",IF(AND($K941=2,ISNUMBER($L941),$L941&lt;$J941),"Yes","No")))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OR($C941="",$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RANGE",IF(COUNTIF(nrES_RecID,$B941)&gt;1,"DUPLICATE RECORD",IF(AND($K941=2,COUNTIFS(nrES_PID,$D941,nrES_Code,$F941,nrES_Att,1)=0),"ATTEMPT 2 WITHOUT ATTEMPT 1",IF(AND($K941=2,$L941=""),"RETEST ROW HAS NO SCORE",IF(AND($H941="Final",$L941&lt;&gt;"",IFERROR(INDEX(nrCKfinalExamElig,MATCH($D941,rngCadetPIDs,0)),"")="No"),"FINAL EXAM AFTER FAILED FINAL PT (500.1.H)","OK")))))))</f>
        <v/>
      </c>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IF($C942="","",IF($K942="","",IF(COUNTIFS(nrES_PID,$D942,nrES_Code,$F942,nrES_Att,"&gt;"&amp;$K942,nrES_Raw,"&gt;=0")=0,"Yes","No")))</f>
        <v/>
      </c>
      <c r="Q942" s="17">
        <f>IF($C942="","",IF($L942="","",IF(AND($K942=1,ISNUMBER($L942),$L942&lt;$J942,COUNTIFS(nrES_PID,$D942,nrES_Code,$F942,nrES_Att,2,nrES_Raw,"&gt;=0")=0),"Yes","No")))</f>
        <v/>
      </c>
      <c r="R942" s="17">
        <f>IF($C942="","",IF($L942="","",IF(AND($K942=2,ISNUMBER($L942),$L942&lt;$J942),"Yes","No")))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OR($C942="",$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RANGE",IF(COUNTIF(nrES_RecID,$B942)&gt;1,"DUPLICATE RECORD",IF(AND($K942=2,COUNTIFS(nrES_PID,$D942,nrES_Code,$F942,nrES_Att,1)=0),"ATTEMPT 2 WITHOUT ATTEMPT 1",IF(AND($K942=2,$L942=""),"RETEST ROW HAS NO SCORE",IF(AND($H942="Final",$L942&lt;&gt;"",IFERROR(INDEX(nrCKfinalExamElig,MATCH($D942,rngCadetPIDs,0)),"")="No"),"FINAL EXAM AFTER FAILED FINAL PT (500.1.H)","OK")))))))</f>
        <v/>
      </c>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IF($C943="","",IF($K943="","",IF(COUNTIFS(nrES_PID,$D943,nrES_Code,$F943,nrES_Att,"&gt;"&amp;$K943,nrES_Raw,"&gt;=0")=0,"Yes","No")))</f>
        <v/>
      </c>
      <c r="Q943" s="17">
        <f>IF($C943="","",IF($L943="","",IF(AND($K943=1,ISNUMBER($L943),$L943&lt;$J943,COUNTIFS(nrES_PID,$D943,nrES_Code,$F943,nrES_Att,2,nrES_Raw,"&gt;=0")=0),"Yes","No")))</f>
        <v/>
      </c>
      <c r="R943" s="17">
        <f>IF($C943="","",IF($L943="","",IF(AND($K943=2,ISNUMBER($L943),$L943&lt;$J943),"Yes","No")))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OR($C943="",$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RANGE",IF(COUNTIF(nrES_RecID,$B943)&gt;1,"DUPLICATE RECORD",IF(AND($K943=2,COUNTIFS(nrES_PID,$D943,nrES_Code,$F943,nrES_Att,1)=0),"ATTEMPT 2 WITHOUT ATTEMPT 1",IF(AND($K943=2,$L943=""),"RETEST ROW HAS NO SCORE",IF(AND($H943="Final",$L943&lt;&gt;"",IFERROR(INDEX(nrCKfinalExamElig,MATCH($D943,rngCadetPIDs,0)),"")="No"),"FINAL EXAM AFTER FAILED FINAL PT (500.1.H)","OK")))))))</f>
        <v/>
      </c>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IF($C944="","",IF($K944="","",IF(COUNTIFS(nrES_PID,$D944,nrES_Code,$F944,nrES_Att,"&gt;"&amp;$K944,nrES_Raw,"&gt;=0")=0,"Yes","No")))</f>
        <v/>
      </c>
      <c r="Q944" s="17">
        <f>IF($C944="","",IF($L944="","",IF(AND($K944=1,ISNUMBER($L944),$L944&lt;$J944,COUNTIFS(nrES_PID,$D944,nrES_Code,$F944,nrES_Att,2,nrES_Raw,"&gt;=0")=0),"Yes","No")))</f>
        <v/>
      </c>
      <c r="R944" s="17">
        <f>IF($C944="","",IF($L944="","",IF(AND($K944=2,ISNUMBER($L944),$L944&lt;$J944),"Yes","No")))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OR($C944="",$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RANGE",IF(COUNTIF(nrES_RecID,$B944)&gt;1,"DUPLICATE RECORD",IF(AND($K944=2,COUNTIFS(nrES_PID,$D944,nrES_Code,$F944,nrES_Att,1)=0),"ATTEMPT 2 WITHOUT ATTEMPT 1",IF(AND($K944=2,$L944=""),"RETEST ROW HAS NO SCORE",IF(AND($H944="Final",$L944&lt;&gt;"",IFERROR(INDEX(nrCKfinalExamElig,MATCH($D944,rngCadetPIDs,0)),"")="No"),"FINAL EXAM AFTER FAILED FINAL PT (500.1.H)","OK")))))))</f>
        <v/>
      </c>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IF($C945="","",IF($K945="","",IF(COUNTIFS(nrES_PID,$D945,nrES_Code,$F945,nrES_Att,"&gt;"&amp;$K945,nrES_Raw,"&gt;=0")=0,"Yes","No")))</f>
        <v/>
      </c>
      <c r="Q945" s="17">
        <f>IF($C945="","",IF($L945="","",IF(AND($K945=1,ISNUMBER($L945),$L945&lt;$J945,COUNTIFS(nrES_PID,$D945,nrES_Code,$F945,nrES_Att,2,nrES_Raw,"&gt;=0")=0),"Yes","No")))</f>
        <v/>
      </c>
      <c r="R945" s="17">
        <f>IF($C945="","",IF($L945="","",IF(AND($K945=2,ISNUMBER($L945),$L945&lt;$J945),"Yes","No")))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OR($C945="",$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RANGE",IF(COUNTIF(nrES_RecID,$B945)&gt;1,"DUPLICATE RECORD",IF(AND($K945=2,COUNTIFS(nrES_PID,$D945,nrES_Code,$F945,nrES_Att,1)=0),"ATTEMPT 2 WITHOUT ATTEMPT 1",IF(AND($K945=2,$L945=""),"RETEST ROW HAS NO SCORE",IF(AND($H945="Final",$L945&lt;&gt;"",IFERROR(INDEX(nrCKfinalExamElig,MATCH($D945,rngCadetPIDs,0)),"")="No"),"FINAL EXAM AFTER FAILED FINAL PT (500.1.H)","OK")))))))</f>
        <v/>
      </c>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IF($C946="","",IF($K946="","",IF(COUNTIFS(nrES_PID,$D946,nrES_Code,$F946,nrES_Att,"&gt;"&amp;$K946,nrES_Raw,"&gt;=0")=0,"Yes","No")))</f>
        <v/>
      </c>
      <c r="Q946" s="17">
        <f>IF($C946="","",IF($L946="","",IF(AND($K946=1,ISNUMBER($L946),$L946&lt;$J946,COUNTIFS(nrES_PID,$D946,nrES_Code,$F946,nrES_Att,2,nrES_Raw,"&gt;=0")=0),"Yes","No")))</f>
        <v/>
      </c>
      <c r="R946" s="17">
        <f>IF($C946="","",IF($L946="","",IF(AND($K946=2,ISNUMBER($L946),$L946&lt;$J946),"Yes","No")))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OR($C946="",$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RANGE",IF(COUNTIF(nrES_RecID,$B946)&gt;1,"DUPLICATE RECORD",IF(AND($K946=2,COUNTIFS(nrES_PID,$D946,nrES_Code,$F946,nrES_Att,1)=0),"ATTEMPT 2 WITHOUT ATTEMPT 1",IF(AND($K946=2,$L946=""),"RETEST ROW HAS NO SCORE",IF(AND($H946="Final",$L946&lt;&gt;"",IFERROR(INDEX(nrCKfinalExamElig,MATCH($D946,rngCadetPIDs,0)),"")="No"),"FINAL EXAM AFTER FAILED FINAL PT (500.1.H)","OK")))))))</f>
        <v/>
      </c>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IF($C947="","",IF($K947="","",IF(COUNTIFS(nrES_PID,$D947,nrES_Code,$F947,nrES_Att,"&gt;"&amp;$K947,nrES_Raw,"&gt;=0")=0,"Yes","No")))</f>
        <v/>
      </c>
      <c r="Q947" s="17">
        <f>IF($C947="","",IF($L947="","",IF(AND($K947=1,ISNUMBER($L947),$L947&lt;$J947,COUNTIFS(nrES_PID,$D947,nrES_Code,$F947,nrES_Att,2,nrES_Raw,"&gt;=0")=0),"Yes","No")))</f>
        <v/>
      </c>
      <c r="R947" s="17">
        <f>IF($C947="","",IF($L947="","",IF(AND($K947=2,ISNUMBER($L947),$L947&lt;$J947),"Yes","No")))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OR($C947="",$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RANGE",IF(COUNTIF(nrES_RecID,$B947)&gt;1,"DUPLICATE RECORD",IF(AND($K947=2,COUNTIFS(nrES_PID,$D947,nrES_Code,$F947,nrES_Att,1)=0),"ATTEMPT 2 WITHOUT ATTEMPT 1",IF(AND($K947=2,$L947=""),"RETEST ROW HAS NO SCORE",IF(AND($H947="Final",$L947&lt;&gt;"",IFERROR(INDEX(nrCKfinalExamElig,MATCH($D947,rngCadetPIDs,0)),"")="No"),"FINAL EXAM AFTER FAILED FINAL PT (500.1.H)","OK")))))))</f>
        <v/>
      </c>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IF($C948="","",IF($K948="","",IF(COUNTIFS(nrES_PID,$D948,nrES_Code,$F948,nrES_Att,"&gt;"&amp;$K948,nrES_Raw,"&gt;=0")=0,"Yes","No")))</f>
        <v/>
      </c>
      <c r="Q948" s="17">
        <f>IF($C948="","",IF($L948="","",IF(AND($K948=1,ISNUMBER($L948),$L948&lt;$J948,COUNTIFS(nrES_PID,$D948,nrES_Code,$F948,nrES_Att,2,nrES_Raw,"&gt;=0")=0),"Yes","No")))</f>
        <v/>
      </c>
      <c r="R948" s="17">
        <f>IF($C948="","",IF($L948="","",IF(AND($K948=2,ISNUMBER($L948),$L948&lt;$J948),"Yes","No")))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OR($C948="",$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RANGE",IF(COUNTIF(nrES_RecID,$B948)&gt;1,"DUPLICATE RECORD",IF(AND($K948=2,COUNTIFS(nrES_PID,$D948,nrES_Code,$F948,nrES_Att,1)=0),"ATTEMPT 2 WITHOUT ATTEMPT 1",IF(AND($K948=2,$L948=""),"RETEST ROW HAS NO SCORE",IF(AND($H948="Final",$L948&lt;&gt;"",IFERROR(INDEX(nrCKfinalExamElig,MATCH($D948,rngCadetPIDs,0)),"")="No"),"FINAL EXAM AFTER FAILED FINAL PT (500.1.H)","OK")))))))</f>
        <v/>
      </c>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IF($C949="","",IF($K949="","",IF(COUNTIFS(nrES_PID,$D949,nrES_Code,$F949,nrES_Att,"&gt;"&amp;$K949,nrES_Raw,"&gt;=0")=0,"Yes","No")))</f>
        <v/>
      </c>
      <c r="Q949" s="17">
        <f>IF($C949="","",IF($L949="","",IF(AND($K949=1,ISNUMBER($L949),$L949&lt;$J949,COUNTIFS(nrES_PID,$D949,nrES_Code,$F949,nrES_Att,2,nrES_Raw,"&gt;=0")=0),"Yes","No")))</f>
        <v/>
      </c>
      <c r="R949" s="17">
        <f>IF($C949="","",IF($L949="","",IF(AND($K949=2,ISNUMBER($L949),$L949&lt;$J949),"Yes","No")))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OR($C949="",$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RANGE",IF(COUNTIF(nrES_RecID,$B949)&gt;1,"DUPLICATE RECORD",IF(AND($K949=2,COUNTIFS(nrES_PID,$D949,nrES_Code,$F949,nrES_Att,1)=0),"ATTEMPT 2 WITHOUT ATTEMPT 1",IF(AND($K949=2,$L949=""),"RETEST ROW HAS NO SCORE",IF(AND($H949="Final",$L949&lt;&gt;"",IFERROR(INDEX(nrCKfinalExamElig,MATCH($D949,rngCadetPIDs,0)),"")="No"),"FINAL EXAM AFTER FAILED FINAL PT (500.1.H)","OK")))))))</f>
        <v/>
      </c>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IF($C950="","",IF($K950="","",IF(COUNTIFS(nrES_PID,$D950,nrES_Code,$F950,nrES_Att,"&gt;"&amp;$K950,nrES_Raw,"&gt;=0")=0,"Yes","No")))</f>
        <v/>
      </c>
      <c r="Q950" s="17">
        <f>IF($C950="","",IF($L950="","",IF(AND($K950=1,ISNUMBER($L950),$L950&lt;$J950,COUNTIFS(nrES_PID,$D950,nrES_Code,$F950,nrES_Att,2,nrES_Raw,"&gt;=0")=0),"Yes","No")))</f>
        <v/>
      </c>
      <c r="R950" s="17">
        <f>IF($C950="","",IF($L950="","",IF(AND($K950=2,ISNUMBER($L950),$L950&lt;$J950),"Yes","No")))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OR($C950="",$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RANGE",IF(COUNTIF(nrES_RecID,$B950)&gt;1,"DUPLICATE RECORD",IF(AND($K950=2,COUNTIFS(nrES_PID,$D950,nrES_Code,$F950,nrES_Att,1)=0),"ATTEMPT 2 WITHOUT ATTEMPT 1",IF(AND($K950=2,$L950=""),"RETEST ROW HAS NO SCORE",IF(AND($H950="Final",$L950&lt;&gt;"",IFERROR(INDEX(nrCKfinalExamElig,MATCH($D950,rngCadetPIDs,0)),"")="No"),"FINAL EXAM AFTER FAILED FINAL PT (500.1.H)","OK")))))))</f>
        <v/>
      </c>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IF($C951="","",IF($K951="","",IF(COUNTIFS(nrES_PID,$D951,nrES_Code,$F951,nrES_Att,"&gt;"&amp;$K951,nrES_Raw,"&gt;=0")=0,"Yes","No")))</f>
        <v/>
      </c>
      <c r="Q951" s="17">
        <f>IF($C951="","",IF($L951="","",IF(AND($K951=1,ISNUMBER($L951),$L951&lt;$J951,COUNTIFS(nrES_PID,$D951,nrES_Code,$F951,nrES_Att,2,nrES_Raw,"&gt;=0")=0),"Yes","No")))</f>
        <v/>
      </c>
      <c r="R951" s="17">
        <f>IF($C951="","",IF($L951="","",IF(AND($K951=2,ISNUMBER($L951),$L951&lt;$J951),"Yes","No")))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OR($C951="",$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RANGE",IF(COUNTIF(nrES_RecID,$B951)&gt;1,"DUPLICATE RECORD",IF(AND($K951=2,COUNTIFS(nrES_PID,$D951,nrES_Code,$F951,nrES_Att,1)=0),"ATTEMPT 2 WITHOUT ATTEMPT 1",IF(AND($K951=2,$L951=""),"RETEST ROW HAS NO SCORE",IF(AND($H951="Final",$L951&lt;&gt;"",IFERROR(INDEX(nrCKfinalExamElig,MATCH($D951,rngCadetPIDs,0)),"")="No"),"FINAL EXAM AFTER FAILED FINAL PT (500.1.H)","OK")))))))</f>
        <v/>
      </c>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IF($C952="","",IF($K952="","",IF(COUNTIFS(nrES_PID,$D952,nrES_Code,$F952,nrES_Att,"&gt;"&amp;$K952,nrES_Raw,"&gt;=0")=0,"Yes","No")))</f>
        <v/>
      </c>
      <c r="Q952" s="17">
        <f>IF($C952="","",IF($L952="","",IF(AND($K952=1,ISNUMBER($L952),$L952&lt;$J952,COUNTIFS(nrES_PID,$D952,nrES_Code,$F952,nrES_Att,2,nrES_Raw,"&gt;=0")=0),"Yes","No")))</f>
        <v/>
      </c>
      <c r="R952" s="17">
        <f>IF($C952="","",IF($L952="","",IF(AND($K952=2,ISNUMBER($L952),$L952&lt;$J952),"Yes","No")))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OR($C952="",$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RANGE",IF(COUNTIF(nrES_RecID,$B952)&gt;1,"DUPLICATE RECORD",IF(AND($K952=2,COUNTIFS(nrES_PID,$D952,nrES_Code,$F952,nrES_Att,1)=0),"ATTEMPT 2 WITHOUT ATTEMPT 1",IF(AND($K952=2,$L952=""),"RETEST ROW HAS NO SCORE",IF(AND($H952="Final",$L952&lt;&gt;"",IFERROR(INDEX(nrCKfinalExamElig,MATCH($D952,rngCadetPIDs,0)),"")="No"),"FINAL EXAM AFTER FAILED FINAL PT (500.1.H)","OK")))))))</f>
        <v/>
      </c>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IF($C953="","",IF($K953="","",IF(COUNTIFS(nrES_PID,$D953,nrES_Code,$F953,nrES_Att,"&gt;"&amp;$K953,nrES_Raw,"&gt;=0")=0,"Yes","No")))</f>
        <v/>
      </c>
      <c r="Q953" s="17">
        <f>IF($C953="","",IF($L953="","",IF(AND($K953=1,ISNUMBER($L953),$L953&lt;$J953,COUNTIFS(nrES_PID,$D953,nrES_Code,$F953,nrES_Att,2,nrES_Raw,"&gt;=0")=0),"Yes","No")))</f>
        <v/>
      </c>
      <c r="R953" s="17">
        <f>IF($C953="","",IF($L953="","",IF(AND($K953=2,ISNUMBER($L953),$L953&lt;$J953),"Yes","No")))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OR($C953="",$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RANGE",IF(COUNTIF(nrES_RecID,$B953)&gt;1,"DUPLICATE RECORD",IF(AND($K953=2,COUNTIFS(nrES_PID,$D953,nrES_Code,$F953,nrES_Att,1)=0),"ATTEMPT 2 WITHOUT ATTEMPT 1",IF(AND($K953=2,$L953=""),"RETEST ROW HAS NO SCORE",IF(AND($H953="Final",$L953&lt;&gt;"",IFERROR(INDEX(nrCKfinalExamElig,MATCH($D953,rngCadetPIDs,0)),"")="No"),"FINAL EXAM AFTER FAILED FINAL PT (500.1.H)","OK")))))))</f>
        <v/>
      </c>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IF($C954="","",IF($K954="","",IF(COUNTIFS(nrES_PID,$D954,nrES_Code,$F954,nrES_Att,"&gt;"&amp;$K954,nrES_Raw,"&gt;=0")=0,"Yes","No")))</f>
        <v/>
      </c>
      <c r="Q954" s="17">
        <f>IF($C954="","",IF($L954="","",IF(AND($K954=1,ISNUMBER($L954),$L954&lt;$J954,COUNTIFS(nrES_PID,$D954,nrES_Code,$F954,nrES_Att,2,nrES_Raw,"&gt;=0")=0),"Yes","No")))</f>
        <v/>
      </c>
      <c r="R954" s="17">
        <f>IF($C954="","",IF($L954="","",IF(AND($K954=2,ISNUMBER($L954),$L954&lt;$J954),"Yes","No")))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OR($C954="",$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RANGE",IF(COUNTIF(nrES_RecID,$B954)&gt;1,"DUPLICATE RECORD",IF(AND($K954=2,COUNTIFS(nrES_PID,$D954,nrES_Code,$F954,nrES_Att,1)=0),"ATTEMPT 2 WITHOUT ATTEMPT 1",IF(AND($K954=2,$L954=""),"RETEST ROW HAS NO SCORE",IF(AND($H954="Final",$L954&lt;&gt;"",IFERROR(INDEX(nrCKfinalExamElig,MATCH($D954,rngCadetPIDs,0)),"")="No"),"FINAL EXAM AFTER FAILED FINAL PT (500.1.H)","OK")))))))</f>
        <v/>
      </c>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IF($C955="","",IF($K955="","",IF(COUNTIFS(nrES_PID,$D955,nrES_Code,$F955,nrES_Att,"&gt;"&amp;$K955,nrES_Raw,"&gt;=0")=0,"Yes","No")))</f>
        <v/>
      </c>
      <c r="Q955" s="17">
        <f>IF($C955="","",IF($L955="","",IF(AND($K955=1,ISNUMBER($L955),$L955&lt;$J955,COUNTIFS(nrES_PID,$D955,nrES_Code,$F955,nrES_Att,2,nrES_Raw,"&gt;=0")=0),"Yes","No")))</f>
        <v/>
      </c>
      <c r="R955" s="17">
        <f>IF($C955="","",IF($L955="","",IF(AND($K955=2,ISNUMBER($L955),$L955&lt;$J955),"Yes","No")))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OR($C955="",$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RANGE",IF(COUNTIF(nrES_RecID,$B955)&gt;1,"DUPLICATE RECORD",IF(AND($K955=2,COUNTIFS(nrES_PID,$D955,nrES_Code,$F955,nrES_Att,1)=0),"ATTEMPT 2 WITHOUT ATTEMPT 1",IF(AND($K955=2,$L955=""),"RETEST ROW HAS NO SCORE",IF(AND($H955="Final",$L955&lt;&gt;"",IFERROR(INDEX(nrCKfinalExamElig,MATCH($D955,rngCadetPIDs,0)),"")="No"),"FINAL EXAM AFTER FAILED FINAL PT (500.1.H)","OK")))))))</f>
        <v/>
      </c>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IF($C956="","",IF($K956="","",IF(COUNTIFS(nrES_PID,$D956,nrES_Code,$F956,nrES_Att,"&gt;"&amp;$K956,nrES_Raw,"&gt;=0")=0,"Yes","No")))</f>
        <v/>
      </c>
      <c r="Q956" s="17">
        <f>IF($C956="","",IF($L956="","",IF(AND($K956=1,ISNUMBER($L956),$L956&lt;$J956,COUNTIFS(nrES_PID,$D956,nrES_Code,$F956,nrES_Att,2,nrES_Raw,"&gt;=0")=0),"Yes","No")))</f>
        <v/>
      </c>
      <c r="R956" s="17">
        <f>IF($C956="","",IF($L956="","",IF(AND($K956=2,ISNUMBER($L956),$L956&lt;$J956),"Yes","No")))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OR($C956="",$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RANGE",IF(COUNTIF(nrES_RecID,$B956)&gt;1,"DUPLICATE RECORD",IF(AND($K956=2,COUNTIFS(nrES_PID,$D956,nrES_Code,$F956,nrES_Att,1)=0),"ATTEMPT 2 WITHOUT ATTEMPT 1",IF(AND($K956=2,$L956=""),"RETEST ROW HAS NO SCORE",IF(AND($H956="Final",$L956&lt;&gt;"",IFERROR(INDEX(nrCKfinalExamElig,MATCH($D956,rngCadetPIDs,0)),"")="No"),"FINAL EXAM AFTER FAILED FINAL PT (500.1.H)","OK")))))))</f>
        <v/>
      </c>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IF($C957="","",IF($K957="","",IF(COUNTIFS(nrES_PID,$D957,nrES_Code,$F957,nrES_Att,"&gt;"&amp;$K957,nrES_Raw,"&gt;=0")=0,"Yes","No")))</f>
        <v/>
      </c>
      <c r="Q957" s="17">
        <f>IF($C957="","",IF($L957="","",IF(AND($K957=1,ISNUMBER($L957),$L957&lt;$J957,COUNTIFS(nrES_PID,$D957,nrES_Code,$F957,nrES_Att,2,nrES_Raw,"&gt;=0")=0),"Yes","No")))</f>
        <v/>
      </c>
      <c r="R957" s="17">
        <f>IF($C957="","",IF($L957="","",IF(AND($K957=2,ISNUMBER($L957),$L957&lt;$J957),"Yes","No")))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OR($C957="",$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RANGE",IF(COUNTIF(nrES_RecID,$B957)&gt;1,"DUPLICATE RECORD",IF(AND($K957=2,COUNTIFS(nrES_PID,$D957,nrES_Code,$F957,nrES_Att,1)=0),"ATTEMPT 2 WITHOUT ATTEMPT 1",IF(AND($K957=2,$L957=""),"RETEST ROW HAS NO SCORE",IF(AND($H957="Final",$L957&lt;&gt;"",IFERROR(INDEX(nrCKfinalExamElig,MATCH($D957,rngCadetPIDs,0)),"")="No"),"FINAL EXAM AFTER FAILED FINAL PT (500.1.H)","OK")))))))</f>
        <v/>
      </c>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IF($C958="","",IF($K958="","",IF(COUNTIFS(nrES_PID,$D958,nrES_Code,$F958,nrES_Att,"&gt;"&amp;$K958,nrES_Raw,"&gt;=0")=0,"Yes","No")))</f>
        <v/>
      </c>
      <c r="Q958" s="17">
        <f>IF($C958="","",IF($L958="","",IF(AND($K958=1,ISNUMBER($L958),$L958&lt;$J958,COUNTIFS(nrES_PID,$D958,nrES_Code,$F958,nrES_Att,2,nrES_Raw,"&gt;=0")=0),"Yes","No")))</f>
        <v/>
      </c>
      <c r="R958" s="17">
        <f>IF($C958="","",IF($L958="","",IF(AND($K958=2,ISNUMBER($L958),$L958&lt;$J958),"Yes","No")))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OR($C958="",$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RANGE",IF(COUNTIF(nrES_RecID,$B958)&gt;1,"DUPLICATE RECORD",IF(AND($K958=2,COUNTIFS(nrES_PID,$D958,nrES_Code,$F958,nrES_Att,1)=0),"ATTEMPT 2 WITHOUT ATTEMPT 1",IF(AND($K958=2,$L958=""),"RETEST ROW HAS NO SCORE",IF(AND($H958="Final",$L958&lt;&gt;"",IFERROR(INDEX(nrCKfinalExamElig,MATCH($D958,rngCadetPIDs,0)),"")="No"),"FINAL EXAM AFTER FAILED FINAL PT (500.1.H)","OK")))))))</f>
        <v/>
      </c>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IF($C959="","",IF($K959="","",IF(COUNTIFS(nrES_PID,$D959,nrES_Code,$F959,nrES_Att,"&gt;"&amp;$K959,nrES_Raw,"&gt;=0")=0,"Yes","No")))</f>
        <v/>
      </c>
      <c r="Q959" s="17">
        <f>IF($C959="","",IF($L959="","",IF(AND($K959=1,ISNUMBER($L959),$L959&lt;$J959,COUNTIFS(nrES_PID,$D959,nrES_Code,$F959,nrES_Att,2,nrES_Raw,"&gt;=0")=0),"Yes","No")))</f>
        <v/>
      </c>
      <c r="R959" s="17">
        <f>IF($C959="","",IF($L959="","",IF(AND($K959=2,ISNUMBER($L959),$L959&lt;$J959),"Yes","No")))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OR($C959="",$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RANGE",IF(COUNTIF(nrES_RecID,$B959)&gt;1,"DUPLICATE RECORD",IF(AND($K959=2,COUNTIFS(nrES_PID,$D959,nrES_Code,$F959,nrES_Att,1)=0),"ATTEMPT 2 WITHOUT ATTEMPT 1",IF(AND($K959=2,$L959=""),"RETEST ROW HAS NO SCORE",IF(AND($H959="Final",$L959&lt;&gt;"",IFERROR(INDEX(nrCKfinalExamElig,MATCH($D959,rngCadetPIDs,0)),"")="No"),"FINAL EXAM AFTER FAILED FINAL PT (500.1.H)","OK")))))))</f>
        <v/>
      </c>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IF($C960="","",IF($K960="","",IF(COUNTIFS(nrES_PID,$D960,nrES_Code,$F960,nrES_Att,"&gt;"&amp;$K960,nrES_Raw,"&gt;=0")=0,"Yes","No")))</f>
        <v/>
      </c>
      <c r="Q960" s="17">
        <f>IF($C960="","",IF($L960="","",IF(AND($K960=1,ISNUMBER($L960),$L960&lt;$J960,COUNTIFS(nrES_PID,$D960,nrES_Code,$F960,nrES_Att,2,nrES_Raw,"&gt;=0")=0),"Yes","No")))</f>
        <v/>
      </c>
      <c r="R960" s="17">
        <f>IF($C960="","",IF($L960="","",IF(AND($K960=2,ISNUMBER($L960),$L960&lt;$J960),"Yes","No")))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OR($C960="",$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RANGE",IF(COUNTIF(nrES_RecID,$B960)&gt;1,"DUPLICATE RECORD",IF(AND($K960=2,COUNTIFS(nrES_PID,$D960,nrES_Code,$F960,nrES_Att,1)=0),"ATTEMPT 2 WITHOUT ATTEMPT 1",IF(AND($K960=2,$L960=""),"RETEST ROW HAS NO SCORE",IF(AND($H960="Final",$L960&lt;&gt;"",IFERROR(INDEX(nrCKfinalExamElig,MATCH($D960,rngCadetPIDs,0)),"")="No"),"FINAL EXAM AFTER FAILED FINAL PT (500.1.H)","OK")))))))</f>
        <v/>
      </c>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IF($C961="","",IF($K961="","",IF(COUNTIFS(nrES_PID,$D961,nrES_Code,$F961,nrES_Att,"&gt;"&amp;$K961,nrES_Raw,"&gt;=0")=0,"Yes","No")))</f>
        <v/>
      </c>
      <c r="Q961" s="17">
        <f>IF($C961="","",IF($L961="","",IF(AND($K961=1,ISNUMBER($L961),$L961&lt;$J961,COUNTIFS(nrES_PID,$D961,nrES_Code,$F961,nrES_Att,2,nrES_Raw,"&gt;=0")=0),"Yes","No")))</f>
        <v/>
      </c>
      <c r="R961" s="17">
        <f>IF($C961="","",IF($L961="","",IF(AND($K961=2,ISNUMBER($L961),$L961&lt;$J961),"Yes","No")))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OR($C961="",$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RANGE",IF(COUNTIF(nrES_RecID,$B961)&gt;1,"DUPLICATE RECORD",IF(AND($K961=2,COUNTIFS(nrES_PID,$D961,nrES_Code,$F961,nrES_Att,1)=0),"ATTEMPT 2 WITHOUT ATTEMPT 1",IF(AND($K961=2,$L961=""),"RETEST ROW HAS NO SCORE",IF(AND($H961="Final",$L961&lt;&gt;"",IFERROR(INDEX(nrCKfinalExamElig,MATCH($D961,rngCadetPIDs,0)),"")="No"),"FINAL EXAM AFTER FAILED FINAL PT (500.1.H)","OK")))))))</f>
        <v/>
      </c>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IF($C962="","",IF($K962="","",IF(COUNTIFS(nrES_PID,$D962,nrES_Code,$F962,nrES_Att,"&gt;"&amp;$K962,nrES_Raw,"&gt;=0")=0,"Yes","No")))</f>
        <v/>
      </c>
      <c r="Q962" s="17">
        <f>IF($C962="","",IF($L962="","",IF(AND($K962=1,ISNUMBER($L962),$L962&lt;$J962,COUNTIFS(nrES_PID,$D962,nrES_Code,$F962,nrES_Att,2,nrES_Raw,"&gt;=0")=0),"Yes","No")))</f>
        <v/>
      </c>
      <c r="R962" s="17">
        <f>IF($C962="","",IF($L962="","",IF(AND($K962=2,ISNUMBER($L962),$L962&lt;$J962),"Yes","No")))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OR($C962="",$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RANGE",IF(COUNTIF(nrES_RecID,$B962)&gt;1,"DUPLICATE RECORD",IF(AND($K962=2,COUNTIFS(nrES_PID,$D962,nrES_Code,$F962,nrES_Att,1)=0),"ATTEMPT 2 WITHOUT ATTEMPT 1",IF(AND($K962=2,$L962=""),"RETEST ROW HAS NO SCORE",IF(AND($H962="Final",$L962&lt;&gt;"",IFERROR(INDEX(nrCKfinalExamElig,MATCH($D962,rngCadetPIDs,0)),"")="No"),"FINAL EXAM AFTER FAILED FINAL PT (500.1.H)","OK")))))))</f>
        <v/>
      </c>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IF($C963="","",IF($K963="","",IF(COUNTIFS(nrES_PID,$D963,nrES_Code,$F963,nrES_Att,"&gt;"&amp;$K963,nrES_Raw,"&gt;=0")=0,"Yes","No")))</f>
        <v/>
      </c>
      <c r="Q963" s="17">
        <f>IF($C963="","",IF($L963="","",IF(AND($K963=1,ISNUMBER($L963),$L963&lt;$J963,COUNTIFS(nrES_PID,$D963,nrES_Code,$F963,nrES_Att,2,nrES_Raw,"&gt;=0")=0),"Yes","No")))</f>
        <v/>
      </c>
      <c r="R963" s="17">
        <f>IF($C963="","",IF($L963="","",IF(AND($K963=2,ISNUMBER($L963),$L963&lt;$J963),"Yes","No")))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OR($C963="",$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RANGE",IF(COUNTIF(nrES_RecID,$B963)&gt;1,"DUPLICATE RECORD",IF(AND($K963=2,COUNTIFS(nrES_PID,$D963,nrES_Code,$F963,nrES_Att,1)=0),"ATTEMPT 2 WITHOUT ATTEMPT 1",IF(AND($K963=2,$L963=""),"RETEST ROW HAS NO SCORE",IF(AND($H963="Final",$L963&lt;&gt;"",IFERROR(INDEX(nrCKfinalExamElig,MATCH($D963,rngCadetPIDs,0)),"")="No"),"FINAL EXAM AFTER FAILED FINAL PT (500.1.H)","OK")))))))</f>
        <v/>
      </c>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IF($C964="","",IF($K964="","",IF(COUNTIFS(nrES_PID,$D964,nrES_Code,$F964,nrES_Att,"&gt;"&amp;$K964,nrES_Raw,"&gt;=0")=0,"Yes","No")))</f>
        <v/>
      </c>
      <c r="Q964" s="17">
        <f>IF($C964="","",IF($L964="","",IF(AND($K964=1,ISNUMBER($L964),$L964&lt;$J964,COUNTIFS(nrES_PID,$D964,nrES_Code,$F964,nrES_Att,2,nrES_Raw,"&gt;=0")=0),"Yes","No")))</f>
        <v/>
      </c>
      <c r="R964" s="17">
        <f>IF($C964="","",IF($L964="","",IF(AND($K964=2,ISNUMBER($L964),$L964&lt;$J964),"Yes","No")))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OR($C964="",$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RANGE",IF(COUNTIF(nrES_RecID,$B964)&gt;1,"DUPLICATE RECORD",IF(AND($K964=2,COUNTIFS(nrES_PID,$D964,nrES_Code,$F964,nrES_Att,1)=0),"ATTEMPT 2 WITHOUT ATTEMPT 1",IF(AND($K964=2,$L964=""),"RETEST ROW HAS NO SCORE",IF(AND($H964="Final",$L964&lt;&gt;"",IFERROR(INDEX(nrCKfinalExamElig,MATCH($D964,rngCadetPIDs,0)),"")="No"),"FINAL EXAM AFTER FAILED FINAL PT (500.1.H)","OK")))))))</f>
        <v/>
      </c>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IF($C965="","",IF($K965="","",IF(COUNTIFS(nrES_PID,$D965,nrES_Code,$F965,nrES_Att,"&gt;"&amp;$K965,nrES_Raw,"&gt;=0")=0,"Yes","No")))</f>
        <v/>
      </c>
      <c r="Q965" s="17">
        <f>IF($C965="","",IF($L965="","",IF(AND($K965=1,ISNUMBER($L965),$L965&lt;$J965,COUNTIFS(nrES_PID,$D965,nrES_Code,$F965,nrES_Att,2,nrES_Raw,"&gt;=0")=0),"Yes","No")))</f>
        <v/>
      </c>
      <c r="R965" s="17">
        <f>IF($C965="","",IF($L965="","",IF(AND($K965=2,ISNUMBER($L965),$L965&lt;$J965),"Yes","No")))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OR($C965="",$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RANGE",IF(COUNTIF(nrES_RecID,$B965)&gt;1,"DUPLICATE RECORD",IF(AND($K965=2,COUNTIFS(nrES_PID,$D965,nrES_Code,$F965,nrES_Att,1)=0),"ATTEMPT 2 WITHOUT ATTEMPT 1",IF(AND($K965=2,$L965=""),"RETEST ROW HAS NO SCORE",IF(AND($H965="Final",$L965&lt;&gt;"",IFERROR(INDEX(nrCKfinalExamElig,MATCH($D965,rngCadetPIDs,0)),"")="No"),"FINAL EXAM AFTER FAILED FINAL PT (500.1.H)","OK")))))))</f>
        <v/>
      </c>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IF($C966="","",IF($K966="","",IF(COUNTIFS(nrES_PID,$D966,nrES_Code,$F966,nrES_Att,"&gt;"&amp;$K966,nrES_Raw,"&gt;=0")=0,"Yes","No")))</f>
        <v/>
      </c>
      <c r="Q966" s="17">
        <f>IF($C966="","",IF($L966="","",IF(AND($K966=1,ISNUMBER($L966),$L966&lt;$J966,COUNTIFS(nrES_PID,$D966,nrES_Code,$F966,nrES_Att,2,nrES_Raw,"&gt;=0")=0),"Yes","No")))</f>
        <v/>
      </c>
      <c r="R966" s="17">
        <f>IF($C966="","",IF($L966="","",IF(AND($K966=2,ISNUMBER($L966),$L966&lt;$J966),"Yes","No")))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OR($C966="",$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RANGE",IF(COUNTIF(nrES_RecID,$B966)&gt;1,"DUPLICATE RECORD",IF(AND($K966=2,COUNTIFS(nrES_PID,$D966,nrES_Code,$F966,nrES_Att,1)=0),"ATTEMPT 2 WITHOUT ATTEMPT 1",IF(AND($K966=2,$L966=""),"RETEST ROW HAS NO SCORE",IF(AND($H966="Final",$L966&lt;&gt;"",IFERROR(INDEX(nrCKfinalExamElig,MATCH($D966,rngCadetPIDs,0)),"")="No"),"FINAL EXAM AFTER FAILED FINAL PT (500.1.H)","OK")))))))</f>
        <v/>
      </c>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IF($C967="","",IF($K967="","",IF(COUNTIFS(nrES_PID,$D967,nrES_Code,$F967,nrES_Att,"&gt;"&amp;$K967,nrES_Raw,"&gt;=0")=0,"Yes","No")))</f>
        <v/>
      </c>
      <c r="Q967" s="17">
        <f>IF($C967="","",IF($L967="","",IF(AND($K967=1,ISNUMBER($L967),$L967&lt;$J967,COUNTIFS(nrES_PID,$D967,nrES_Code,$F967,nrES_Att,2,nrES_Raw,"&gt;=0")=0),"Yes","No")))</f>
        <v/>
      </c>
      <c r="R967" s="17">
        <f>IF($C967="","",IF($L967="","",IF(AND($K967=2,ISNUMBER($L967),$L967&lt;$J967),"Yes","No")))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OR($C967="",$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RANGE",IF(COUNTIF(nrES_RecID,$B967)&gt;1,"DUPLICATE RECORD",IF(AND($K967=2,COUNTIFS(nrES_PID,$D967,nrES_Code,$F967,nrES_Att,1)=0),"ATTEMPT 2 WITHOUT ATTEMPT 1",IF(AND($K967=2,$L967=""),"RETEST ROW HAS NO SCORE",IF(AND($H967="Final",$L967&lt;&gt;"",IFERROR(INDEX(nrCKfinalExamElig,MATCH($D967,rngCadetPIDs,0)),"")="No"),"FINAL EXAM AFTER FAILED FINAL PT (500.1.H)","OK")))))))</f>
        <v/>
      </c>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IF($C968="","",IF($K968="","",IF(COUNTIFS(nrES_PID,$D968,nrES_Code,$F968,nrES_Att,"&gt;"&amp;$K968,nrES_Raw,"&gt;=0")=0,"Yes","No")))</f>
        <v/>
      </c>
      <c r="Q968" s="17">
        <f>IF($C968="","",IF($L968="","",IF(AND($K968=1,ISNUMBER($L968),$L968&lt;$J968,COUNTIFS(nrES_PID,$D968,nrES_Code,$F968,nrES_Att,2,nrES_Raw,"&gt;=0")=0),"Yes","No")))</f>
        <v/>
      </c>
      <c r="R968" s="17">
        <f>IF($C968="","",IF($L968="","",IF(AND($K968=2,ISNUMBER($L968),$L968&lt;$J968),"Yes","No")))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OR($C968="",$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RANGE",IF(COUNTIF(nrES_RecID,$B968)&gt;1,"DUPLICATE RECORD",IF(AND($K968=2,COUNTIFS(nrES_PID,$D968,nrES_Code,$F968,nrES_Att,1)=0),"ATTEMPT 2 WITHOUT ATTEMPT 1",IF(AND($K968=2,$L968=""),"RETEST ROW HAS NO SCORE",IF(AND($H968="Final",$L968&lt;&gt;"",IFERROR(INDEX(nrCKfinalExamElig,MATCH($D968,rngCadetPIDs,0)),"")="No"),"FINAL EXAM AFTER FAILED FINAL PT (500.1.H)","OK")))))))</f>
        <v/>
      </c>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IF($C969="","",IF($K969="","",IF(COUNTIFS(nrES_PID,$D969,nrES_Code,$F969,nrES_Att,"&gt;"&amp;$K969,nrES_Raw,"&gt;=0")=0,"Yes","No")))</f>
        <v/>
      </c>
      <c r="Q969" s="17">
        <f>IF($C969="","",IF($L969="","",IF(AND($K969=1,ISNUMBER($L969),$L969&lt;$J969,COUNTIFS(nrES_PID,$D969,nrES_Code,$F969,nrES_Att,2,nrES_Raw,"&gt;=0")=0),"Yes","No")))</f>
        <v/>
      </c>
      <c r="R969" s="17">
        <f>IF($C969="","",IF($L969="","",IF(AND($K969=2,ISNUMBER($L969),$L969&lt;$J969),"Yes","No")))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OR($C969="",$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RANGE",IF(COUNTIF(nrES_RecID,$B969)&gt;1,"DUPLICATE RECORD",IF(AND($K969=2,COUNTIFS(nrES_PID,$D969,nrES_Code,$F969,nrES_Att,1)=0),"ATTEMPT 2 WITHOUT ATTEMPT 1",IF(AND($K969=2,$L969=""),"RETEST ROW HAS NO SCORE",IF(AND($H969="Final",$L969&lt;&gt;"",IFERROR(INDEX(nrCKfinalExamElig,MATCH($D969,rngCadetPIDs,0)),"")="No"),"FINAL EXAM AFTER FAILED FINAL PT (500.1.H)","OK")))))))</f>
        <v/>
      </c>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IF($C970="","",IF($K970="","",IF(COUNTIFS(nrES_PID,$D970,nrES_Code,$F970,nrES_Att,"&gt;"&amp;$K970,nrES_Raw,"&gt;=0")=0,"Yes","No")))</f>
        <v/>
      </c>
      <c r="Q970" s="17">
        <f>IF($C970="","",IF($L970="","",IF(AND($K970=1,ISNUMBER($L970),$L970&lt;$J970,COUNTIFS(nrES_PID,$D970,nrES_Code,$F970,nrES_Att,2,nrES_Raw,"&gt;=0")=0),"Yes","No")))</f>
        <v/>
      </c>
      <c r="R970" s="17">
        <f>IF($C970="","",IF($L970="","",IF(AND($K970=2,ISNUMBER($L970),$L970&lt;$J970),"Yes","No")))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OR($C970="",$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RANGE",IF(COUNTIF(nrES_RecID,$B970)&gt;1,"DUPLICATE RECORD",IF(AND($K970=2,COUNTIFS(nrES_PID,$D970,nrES_Code,$F970,nrES_Att,1)=0),"ATTEMPT 2 WITHOUT ATTEMPT 1",IF(AND($K970=2,$L970=""),"RETEST ROW HAS NO SCORE",IF(AND($H970="Final",$L970&lt;&gt;"",IFERROR(INDEX(nrCKfinalExamElig,MATCH($D970,rngCadetPIDs,0)),"")="No"),"FINAL EXAM AFTER FAILED FINAL PT (500.1.H)","OK")))))))</f>
        <v/>
      </c>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IF($C971="","",IF($K971="","",IF(COUNTIFS(nrES_PID,$D971,nrES_Code,$F971,nrES_Att,"&gt;"&amp;$K971,nrES_Raw,"&gt;=0")=0,"Yes","No")))</f>
        <v/>
      </c>
      <c r="Q971" s="17">
        <f>IF($C971="","",IF($L971="","",IF(AND($K971=1,ISNUMBER($L971),$L971&lt;$J971,COUNTIFS(nrES_PID,$D971,nrES_Code,$F971,nrES_Att,2,nrES_Raw,"&gt;=0")=0),"Yes","No")))</f>
        <v/>
      </c>
      <c r="R971" s="17">
        <f>IF($C971="","",IF($L971="","",IF(AND($K971=2,ISNUMBER($L971),$L971&lt;$J971),"Yes","No")))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OR($C971="",$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RANGE",IF(COUNTIF(nrES_RecID,$B971)&gt;1,"DUPLICATE RECORD",IF(AND($K971=2,COUNTIFS(nrES_PID,$D971,nrES_Code,$F971,nrES_Att,1)=0),"ATTEMPT 2 WITHOUT ATTEMPT 1",IF(AND($K971=2,$L971=""),"RETEST ROW HAS NO SCORE",IF(AND($H971="Final",$L971&lt;&gt;"",IFERROR(INDEX(nrCKfinalExamElig,MATCH($D971,rngCadetPIDs,0)),"")="No"),"FINAL EXAM AFTER FAILED FINAL PT (500.1.H)","OK")))))))</f>
        <v/>
      </c>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IF($C972="","",IF($K972="","",IF(COUNTIFS(nrES_PID,$D972,nrES_Code,$F972,nrES_Att,"&gt;"&amp;$K972,nrES_Raw,"&gt;=0")=0,"Yes","No")))</f>
        <v/>
      </c>
      <c r="Q972" s="17">
        <f>IF($C972="","",IF($L972="","",IF(AND($K972=1,ISNUMBER($L972),$L972&lt;$J972,COUNTIFS(nrES_PID,$D972,nrES_Code,$F972,nrES_Att,2,nrES_Raw,"&gt;=0")=0),"Yes","No")))</f>
        <v/>
      </c>
      <c r="R972" s="17">
        <f>IF($C972="","",IF($L972="","",IF(AND($K972=2,ISNUMBER($L972),$L972&lt;$J972),"Yes","No")))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OR($C972="",$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RANGE",IF(COUNTIF(nrES_RecID,$B972)&gt;1,"DUPLICATE RECORD",IF(AND($K972=2,COUNTIFS(nrES_PID,$D972,nrES_Code,$F972,nrES_Att,1)=0),"ATTEMPT 2 WITHOUT ATTEMPT 1",IF(AND($K972=2,$L972=""),"RETEST ROW HAS NO SCORE",IF(AND($H972="Final",$L972&lt;&gt;"",IFERROR(INDEX(nrCKfinalExamElig,MATCH($D972,rngCadetPIDs,0)),"")="No"),"FINAL EXAM AFTER FAILED FINAL PT (500.1.H)","OK")))))))</f>
        <v/>
      </c>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IF($C973="","",IF($K973="","",IF(COUNTIFS(nrES_PID,$D973,nrES_Code,$F973,nrES_Att,"&gt;"&amp;$K973,nrES_Raw,"&gt;=0")=0,"Yes","No")))</f>
        <v/>
      </c>
      <c r="Q973" s="17">
        <f>IF($C973="","",IF($L973="","",IF(AND($K973=1,ISNUMBER($L973),$L973&lt;$J973,COUNTIFS(nrES_PID,$D973,nrES_Code,$F973,nrES_Att,2,nrES_Raw,"&gt;=0")=0),"Yes","No")))</f>
        <v/>
      </c>
      <c r="R973" s="17">
        <f>IF($C973="","",IF($L973="","",IF(AND($K973=2,ISNUMBER($L973),$L973&lt;$J973),"Yes","No")))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OR($C973="",$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RANGE",IF(COUNTIF(nrES_RecID,$B973)&gt;1,"DUPLICATE RECORD",IF(AND($K973=2,COUNTIFS(nrES_PID,$D973,nrES_Code,$F973,nrES_Att,1)=0),"ATTEMPT 2 WITHOUT ATTEMPT 1",IF(AND($K973=2,$L973=""),"RETEST ROW HAS NO SCORE",IF(AND($H973="Final",$L973&lt;&gt;"",IFERROR(INDEX(nrCKfinalExamElig,MATCH($D973,rngCadetPIDs,0)),"")="No"),"FINAL EXAM AFTER FAILED FINAL PT (500.1.H)","OK")))))))</f>
        <v/>
      </c>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IF($C974="","",IF($K974="","",IF(COUNTIFS(nrES_PID,$D974,nrES_Code,$F974,nrES_Att,"&gt;"&amp;$K974,nrES_Raw,"&gt;=0")=0,"Yes","No")))</f>
        <v/>
      </c>
      <c r="Q974" s="17">
        <f>IF($C974="","",IF($L974="","",IF(AND($K974=1,ISNUMBER($L974),$L974&lt;$J974,COUNTIFS(nrES_PID,$D974,nrES_Code,$F974,nrES_Att,2,nrES_Raw,"&gt;=0")=0),"Yes","No")))</f>
        <v/>
      </c>
      <c r="R974" s="17">
        <f>IF($C974="","",IF($L974="","",IF(AND($K974=2,ISNUMBER($L974),$L974&lt;$J974),"Yes","No")))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OR($C974="",$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RANGE",IF(COUNTIF(nrES_RecID,$B974)&gt;1,"DUPLICATE RECORD",IF(AND($K974=2,COUNTIFS(nrES_PID,$D974,nrES_Code,$F974,nrES_Att,1)=0),"ATTEMPT 2 WITHOUT ATTEMPT 1",IF(AND($K974=2,$L974=""),"RETEST ROW HAS NO SCORE",IF(AND($H974="Final",$L974&lt;&gt;"",IFERROR(INDEX(nrCKfinalExamElig,MATCH($D974,rngCadetPIDs,0)),"")="No"),"FINAL EXAM AFTER FAILED FINAL PT (500.1.H)","OK")))))))</f>
        <v/>
      </c>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IF($C975="","",IF($K975="","",IF(COUNTIFS(nrES_PID,$D975,nrES_Code,$F975,nrES_Att,"&gt;"&amp;$K975,nrES_Raw,"&gt;=0")=0,"Yes","No")))</f>
        <v/>
      </c>
      <c r="Q975" s="17">
        <f>IF($C975="","",IF($L975="","",IF(AND($K975=1,ISNUMBER($L975),$L975&lt;$J975,COUNTIFS(nrES_PID,$D975,nrES_Code,$F975,nrES_Att,2,nrES_Raw,"&gt;=0")=0),"Yes","No")))</f>
        <v/>
      </c>
      <c r="R975" s="17">
        <f>IF($C975="","",IF($L975="","",IF(AND($K975=2,ISNUMBER($L975),$L975&lt;$J975),"Yes","No")))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OR($C975="",$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RANGE",IF(COUNTIF(nrES_RecID,$B975)&gt;1,"DUPLICATE RECORD",IF(AND($K975=2,COUNTIFS(nrES_PID,$D975,nrES_Code,$F975,nrES_Att,1)=0),"ATTEMPT 2 WITHOUT ATTEMPT 1",IF(AND($K975=2,$L975=""),"RETEST ROW HAS NO SCORE",IF(AND($H975="Final",$L975&lt;&gt;"",IFERROR(INDEX(nrCKfinalExamElig,MATCH($D975,rngCadetPIDs,0)),"")="No"),"FINAL EXAM AFTER FAILED FINAL PT (500.1.H)","OK")))))))</f>
        <v/>
      </c>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IF($C976="","",IF($K976="","",IF(COUNTIFS(nrES_PID,$D976,nrES_Code,$F976,nrES_Att,"&gt;"&amp;$K976,nrES_Raw,"&gt;=0")=0,"Yes","No")))</f>
        <v/>
      </c>
      <c r="Q976" s="17">
        <f>IF($C976="","",IF($L976="","",IF(AND($K976=1,ISNUMBER($L976),$L976&lt;$J976,COUNTIFS(nrES_PID,$D976,nrES_Code,$F976,nrES_Att,2,nrES_Raw,"&gt;=0")=0),"Yes","No")))</f>
        <v/>
      </c>
      <c r="R976" s="17">
        <f>IF($C976="","",IF($L976="","",IF(AND($K976=2,ISNUMBER($L976),$L976&lt;$J976),"Yes","No")))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OR($C976="",$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RANGE",IF(COUNTIF(nrES_RecID,$B976)&gt;1,"DUPLICATE RECORD",IF(AND($K976=2,COUNTIFS(nrES_PID,$D976,nrES_Code,$F976,nrES_Att,1)=0),"ATTEMPT 2 WITHOUT ATTEMPT 1",IF(AND($K976=2,$L976=""),"RETEST ROW HAS NO SCORE",IF(AND($H976="Final",$L976&lt;&gt;"",IFERROR(INDEX(nrCKfinalExamElig,MATCH($D976,rngCadetPIDs,0)),"")="No"),"FINAL EXAM AFTER FAILED FINAL PT (500.1.H)","OK")))))))</f>
        <v/>
      </c>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IF($C977="","",IF($K977="","",IF(COUNTIFS(nrES_PID,$D977,nrES_Code,$F977,nrES_Att,"&gt;"&amp;$K977,nrES_Raw,"&gt;=0")=0,"Yes","No")))</f>
        <v/>
      </c>
      <c r="Q977" s="17">
        <f>IF($C977="","",IF($L977="","",IF(AND($K977=1,ISNUMBER($L977),$L977&lt;$J977,COUNTIFS(nrES_PID,$D977,nrES_Code,$F977,nrES_Att,2,nrES_Raw,"&gt;=0")=0),"Yes","No")))</f>
        <v/>
      </c>
      <c r="R977" s="17">
        <f>IF($C977="","",IF($L977="","",IF(AND($K977=2,ISNUMBER($L977),$L977&lt;$J977),"Yes","No")))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OR($C977="",$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RANGE",IF(COUNTIF(nrES_RecID,$B977)&gt;1,"DUPLICATE RECORD",IF(AND($K977=2,COUNTIFS(nrES_PID,$D977,nrES_Code,$F977,nrES_Att,1)=0),"ATTEMPT 2 WITHOUT ATTEMPT 1",IF(AND($K977=2,$L977=""),"RETEST ROW HAS NO SCORE",IF(AND($H977="Final",$L977&lt;&gt;"",IFERROR(INDEX(nrCKfinalExamElig,MATCH($D977,rngCadetPIDs,0)),"")="No"),"FINAL EXAM AFTER FAILED FINAL PT (500.1.H)","OK")))))))</f>
        <v/>
      </c>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IF($C978="","",IF($K978="","",IF(COUNTIFS(nrES_PID,$D978,nrES_Code,$F978,nrES_Att,"&gt;"&amp;$K978,nrES_Raw,"&gt;=0")=0,"Yes","No")))</f>
        <v/>
      </c>
      <c r="Q978" s="17">
        <f>IF($C978="","",IF($L978="","",IF(AND($K978=1,ISNUMBER($L978),$L978&lt;$J978,COUNTIFS(nrES_PID,$D978,nrES_Code,$F978,nrES_Att,2,nrES_Raw,"&gt;=0")=0),"Yes","No")))</f>
        <v/>
      </c>
      <c r="R978" s="17">
        <f>IF($C978="","",IF($L978="","",IF(AND($K978=2,ISNUMBER($L978),$L978&lt;$J978),"Yes","No")))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OR($C978="",$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RANGE",IF(COUNTIF(nrES_RecID,$B978)&gt;1,"DUPLICATE RECORD",IF(AND($K978=2,COUNTIFS(nrES_PID,$D978,nrES_Code,$F978,nrES_Att,1)=0),"ATTEMPT 2 WITHOUT ATTEMPT 1",IF(AND($K978=2,$L978=""),"RETEST ROW HAS NO SCORE",IF(AND($H978="Final",$L978&lt;&gt;"",IFERROR(INDEX(nrCKfinalExamElig,MATCH($D978,rngCadetPIDs,0)),"")="No"),"FINAL EXAM AFTER FAILED FINAL PT (500.1.H)","OK")))))))</f>
        <v/>
      </c>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IF($C979="","",IF($K979="","",IF(COUNTIFS(nrES_PID,$D979,nrES_Code,$F979,nrES_Att,"&gt;"&amp;$K979,nrES_Raw,"&gt;=0")=0,"Yes","No")))</f>
        <v/>
      </c>
      <c r="Q979" s="17">
        <f>IF($C979="","",IF($L979="","",IF(AND($K979=1,ISNUMBER($L979),$L979&lt;$J979,COUNTIFS(nrES_PID,$D979,nrES_Code,$F979,nrES_Att,2,nrES_Raw,"&gt;=0")=0),"Yes","No")))</f>
        <v/>
      </c>
      <c r="R979" s="17">
        <f>IF($C979="","",IF($L979="","",IF(AND($K979=2,ISNUMBER($L979),$L979&lt;$J979),"Yes","No")))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OR($C979="",$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RANGE",IF(COUNTIF(nrES_RecID,$B979)&gt;1,"DUPLICATE RECORD",IF(AND($K979=2,COUNTIFS(nrES_PID,$D979,nrES_Code,$F979,nrES_Att,1)=0),"ATTEMPT 2 WITHOUT ATTEMPT 1",IF(AND($K979=2,$L979=""),"RETEST ROW HAS NO SCORE",IF(AND($H979="Final",$L979&lt;&gt;"",IFERROR(INDEX(nrCKfinalExamElig,MATCH($D979,rngCadetPIDs,0)),"")="No"),"FINAL EXAM AFTER FAILED FINAL PT (500.1.H)","OK")))))))</f>
        <v/>
      </c>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IF($C980="","",IF($K980="","",IF(COUNTIFS(nrES_PID,$D980,nrES_Code,$F980,nrES_Att,"&gt;"&amp;$K980,nrES_Raw,"&gt;=0")=0,"Yes","No")))</f>
        <v/>
      </c>
      <c r="Q980" s="17">
        <f>IF($C980="","",IF($L980="","",IF(AND($K980=1,ISNUMBER($L980),$L980&lt;$J980,COUNTIFS(nrES_PID,$D980,nrES_Code,$F980,nrES_Att,2,nrES_Raw,"&gt;=0")=0),"Yes","No")))</f>
        <v/>
      </c>
      <c r="R980" s="17">
        <f>IF($C980="","",IF($L980="","",IF(AND($K980=2,ISNUMBER($L980),$L980&lt;$J980),"Yes","No")))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OR($C980="",$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RANGE",IF(COUNTIF(nrES_RecID,$B980)&gt;1,"DUPLICATE RECORD",IF(AND($K980=2,COUNTIFS(nrES_PID,$D980,nrES_Code,$F980,nrES_Att,1)=0),"ATTEMPT 2 WITHOUT ATTEMPT 1",IF(AND($K980=2,$L980=""),"RETEST ROW HAS NO SCORE",IF(AND($H980="Final",$L980&lt;&gt;"",IFERROR(INDEX(nrCKfinalExamElig,MATCH($D980,rngCadetPIDs,0)),"")="No"),"FINAL EXAM AFTER FAILED FINAL PT (500.1.H)","OK")))))))</f>
        <v/>
      </c>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IF($C981="","",IF($K981="","",IF(COUNTIFS(nrES_PID,$D981,nrES_Code,$F981,nrES_Att,"&gt;"&amp;$K981,nrES_Raw,"&gt;=0")=0,"Yes","No")))</f>
        <v/>
      </c>
      <c r="Q981" s="17">
        <f>IF($C981="","",IF($L981="","",IF(AND($K981=1,ISNUMBER($L981),$L981&lt;$J981,COUNTIFS(nrES_PID,$D981,nrES_Code,$F981,nrES_Att,2,nrES_Raw,"&gt;=0")=0),"Yes","No")))</f>
        <v/>
      </c>
      <c r="R981" s="17">
        <f>IF($C981="","",IF($L981="","",IF(AND($K981=2,ISNUMBER($L981),$L981&lt;$J981),"Yes","No")))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OR($C981="",$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RANGE",IF(COUNTIF(nrES_RecID,$B981)&gt;1,"DUPLICATE RECORD",IF(AND($K981=2,COUNTIFS(nrES_PID,$D981,nrES_Code,$F981,nrES_Att,1)=0),"ATTEMPT 2 WITHOUT ATTEMPT 1",IF(AND($K981=2,$L981=""),"RETEST ROW HAS NO SCORE",IF(AND($H981="Final",$L981&lt;&gt;"",IFERROR(INDEX(nrCKfinalExamElig,MATCH($D981,rngCadetPIDs,0)),"")="No"),"FINAL EXAM AFTER FAILED FINAL PT (500.1.H)","OK")))))))</f>
        <v/>
      </c>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IF($C982="","",IF($K982="","",IF(COUNTIFS(nrES_PID,$D982,nrES_Code,$F982,nrES_Att,"&gt;"&amp;$K982,nrES_Raw,"&gt;=0")=0,"Yes","No")))</f>
        <v/>
      </c>
      <c r="Q982" s="17">
        <f>IF($C982="","",IF($L982="","",IF(AND($K982=1,ISNUMBER($L982),$L982&lt;$J982,COUNTIFS(nrES_PID,$D982,nrES_Code,$F982,nrES_Att,2,nrES_Raw,"&gt;=0")=0),"Yes","No")))</f>
        <v/>
      </c>
      <c r="R982" s="17">
        <f>IF($C982="","",IF($L982="","",IF(AND($K982=2,ISNUMBER($L982),$L982&lt;$J982),"Yes","No")))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OR($C982="",$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RANGE",IF(COUNTIF(nrES_RecID,$B982)&gt;1,"DUPLICATE RECORD",IF(AND($K982=2,COUNTIFS(nrES_PID,$D982,nrES_Code,$F982,nrES_Att,1)=0),"ATTEMPT 2 WITHOUT ATTEMPT 1",IF(AND($K982=2,$L982=""),"RETEST ROW HAS NO SCORE",IF(AND($H982="Final",$L982&lt;&gt;"",IFERROR(INDEX(nrCKfinalExamElig,MATCH($D982,rngCadetPIDs,0)),"")="No"),"FINAL EXAM AFTER FAILED FINAL PT (500.1.H)","OK")))))))</f>
        <v/>
      </c>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IF($C983="","",IF($K983="","",IF(COUNTIFS(nrES_PID,$D983,nrES_Code,$F983,nrES_Att,"&gt;"&amp;$K983,nrES_Raw,"&gt;=0")=0,"Yes","No")))</f>
        <v/>
      </c>
      <c r="Q983" s="17">
        <f>IF($C983="","",IF($L983="","",IF(AND($K983=1,ISNUMBER($L983),$L983&lt;$J983,COUNTIFS(nrES_PID,$D983,nrES_Code,$F983,nrES_Att,2,nrES_Raw,"&gt;=0")=0),"Yes","No")))</f>
        <v/>
      </c>
      <c r="R983" s="17">
        <f>IF($C983="","",IF($L983="","",IF(AND($K983=2,ISNUMBER($L983),$L983&lt;$J983),"Yes","No")))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OR($C983="",$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RANGE",IF(COUNTIF(nrES_RecID,$B983)&gt;1,"DUPLICATE RECORD",IF(AND($K983=2,COUNTIFS(nrES_PID,$D983,nrES_Code,$F983,nrES_Att,1)=0),"ATTEMPT 2 WITHOUT ATTEMPT 1",IF(AND($K983=2,$L983=""),"RETEST ROW HAS NO SCORE",IF(AND($H983="Final",$L983&lt;&gt;"",IFERROR(INDEX(nrCKfinalExamElig,MATCH($D983,rngCadetPIDs,0)),"")="No"),"FINAL EXAM AFTER FAILED FINAL PT (500.1.H)","OK")))))))</f>
        <v/>
      </c>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IF($C984="","",IF($K984="","",IF(COUNTIFS(nrES_PID,$D984,nrES_Code,$F984,nrES_Att,"&gt;"&amp;$K984,nrES_Raw,"&gt;=0")=0,"Yes","No")))</f>
        <v/>
      </c>
      <c r="Q984" s="17">
        <f>IF($C984="","",IF($L984="","",IF(AND($K984=1,ISNUMBER($L984),$L984&lt;$J984,COUNTIFS(nrES_PID,$D984,nrES_Code,$F984,nrES_Att,2,nrES_Raw,"&gt;=0")=0),"Yes","No")))</f>
        <v/>
      </c>
      <c r="R984" s="17">
        <f>IF($C984="","",IF($L984="","",IF(AND($K984=2,ISNUMBER($L984),$L984&lt;$J984),"Yes","No")))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OR($C984="",$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RANGE",IF(COUNTIF(nrES_RecID,$B984)&gt;1,"DUPLICATE RECORD",IF(AND($K984=2,COUNTIFS(nrES_PID,$D984,nrES_Code,$F984,nrES_Att,1)=0),"ATTEMPT 2 WITHOUT ATTEMPT 1",IF(AND($K984=2,$L984=""),"RETEST ROW HAS NO SCORE",IF(AND($H984="Final",$L984&lt;&gt;"",IFERROR(INDEX(nrCKfinalExamElig,MATCH($D984,rngCadetPIDs,0)),"")="No"),"FINAL EXAM AFTER FAILED FINAL PT (500.1.H)","OK")))))))</f>
        <v/>
      </c>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IF($C985="","",IF($K985="","",IF(COUNTIFS(nrES_PID,$D985,nrES_Code,$F985,nrES_Att,"&gt;"&amp;$K985,nrES_Raw,"&gt;=0")=0,"Yes","No")))</f>
        <v/>
      </c>
      <c r="Q985" s="17">
        <f>IF($C985="","",IF($L985="","",IF(AND($K985=1,ISNUMBER($L985),$L985&lt;$J985,COUNTIFS(nrES_PID,$D985,nrES_Code,$F985,nrES_Att,2,nrES_Raw,"&gt;=0")=0),"Yes","No")))</f>
        <v/>
      </c>
      <c r="R985" s="17">
        <f>IF($C985="","",IF($L985="","",IF(AND($K985=2,ISNUMBER($L985),$L985&lt;$J985),"Yes","No")))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OR($C985="",$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RANGE",IF(COUNTIF(nrES_RecID,$B985)&gt;1,"DUPLICATE RECORD",IF(AND($K985=2,COUNTIFS(nrES_PID,$D985,nrES_Code,$F985,nrES_Att,1)=0),"ATTEMPT 2 WITHOUT ATTEMPT 1",IF(AND($K985=2,$L985=""),"RETEST ROW HAS NO SCORE",IF(AND($H985="Final",$L985&lt;&gt;"",IFERROR(INDEX(nrCKfinalExamElig,MATCH($D985,rngCadetPIDs,0)),"")="No"),"FINAL EXAM AFTER FAILED FINAL PT (500.1.H)","OK")))))))</f>
        <v/>
      </c>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IF($C986="","",IF($K986="","",IF(COUNTIFS(nrES_PID,$D986,nrES_Code,$F986,nrES_Att,"&gt;"&amp;$K986,nrES_Raw,"&gt;=0")=0,"Yes","No")))</f>
        <v/>
      </c>
      <c r="Q986" s="17">
        <f>IF($C986="","",IF($L986="","",IF(AND($K986=1,ISNUMBER($L986),$L986&lt;$J986,COUNTIFS(nrES_PID,$D986,nrES_Code,$F986,nrES_Att,2,nrES_Raw,"&gt;=0")=0),"Yes","No")))</f>
        <v/>
      </c>
      <c r="R986" s="17">
        <f>IF($C986="","",IF($L986="","",IF(AND($K986=2,ISNUMBER($L986),$L986&lt;$J986),"Yes","No")))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OR($C986="",$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RANGE",IF(COUNTIF(nrES_RecID,$B986)&gt;1,"DUPLICATE RECORD",IF(AND($K986=2,COUNTIFS(nrES_PID,$D986,nrES_Code,$F986,nrES_Att,1)=0),"ATTEMPT 2 WITHOUT ATTEMPT 1",IF(AND($K986=2,$L986=""),"RETEST ROW HAS NO SCORE",IF(AND($H986="Final",$L986&lt;&gt;"",IFERROR(INDEX(nrCKfinalExamElig,MATCH($D986,rngCadetPIDs,0)),"")="No"),"FINAL EXAM AFTER FAILED FINAL PT (500.1.H)","OK")))))))</f>
        <v/>
      </c>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IF($C987="","",IF($K987="","",IF(COUNTIFS(nrES_PID,$D987,nrES_Code,$F987,nrES_Att,"&gt;"&amp;$K987,nrES_Raw,"&gt;=0")=0,"Yes","No")))</f>
        <v/>
      </c>
      <c r="Q987" s="17">
        <f>IF($C987="","",IF($L987="","",IF(AND($K987=1,ISNUMBER($L987),$L987&lt;$J987,COUNTIFS(nrES_PID,$D987,nrES_Code,$F987,nrES_Att,2,nrES_Raw,"&gt;=0")=0),"Yes","No")))</f>
        <v/>
      </c>
      <c r="R987" s="17">
        <f>IF($C987="","",IF($L987="","",IF(AND($K987=2,ISNUMBER($L987),$L987&lt;$J987),"Yes","No")))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OR($C987="",$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RANGE",IF(COUNTIF(nrES_RecID,$B987)&gt;1,"DUPLICATE RECORD",IF(AND($K987=2,COUNTIFS(nrES_PID,$D987,nrES_Code,$F987,nrES_Att,1)=0),"ATTEMPT 2 WITHOUT ATTEMPT 1",IF(AND($K987=2,$L987=""),"RETEST ROW HAS NO SCORE",IF(AND($H987="Final",$L987&lt;&gt;"",IFERROR(INDEX(nrCKfinalExamElig,MATCH($D987,rngCadetPIDs,0)),"")="No"),"FINAL EXAM AFTER FAILED FINAL PT (500.1.H)","OK")))))))</f>
        <v/>
      </c>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IF($C988="","",IF($K988="","",IF(COUNTIFS(nrES_PID,$D988,nrES_Code,$F988,nrES_Att,"&gt;"&amp;$K988,nrES_Raw,"&gt;=0")=0,"Yes","No")))</f>
        <v/>
      </c>
      <c r="Q988" s="17">
        <f>IF($C988="","",IF($L988="","",IF(AND($K988=1,ISNUMBER($L988),$L988&lt;$J988,COUNTIFS(nrES_PID,$D988,nrES_Code,$F988,nrES_Att,2,nrES_Raw,"&gt;=0")=0),"Yes","No")))</f>
        <v/>
      </c>
      <c r="R988" s="17">
        <f>IF($C988="","",IF($L988="","",IF(AND($K988=2,ISNUMBER($L988),$L988&lt;$J988),"Yes","No")))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OR($C988="",$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RANGE",IF(COUNTIF(nrES_RecID,$B988)&gt;1,"DUPLICATE RECORD",IF(AND($K988=2,COUNTIFS(nrES_PID,$D988,nrES_Code,$F988,nrES_Att,1)=0),"ATTEMPT 2 WITHOUT ATTEMPT 1",IF(AND($K988=2,$L988=""),"RETEST ROW HAS NO SCORE",IF(AND($H988="Final",$L988&lt;&gt;"",IFERROR(INDEX(nrCKfinalExamElig,MATCH($D988,rngCadetPIDs,0)),"")="No"),"FINAL EXAM AFTER FAILED FINAL PT (500.1.H)","OK")))))))</f>
        <v/>
      </c>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IF($C989="","",IF($K989="","",IF(COUNTIFS(nrES_PID,$D989,nrES_Code,$F989,nrES_Att,"&gt;"&amp;$K989,nrES_Raw,"&gt;=0")=0,"Yes","No")))</f>
        <v/>
      </c>
      <c r="Q989" s="17">
        <f>IF($C989="","",IF($L989="","",IF(AND($K989=1,ISNUMBER($L989),$L989&lt;$J989,COUNTIFS(nrES_PID,$D989,nrES_Code,$F989,nrES_Att,2,nrES_Raw,"&gt;=0")=0),"Yes","No")))</f>
        <v/>
      </c>
      <c r="R989" s="17">
        <f>IF($C989="","",IF($L989="","",IF(AND($K989=2,ISNUMBER($L989),$L989&lt;$J989),"Yes","No")))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OR($C989="",$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RANGE",IF(COUNTIF(nrES_RecID,$B989)&gt;1,"DUPLICATE RECORD",IF(AND($K989=2,COUNTIFS(nrES_PID,$D989,nrES_Code,$F989,nrES_Att,1)=0),"ATTEMPT 2 WITHOUT ATTEMPT 1",IF(AND($K989=2,$L989=""),"RETEST ROW HAS NO SCORE",IF(AND($H989="Final",$L989&lt;&gt;"",IFERROR(INDEX(nrCKfinalExamElig,MATCH($D989,rngCadetPIDs,0)),"")="No"),"FINAL EXAM AFTER FAILED FINAL PT (500.1.H)","OK")))))))</f>
        <v/>
      </c>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IF($C990="","",IF($K990="","",IF(COUNTIFS(nrES_PID,$D990,nrES_Code,$F990,nrES_Att,"&gt;"&amp;$K990,nrES_Raw,"&gt;=0")=0,"Yes","No")))</f>
        <v/>
      </c>
      <c r="Q990" s="17">
        <f>IF($C990="","",IF($L990="","",IF(AND($K990=1,ISNUMBER($L990),$L990&lt;$J990,COUNTIFS(nrES_PID,$D990,nrES_Code,$F990,nrES_Att,2,nrES_Raw,"&gt;=0")=0),"Yes","No")))</f>
        <v/>
      </c>
      <c r="R990" s="17">
        <f>IF($C990="","",IF($L990="","",IF(AND($K990=2,ISNUMBER($L990),$L990&lt;$J990),"Yes","No")))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OR($C990="",$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RANGE",IF(COUNTIF(nrES_RecID,$B990)&gt;1,"DUPLICATE RECORD",IF(AND($K990=2,COUNTIFS(nrES_PID,$D990,nrES_Code,$F990,nrES_Att,1)=0),"ATTEMPT 2 WITHOUT ATTEMPT 1",IF(AND($K990=2,$L990=""),"RETEST ROW HAS NO SCORE",IF(AND($H990="Final",$L990&lt;&gt;"",IFERROR(INDEX(nrCKfinalExamElig,MATCH($D990,rngCadetPIDs,0)),"")="No"),"FINAL EXAM AFTER FAILED FINAL PT (500.1.H)","OK")))))))</f>
        <v/>
      </c>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IF($C991="","",IF($K991="","",IF(COUNTIFS(nrES_PID,$D991,nrES_Code,$F991,nrES_Att,"&gt;"&amp;$K991,nrES_Raw,"&gt;=0")=0,"Yes","No")))</f>
        <v/>
      </c>
      <c r="Q991" s="17">
        <f>IF($C991="","",IF($L991="","",IF(AND($K991=1,ISNUMBER($L991),$L991&lt;$J991,COUNTIFS(nrES_PID,$D991,nrES_Code,$F991,nrES_Att,2,nrES_Raw,"&gt;=0")=0),"Yes","No")))</f>
        <v/>
      </c>
      <c r="R991" s="17">
        <f>IF($C991="","",IF($L991="","",IF(AND($K991=2,ISNUMBER($L991),$L991&lt;$J991),"Yes","No")))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OR($C991="",$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RANGE",IF(COUNTIF(nrES_RecID,$B991)&gt;1,"DUPLICATE RECORD",IF(AND($K991=2,COUNTIFS(nrES_PID,$D991,nrES_Code,$F991,nrES_Att,1)=0),"ATTEMPT 2 WITHOUT ATTEMPT 1",IF(AND($K991=2,$L991=""),"RETEST ROW HAS NO SCORE",IF(AND($H991="Final",$L991&lt;&gt;"",IFERROR(INDEX(nrCKfinalExamElig,MATCH($D991,rngCadetPIDs,0)),"")="No"),"FINAL EXAM AFTER FAILED FINAL PT (500.1.H)","OK")))))))</f>
        <v/>
      </c>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IF($C992="","",IF($K992="","",IF(COUNTIFS(nrES_PID,$D992,nrES_Code,$F992,nrES_Att,"&gt;"&amp;$K992,nrES_Raw,"&gt;=0")=0,"Yes","No")))</f>
        <v/>
      </c>
      <c r="Q992" s="17">
        <f>IF($C992="","",IF($L992="","",IF(AND($K992=1,ISNUMBER($L992),$L992&lt;$J992,COUNTIFS(nrES_PID,$D992,nrES_Code,$F992,nrES_Att,2,nrES_Raw,"&gt;=0")=0),"Yes","No")))</f>
        <v/>
      </c>
      <c r="R992" s="17">
        <f>IF($C992="","",IF($L992="","",IF(AND($K992=2,ISNUMBER($L992),$L992&lt;$J992),"Yes","No")))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OR($C992="",$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RANGE",IF(COUNTIF(nrES_RecID,$B992)&gt;1,"DUPLICATE RECORD",IF(AND($K992=2,COUNTIFS(nrES_PID,$D992,nrES_Code,$F992,nrES_Att,1)=0),"ATTEMPT 2 WITHOUT ATTEMPT 1",IF(AND($K992=2,$L992=""),"RETEST ROW HAS NO SCORE",IF(AND($H992="Final",$L992&lt;&gt;"",IFERROR(INDEX(nrCKfinalExamElig,MATCH($D992,rngCadetPIDs,0)),"")="No"),"FINAL EXAM AFTER FAILED FINAL PT (500.1.H)","OK")))))))</f>
        <v/>
      </c>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IF($C993="","",IF($K993="","",IF(COUNTIFS(nrES_PID,$D993,nrES_Code,$F993,nrES_Att,"&gt;"&amp;$K993,nrES_Raw,"&gt;=0")=0,"Yes","No")))</f>
        <v/>
      </c>
      <c r="Q993" s="17">
        <f>IF($C993="","",IF($L993="","",IF(AND($K993=1,ISNUMBER($L993),$L993&lt;$J993,COUNTIFS(nrES_PID,$D993,nrES_Code,$F993,nrES_Att,2,nrES_Raw,"&gt;=0")=0),"Yes","No")))</f>
        <v/>
      </c>
      <c r="R993" s="17">
        <f>IF($C993="","",IF($L993="","",IF(AND($K993=2,ISNUMBER($L993),$L993&lt;$J993),"Yes","No")))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OR($C993="",$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RANGE",IF(COUNTIF(nrES_RecID,$B993)&gt;1,"DUPLICATE RECORD",IF(AND($K993=2,COUNTIFS(nrES_PID,$D993,nrES_Code,$F993,nrES_Att,1)=0),"ATTEMPT 2 WITHOUT ATTEMPT 1",IF(AND($K993=2,$L993=""),"RETEST ROW HAS NO SCORE",IF(AND($H993="Final",$L993&lt;&gt;"",IFERROR(INDEX(nrCKfinalExamElig,MATCH($D993,rngCadetPIDs,0)),"")="No"),"FINAL EXAM AFTER FAILED FINAL PT (500.1.H)","OK")))))))</f>
        <v/>
      </c>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IF($C994="","",IF($K994="","",IF(COUNTIFS(nrES_PID,$D994,nrES_Code,$F994,nrES_Att,"&gt;"&amp;$K994,nrES_Raw,"&gt;=0")=0,"Yes","No")))</f>
        <v/>
      </c>
      <c r="Q994" s="17">
        <f>IF($C994="","",IF($L994="","",IF(AND($K994=1,ISNUMBER($L994),$L994&lt;$J994,COUNTIFS(nrES_PID,$D994,nrES_Code,$F994,nrES_Att,2,nrES_Raw,"&gt;=0")=0),"Yes","No")))</f>
        <v/>
      </c>
      <c r="R994" s="17">
        <f>IF($C994="","",IF($L994="","",IF(AND($K994=2,ISNUMBER($L994),$L994&lt;$J994),"Yes","No")))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OR($C994="",$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RANGE",IF(COUNTIF(nrES_RecID,$B994)&gt;1,"DUPLICATE RECORD",IF(AND($K994=2,COUNTIFS(nrES_PID,$D994,nrES_Code,$F994,nrES_Att,1)=0),"ATTEMPT 2 WITHOUT ATTEMPT 1",IF(AND($K994=2,$L994=""),"RETEST ROW HAS NO SCORE",IF(AND($H994="Final",$L994&lt;&gt;"",IFERROR(INDEX(nrCKfinalExamElig,MATCH($D994,rngCadetPIDs,0)),"")="No"),"FINAL EXAM AFTER FAILED FINAL PT (500.1.H)","OK")))))))</f>
        <v/>
      </c>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IF($C995="","",IF($K995="","",IF(COUNTIFS(nrES_PID,$D995,nrES_Code,$F995,nrES_Att,"&gt;"&amp;$K995,nrES_Raw,"&gt;=0")=0,"Yes","No")))</f>
        <v/>
      </c>
      <c r="Q995" s="17">
        <f>IF($C995="","",IF($L995="","",IF(AND($K995=1,ISNUMBER($L995),$L995&lt;$J995,COUNTIFS(nrES_PID,$D995,nrES_Code,$F995,nrES_Att,2,nrES_Raw,"&gt;=0")=0),"Yes","No")))</f>
        <v/>
      </c>
      <c r="R995" s="17">
        <f>IF($C995="","",IF($L995="","",IF(AND($K995=2,ISNUMBER($L995),$L995&lt;$J995),"Yes","No")))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OR($C995="",$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RANGE",IF(COUNTIF(nrES_RecID,$B995)&gt;1,"DUPLICATE RECORD",IF(AND($K995=2,COUNTIFS(nrES_PID,$D995,nrES_Code,$F995,nrES_Att,1)=0),"ATTEMPT 2 WITHOUT ATTEMPT 1",IF(AND($K995=2,$L995=""),"RETEST ROW HAS NO SCORE",IF(AND($H995="Final",$L995&lt;&gt;"",IFERROR(INDEX(nrCKfinalExamElig,MATCH($D995,rngCadetPIDs,0)),"")="No"),"FINAL EXAM AFTER FAILED FINAL PT (500.1.H)","OK")))))))</f>
        <v/>
      </c>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IF($C996="","",IF($K996="","",IF(COUNTIFS(nrES_PID,$D996,nrES_Code,$F996,nrES_Att,"&gt;"&amp;$K996,nrES_Raw,"&gt;=0")=0,"Yes","No")))</f>
        <v/>
      </c>
      <c r="Q996" s="17">
        <f>IF($C996="","",IF($L996="","",IF(AND($K996=1,ISNUMBER($L996),$L996&lt;$J996,COUNTIFS(nrES_PID,$D996,nrES_Code,$F996,nrES_Att,2,nrES_Raw,"&gt;=0")=0),"Yes","No")))</f>
        <v/>
      </c>
      <c r="R996" s="17">
        <f>IF($C996="","",IF($L996="","",IF(AND($K996=2,ISNUMBER($L996),$L996&lt;$J996),"Yes","No")))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OR($C996="",$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RANGE",IF(COUNTIF(nrES_RecID,$B996)&gt;1,"DUPLICATE RECORD",IF(AND($K996=2,COUNTIFS(nrES_PID,$D996,nrES_Code,$F996,nrES_Att,1)=0),"ATTEMPT 2 WITHOUT ATTEMPT 1",IF(AND($K996=2,$L996=""),"RETEST ROW HAS NO SCORE",IF(AND($H996="Final",$L996&lt;&gt;"",IFERROR(INDEX(nrCKfinalExamElig,MATCH($D996,rngCadetPIDs,0)),"")="No"),"FINAL EXAM AFTER FAILED FINAL PT (500.1.H)","OK")))))))</f>
        <v/>
      </c>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IF($C997="","",IF($K997="","",IF(COUNTIFS(nrES_PID,$D997,nrES_Code,$F997,nrES_Att,"&gt;"&amp;$K997,nrES_Raw,"&gt;=0")=0,"Yes","No")))</f>
        <v/>
      </c>
      <c r="Q997" s="17">
        <f>IF($C997="","",IF($L997="","",IF(AND($K997=1,ISNUMBER($L997),$L997&lt;$J997,COUNTIFS(nrES_PID,$D997,nrES_Code,$F997,nrES_Att,2,nrES_Raw,"&gt;=0")=0),"Yes","No")))</f>
        <v/>
      </c>
      <c r="R997" s="17">
        <f>IF($C997="","",IF($L997="","",IF(AND($K997=2,ISNUMBER($L997),$L997&lt;$J997),"Yes","No")))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OR($C997="",$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RANGE",IF(COUNTIF(nrES_RecID,$B997)&gt;1,"DUPLICATE RECORD",IF(AND($K997=2,COUNTIFS(nrES_PID,$D997,nrES_Code,$F997,nrES_Att,1)=0),"ATTEMPT 2 WITHOUT ATTEMPT 1",IF(AND($K997=2,$L997=""),"RETEST ROW HAS NO SCORE",IF(AND($H997="Final",$L997&lt;&gt;"",IFERROR(INDEX(nrCKfinalExamElig,MATCH($D997,rngCadetPIDs,0)),"")="No"),"FINAL EXAM AFTER FAILED FINAL PT (500.1.H)","OK")))))))</f>
        <v/>
      </c>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IF($C998="","",IF($K998="","",IF(COUNTIFS(nrES_PID,$D998,nrES_Code,$F998,nrES_Att,"&gt;"&amp;$K998,nrES_Raw,"&gt;=0")=0,"Yes","No")))</f>
        <v/>
      </c>
      <c r="Q998" s="17">
        <f>IF($C998="","",IF($L998="","",IF(AND($K998=1,ISNUMBER($L998),$L998&lt;$J998,COUNTIFS(nrES_PID,$D998,nrES_Code,$F998,nrES_Att,2,nrES_Raw,"&gt;=0")=0),"Yes","No")))</f>
        <v/>
      </c>
      <c r="R998" s="17">
        <f>IF($C998="","",IF($L998="","",IF(AND($K998=2,ISNUMBER($L998),$L998&lt;$J998),"Yes","No")))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OR($C998="",$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RANGE",IF(COUNTIF(nrES_RecID,$B998)&gt;1,"DUPLICATE RECORD",IF(AND($K998=2,COUNTIFS(nrES_PID,$D998,nrES_Code,$F998,nrES_Att,1)=0),"ATTEMPT 2 WITHOUT ATTEMPT 1",IF(AND($K998=2,$L998=""),"RETEST ROW HAS NO SCORE",IF(AND($H998="Final",$L998&lt;&gt;"",IFERROR(INDEX(nrCKfinalExamElig,MATCH($D998,rngCadetPIDs,0)),"")="No"),"FINAL EXAM AFTER FAILED FINAL PT (500.1.H)","OK")))))))</f>
        <v/>
      </c>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IF($C999="","",IF($K999="","",IF(COUNTIFS(nrES_PID,$D999,nrES_Code,$F999,nrES_Att,"&gt;"&amp;$K999,nrES_Raw,"&gt;=0")=0,"Yes","No")))</f>
        <v/>
      </c>
      <c r="Q999" s="17">
        <f>IF($C999="","",IF($L999="","",IF(AND($K999=1,ISNUMBER($L999),$L999&lt;$J999,COUNTIFS(nrES_PID,$D999,nrES_Code,$F999,nrES_Att,2,nrES_Raw,"&gt;=0")=0),"Yes","No")))</f>
        <v/>
      </c>
      <c r="R999" s="17">
        <f>IF($C999="","",IF($L999="","",IF(AND($K999=2,ISNUMBER($L999),$L999&lt;$J999),"Yes","No")))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OR($C999="",$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RANGE",IF(COUNTIF(nrES_RecID,$B999)&gt;1,"DUPLICATE RECORD",IF(AND($K999=2,COUNTIFS(nrES_PID,$D999,nrES_Code,$F999,nrES_Att,1)=0),"ATTEMPT 2 WITHOUT ATTEMPT 1",IF(AND($K999=2,$L999=""),"RETEST ROW HAS NO SCORE",IF(AND($H999="Final",$L999&lt;&gt;"",IFERROR(INDEX(nrCKfinalExamElig,MATCH($D999,rngCadetPIDs,0)),"")="No"),"FINAL EXAM AFTER FAILED FINAL PT (500.1.H)","OK")))))))</f>
        <v/>
      </c>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IF($C1000="","",IF($K1000="","",IF(COUNTIFS(nrES_PID,$D1000,nrES_Code,$F1000,nrES_Att,"&gt;"&amp;$K1000,nrES_Raw,"&gt;=0")=0,"Yes","No")))</f>
        <v/>
      </c>
      <c r="Q1000" s="17">
        <f>IF($C1000="","",IF($L1000="","",IF(AND($K1000=1,ISNUMBER($L1000),$L1000&lt;$J1000,COUNTIFS(nrES_PID,$D1000,nrES_Code,$F1000,nrES_Att,2,nrES_Raw,"&gt;=0")=0),"Yes","No")))</f>
        <v/>
      </c>
      <c r="R1000" s="17">
        <f>IF($C1000="","",IF($L1000="","",IF(AND($K1000=2,ISNUMBER($L1000),$L1000&lt;$J1000),"Yes","No")))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OR($C1000="",$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RANGE",IF(COUNTIF(nrES_RecID,$B1000)&gt;1,"DUPLICATE RECORD",IF(AND($K1000=2,COUNTIFS(nrES_PID,$D1000,nrES_Code,$F1000,nrES_Att,1)=0),"ATTEMPT 2 WITHOUT ATTEMPT 1",IF(AND($K1000=2,$L1000=""),"RETEST ROW HAS NO SCORE",IF(AND($H1000="Final",$L1000&lt;&gt;"",IFERROR(INDEX(nrCKfinalExamElig,MATCH($D1000,rngCadetPIDs,0)),"")="No"),"FINAL EXAM AFTER FAILED FINAL PT (500.1.H)","OK")))))))</f>
        <v/>
      </c>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IF($C1001="","",IF($K1001="","",IF(COUNTIFS(nrES_PID,$D1001,nrES_Code,$F1001,nrES_Att,"&gt;"&amp;$K1001,nrES_Raw,"&gt;=0")=0,"Yes","No")))</f>
        <v/>
      </c>
      <c r="Q1001" s="17">
        <f>IF($C1001="","",IF($L1001="","",IF(AND($K1001=1,ISNUMBER($L1001),$L1001&lt;$J1001,COUNTIFS(nrES_PID,$D1001,nrES_Code,$F1001,nrES_Att,2,nrES_Raw,"&gt;=0")=0),"Yes","No")))</f>
        <v/>
      </c>
      <c r="R1001" s="17">
        <f>IF($C1001="","",IF($L1001="","",IF(AND($K1001=2,ISNUMBER($L1001),$L1001&lt;$J1001),"Yes","No")))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OR($C1001="",$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RANGE",IF(COUNTIF(nrES_RecID,$B1001)&gt;1,"DUPLICATE RECORD",IF(AND($K1001=2,COUNTIFS(nrES_PID,$D1001,nrES_Code,$F1001,nrES_Att,1)=0),"ATTEMPT 2 WITHOUT ATTEMPT 1",IF(AND($K1001=2,$L1001=""),"RETEST ROW HAS NO SCORE",IF(AND($H1001="Final",$L1001&lt;&gt;"",IFERROR(INDEX(nrCKfinalExamElig,MATCH($D1001,rngCadetPIDs,0)),"")="No"),"FINAL EXAM AFTER FAILED FINAL PT (500.1.H)","OK")))))))</f>
        <v/>
      </c>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IF($C1002="","",IF($K1002="","",IF(COUNTIFS(nrES_PID,$D1002,nrES_Code,$F1002,nrES_Att,"&gt;"&amp;$K1002,nrES_Raw,"&gt;=0")=0,"Yes","No")))</f>
        <v/>
      </c>
      <c r="Q1002" s="17">
        <f>IF($C1002="","",IF($L1002="","",IF(AND($K1002=1,ISNUMBER($L1002),$L1002&lt;$J1002,COUNTIFS(nrES_PID,$D1002,nrES_Code,$F1002,nrES_Att,2,nrES_Raw,"&gt;=0")=0),"Yes","No")))</f>
        <v/>
      </c>
      <c r="R1002" s="17">
        <f>IF($C1002="","",IF($L1002="","",IF(AND($K1002=2,ISNUMBER($L1002),$L1002&lt;$J1002),"Yes","No")))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OR($C1002="",$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RANGE",IF(COUNTIF(nrES_RecID,$B1002)&gt;1,"DUPLICATE RECORD",IF(AND($K1002=2,COUNTIFS(nrES_PID,$D1002,nrES_Code,$F1002,nrES_Att,1)=0),"ATTEMPT 2 WITHOUT ATTEMPT 1",IF(AND($K1002=2,$L1002=""),"RETEST ROW HAS NO SCORE",IF(AND($H1002="Final",$L1002&lt;&gt;"",IFERROR(INDEX(nrCKfinalExamElig,MATCH($D1002,rngCadetPIDs,0)),"")="No"),"FINAL EXAM AFTER FAILED FINAL PT (500.1.H)","OK")))))))</f>
        <v/>
      </c>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IF($C1003="","",IF($K1003="","",IF(COUNTIFS(nrES_PID,$D1003,nrES_Code,$F1003,nrES_Att,"&gt;"&amp;$K1003,nrES_Raw,"&gt;=0")=0,"Yes","No")))</f>
        <v/>
      </c>
      <c r="Q1003" s="17">
        <f>IF($C1003="","",IF($L1003="","",IF(AND($K1003=1,ISNUMBER($L1003),$L1003&lt;$J1003,COUNTIFS(nrES_PID,$D1003,nrES_Code,$F1003,nrES_Att,2,nrES_Raw,"&gt;=0")=0),"Yes","No")))</f>
        <v/>
      </c>
      <c r="R1003" s="17">
        <f>IF($C1003="","",IF($L1003="","",IF(AND($K1003=2,ISNUMBER($L1003),$L1003&lt;$J1003),"Yes","No")))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OR($C1003="",$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RANGE",IF(COUNTIF(nrES_RecID,$B1003)&gt;1,"DUPLICATE RECORD",IF(AND($K1003=2,COUNTIFS(nrES_PID,$D1003,nrES_Code,$F1003,nrES_Att,1)=0),"ATTEMPT 2 WITHOUT ATTEMPT 1",IF(AND($K1003=2,$L1003=""),"RETEST ROW HAS NO SCORE",IF(AND($H1003="Final",$L1003&lt;&gt;"",IFERROR(INDEX(nrCKfinalExamElig,MATCH($D1003,rngCadetPIDs,0)),"")="No"),"FINAL EXAM AFTER FAILED FINAL PT (500.1.H)","OK")))))))</f>
        <v/>
      </c>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IF($C1004="","",IF($K1004="","",IF(COUNTIFS(nrES_PID,$D1004,nrES_Code,$F1004,nrES_Att,"&gt;"&amp;$K1004,nrES_Raw,"&gt;=0")=0,"Yes","No")))</f>
        <v/>
      </c>
      <c r="Q1004" s="17">
        <f>IF($C1004="","",IF($L1004="","",IF(AND($K1004=1,ISNUMBER($L1004),$L1004&lt;$J1004,COUNTIFS(nrES_PID,$D1004,nrES_Code,$F1004,nrES_Att,2,nrES_Raw,"&gt;=0")=0),"Yes","No")))</f>
        <v/>
      </c>
      <c r="R1004" s="17">
        <f>IF($C1004="","",IF($L1004="","",IF(AND($K1004=2,ISNUMBER($L1004),$L1004&lt;$J1004),"Yes","No")))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OR($C1004="",$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RANGE",IF(COUNTIF(nrES_RecID,$B1004)&gt;1,"DUPLICATE RECORD",IF(AND($K1004=2,COUNTIFS(nrES_PID,$D1004,nrES_Code,$F1004,nrES_Att,1)=0),"ATTEMPT 2 WITHOUT ATTEMPT 1",IF(AND($K1004=2,$L1004=""),"RETEST ROW HAS NO SCORE",IF(AND($H1004="Final",$L1004&lt;&gt;"",IFERROR(INDEX(nrCKfinalExamElig,MATCH($D1004,rngCadetPIDs,0)),"")="No"),"FINAL EXAM AFTER FAILED FINAL PT (500.1.H)","OK")))))))</f>
        <v/>
      </c>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IF($C1005="","",IF($K1005="","",IF(COUNTIFS(nrES_PID,$D1005,nrES_Code,$F1005,nrES_Att,"&gt;"&amp;$K1005,nrES_Raw,"&gt;=0")=0,"Yes","No")))</f>
        <v/>
      </c>
      <c r="Q1005" s="17">
        <f>IF($C1005="","",IF($L1005="","",IF(AND($K1005=1,ISNUMBER($L1005),$L1005&lt;$J1005,COUNTIFS(nrES_PID,$D1005,nrES_Code,$F1005,nrES_Att,2,nrES_Raw,"&gt;=0")=0),"Yes","No")))</f>
        <v/>
      </c>
      <c r="R1005" s="17">
        <f>IF($C1005="","",IF($L1005="","",IF(AND($K1005=2,ISNUMBER($L1005),$L1005&lt;$J1005),"Yes","No")))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OR($C1005="",$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RANGE",IF(COUNTIF(nrES_RecID,$B1005)&gt;1,"DUPLICATE RECORD",IF(AND($K1005=2,COUNTIFS(nrES_PID,$D1005,nrES_Code,$F1005,nrES_Att,1)=0),"ATTEMPT 2 WITHOUT ATTEMPT 1",IF(AND($K1005=2,$L1005=""),"RETEST ROW HAS NO SCORE",IF(AND($H1005="Final",$L1005&lt;&gt;"",IFERROR(INDEX(nrCKfinalExamElig,MATCH($D1005,rngCadetPIDs,0)),"")="No"),"FINAL EXAM AFTER FAILED FINAL PT (500.1.H)","OK")))))))</f>
        <v/>
      </c>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IF($C1006="","",IF($K1006="","",IF(COUNTIFS(nrES_PID,$D1006,nrES_Code,$F1006,nrES_Att,"&gt;"&amp;$K1006,nrES_Raw,"&gt;=0")=0,"Yes","No")))</f>
        <v/>
      </c>
      <c r="Q1006" s="17">
        <f>IF($C1006="","",IF($L1006="","",IF(AND($K1006=1,ISNUMBER($L1006),$L1006&lt;$J1006,COUNTIFS(nrES_PID,$D1006,nrES_Code,$F1006,nrES_Att,2,nrES_Raw,"&gt;=0")=0),"Yes","No")))</f>
        <v/>
      </c>
      <c r="R1006" s="17">
        <f>IF($C1006="","",IF($L1006="","",IF(AND($K1006=2,ISNUMBER($L1006),$L1006&lt;$J1006),"Yes","No")))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OR($C1006="",$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RANGE",IF(COUNTIF(nrES_RecID,$B1006)&gt;1,"DUPLICATE RECORD",IF(AND($K1006=2,COUNTIFS(nrES_PID,$D1006,nrES_Code,$F1006,nrES_Att,1)=0),"ATTEMPT 2 WITHOUT ATTEMPT 1",IF(AND($K1006=2,$L1006=""),"RETEST ROW HAS NO SCORE",IF(AND($H1006="Final",$L1006&lt;&gt;"",IFERROR(INDEX(nrCKfinalExamElig,MATCH($D1006,rngCadetPIDs,0)),"")="No"),"FINAL EXAM AFTER FAILED FINAL PT (500.1.H)","OK")))))))</f>
        <v/>
      </c>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IF($C1007="","",IF($K1007="","",IF(COUNTIFS(nrES_PID,$D1007,nrES_Code,$F1007,nrES_Att,"&gt;"&amp;$K1007,nrES_Raw,"&gt;=0")=0,"Yes","No")))</f>
        <v/>
      </c>
      <c r="Q1007" s="17">
        <f>IF($C1007="","",IF($L1007="","",IF(AND($K1007=1,ISNUMBER($L1007),$L1007&lt;$J1007,COUNTIFS(nrES_PID,$D1007,nrES_Code,$F1007,nrES_Att,2,nrES_Raw,"&gt;=0")=0),"Yes","No")))</f>
        <v/>
      </c>
      <c r="R1007" s="17">
        <f>IF($C1007="","",IF($L1007="","",IF(AND($K1007=2,ISNUMBER($L1007),$L1007&lt;$J1007),"Yes","No")))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OR($C1007="",$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RANGE",IF(COUNTIF(nrES_RecID,$B1007)&gt;1,"DUPLICATE RECORD",IF(AND($K1007=2,COUNTIFS(nrES_PID,$D1007,nrES_Code,$F1007,nrES_Att,1)=0),"ATTEMPT 2 WITHOUT ATTEMPT 1",IF(AND($K1007=2,$L1007=""),"RETEST ROW HAS NO SCORE",IF(AND($H1007="Final",$L1007&lt;&gt;"",IFERROR(INDEX(nrCKfinalExamElig,MATCH($D1007,rngCadetPIDs,0)),"")="No"),"FINAL EXAM AFTER FAILED FINAL PT (500.1.H)","OK")))))))</f>
        <v/>
      </c>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IF($C1008="","",IF($K1008="","",IF(COUNTIFS(nrES_PID,$D1008,nrES_Code,$F1008,nrES_Att,"&gt;"&amp;$K1008,nrES_Raw,"&gt;=0")=0,"Yes","No")))</f>
        <v/>
      </c>
      <c r="Q1008" s="17">
        <f>IF($C1008="","",IF($L1008="","",IF(AND($K1008=1,ISNUMBER($L1008),$L1008&lt;$J1008,COUNTIFS(nrES_PID,$D1008,nrES_Code,$F1008,nrES_Att,2,nrES_Raw,"&gt;=0")=0),"Yes","No")))</f>
        <v/>
      </c>
      <c r="R1008" s="17">
        <f>IF($C1008="","",IF($L1008="","",IF(AND($K1008=2,ISNUMBER($L1008),$L1008&lt;$J1008),"Yes","No")))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OR($C1008="",$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RANGE",IF(COUNTIF(nrES_RecID,$B1008)&gt;1,"DUPLICATE RECORD",IF(AND($K1008=2,COUNTIFS(nrES_PID,$D1008,nrES_Code,$F1008,nrES_Att,1)=0),"ATTEMPT 2 WITHOUT ATTEMPT 1",IF(AND($K1008=2,$L1008=""),"RETEST ROW HAS NO SCORE",IF(AND($H1008="Final",$L1008&lt;&gt;"",IFERROR(INDEX(nrCKfinalExamElig,MATCH($D1008,rngCadetPIDs,0)),"")="No"),"FINAL EXAM AFTER FAILED FINAL PT (500.1.H)","OK")))))))</f>
        <v/>
      </c>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IF($C1009="","",IF($K1009="","",IF(COUNTIFS(nrES_PID,$D1009,nrES_Code,$F1009,nrES_Att,"&gt;"&amp;$K1009,nrES_Raw,"&gt;=0")=0,"Yes","No")))</f>
        <v/>
      </c>
      <c r="Q1009" s="17">
        <f>IF($C1009="","",IF($L1009="","",IF(AND($K1009=1,ISNUMBER($L1009),$L1009&lt;$J1009,COUNTIFS(nrES_PID,$D1009,nrES_Code,$F1009,nrES_Att,2,nrES_Raw,"&gt;=0")=0),"Yes","No")))</f>
        <v/>
      </c>
      <c r="R1009" s="17">
        <f>IF($C1009="","",IF($L1009="","",IF(AND($K1009=2,ISNUMBER($L1009),$L1009&lt;$J1009),"Yes","No")))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OR($C1009="",$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RANGE",IF(COUNTIF(nrES_RecID,$B1009)&gt;1,"DUPLICATE RECORD",IF(AND($K1009=2,COUNTIFS(nrES_PID,$D1009,nrES_Code,$F1009,nrES_Att,1)=0),"ATTEMPT 2 WITHOUT ATTEMPT 1",IF(AND($K1009=2,$L1009=""),"RETEST ROW HAS NO SCORE",IF(AND($H1009="Final",$L1009&lt;&gt;"",IFERROR(INDEX(nrCKfinalExamElig,MATCH($D1009,rngCadetPIDs,0)),"")="No"),"FINAL EXAM AFTER FAILED FINAL PT (500.1.H)","OK")))))))</f>
        <v/>
      </c>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IF($C1010="","",IF($K1010="","",IF(COUNTIFS(nrES_PID,$D1010,nrES_Code,$F1010,nrES_Att,"&gt;"&amp;$K1010,nrES_Raw,"&gt;=0")=0,"Yes","No")))</f>
        <v/>
      </c>
      <c r="Q1010" s="17">
        <f>IF($C1010="","",IF($L1010="","",IF(AND($K1010=1,ISNUMBER($L1010),$L1010&lt;$J1010,COUNTIFS(nrES_PID,$D1010,nrES_Code,$F1010,nrES_Att,2,nrES_Raw,"&gt;=0")=0),"Yes","No")))</f>
        <v/>
      </c>
      <c r="R1010" s="17">
        <f>IF($C1010="","",IF($L1010="","",IF(AND($K1010=2,ISNUMBER($L1010),$L1010&lt;$J1010),"Yes","No")))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OR($C1010="",$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RANGE",IF(COUNTIF(nrES_RecID,$B1010)&gt;1,"DUPLICATE RECORD",IF(AND($K1010=2,COUNTIFS(nrES_PID,$D1010,nrES_Code,$F1010,nrES_Att,1)=0),"ATTEMPT 2 WITHOUT ATTEMPT 1",IF(AND($K1010=2,$L1010=""),"RETEST ROW HAS NO SCORE",IF(AND($H1010="Final",$L1010&lt;&gt;"",IFERROR(INDEX(nrCKfinalExamElig,MATCH($D1010,rngCadetPIDs,0)),"")="No"),"FINAL EXAM AFTER FAILED FINAL PT (500.1.H)","OK")))))))</f>
        <v/>
      </c>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IF($C1011="","",IF($K1011="","",IF(COUNTIFS(nrES_PID,$D1011,nrES_Code,$F1011,nrES_Att,"&gt;"&amp;$K1011,nrES_Raw,"&gt;=0")=0,"Yes","No")))</f>
        <v/>
      </c>
      <c r="Q1011" s="17">
        <f>IF($C1011="","",IF($L1011="","",IF(AND($K1011=1,ISNUMBER($L1011),$L1011&lt;$J1011,COUNTIFS(nrES_PID,$D1011,nrES_Code,$F1011,nrES_Att,2,nrES_Raw,"&gt;=0")=0),"Yes","No")))</f>
        <v/>
      </c>
      <c r="R1011" s="17">
        <f>IF($C1011="","",IF($L1011="","",IF(AND($K1011=2,ISNUMBER($L1011),$L1011&lt;$J1011),"Yes","No")))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OR($C1011="",$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RANGE",IF(COUNTIF(nrES_RecID,$B1011)&gt;1,"DUPLICATE RECORD",IF(AND($K1011=2,COUNTIFS(nrES_PID,$D1011,nrES_Code,$F1011,nrES_Att,1)=0),"ATTEMPT 2 WITHOUT ATTEMPT 1",IF(AND($K1011=2,$L1011=""),"RETEST ROW HAS NO SCORE",IF(AND($H1011="Final",$L1011&lt;&gt;"",IFERROR(INDEX(nrCKfinalExamElig,MATCH($D1011,rngCadetPIDs,0)),"")="No"),"FINAL EXAM AFTER FAILED FINAL PT (500.1.H)","OK")))))))</f>
        <v/>
      </c>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IF($C1012="","",IF($K1012="","",IF(COUNTIFS(nrES_PID,$D1012,nrES_Code,$F1012,nrES_Att,"&gt;"&amp;$K1012,nrES_Raw,"&gt;=0")=0,"Yes","No")))</f>
        <v/>
      </c>
      <c r="Q1012" s="17">
        <f>IF($C1012="","",IF($L1012="","",IF(AND($K1012=1,ISNUMBER($L1012),$L1012&lt;$J1012,COUNTIFS(nrES_PID,$D1012,nrES_Code,$F1012,nrES_Att,2,nrES_Raw,"&gt;=0")=0),"Yes","No")))</f>
        <v/>
      </c>
      <c r="R1012" s="17">
        <f>IF($C1012="","",IF($L1012="","",IF(AND($K1012=2,ISNUMBER($L1012),$L1012&lt;$J1012),"Yes","No")))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OR($C1012="",$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RANGE",IF(COUNTIF(nrES_RecID,$B1012)&gt;1,"DUPLICATE RECORD",IF(AND($K1012=2,COUNTIFS(nrES_PID,$D1012,nrES_Code,$F1012,nrES_Att,1)=0),"ATTEMPT 2 WITHOUT ATTEMPT 1",IF(AND($K1012=2,$L1012=""),"RETEST ROW HAS NO SCORE",IF(AND($H1012="Final",$L1012&lt;&gt;"",IFERROR(INDEX(nrCKfinalExamElig,MATCH($D1012,rngCadetPIDs,0)),"")="No"),"FINAL EXAM AFTER FAILED FINAL PT (500.1.H)","OK")))))))</f>
        <v/>
      </c>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IF($C1013="","",IF($K1013="","",IF(COUNTIFS(nrES_PID,$D1013,nrES_Code,$F1013,nrES_Att,"&gt;"&amp;$K1013,nrES_Raw,"&gt;=0")=0,"Yes","No")))</f>
        <v/>
      </c>
      <c r="Q1013" s="17">
        <f>IF($C1013="","",IF($L1013="","",IF(AND($K1013=1,ISNUMBER($L1013),$L1013&lt;$J1013,COUNTIFS(nrES_PID,$D1013,nrES_Code,$F1013,nrES_Att,2,nrES_Raw,"&gt;=0")=0),"Yes","No")))</f>
        <v/>
      </c>
      <c r="R1013" s="17">
        <f>IF($C1013="","",IF($L1013="","",IF(AND($K1013=2,ISNUMBER($L1013),$L1013&lt;$J1013),"Yes","No")))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OR($C1013="",$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RANGE",IF(COUNTIF(nrES_RecID,$B1013)&gt;1,"DUPLICATE RECORD",IF(AND($K1013=2,COUNTIFS(nrES_PID,$D1013,nrES_Code,$F1013,nrES_Att,1)=0),"ATTEMPT 2 WITHOUT ATTEMPT 1",IF(AND($K1013=2,$L1013=""),"RETEST ROW HAS NO SCORE",IF(AND($H1013="Final",$L1013&lt;&gt;"",IFERROR(INDEX(nrCKfinalExamElig,MATCH($D1013,rngCadetPIDs,0)),"")="No"),"FINAL EXAM AFTER FAILED FINAL PT (500.1.H)","OK")))))))</f>
        <v/>
      </c>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IF($C1014="","",IF($K1014="","",IF(COUNTIFS(nrES_PID,$D1014,nrES_Code,$F1014,nrES_Att,"&gt;"&amp;$K1014,nrES_Raw,"&gt;=0")=0,"Yes","No")))</f>
        <v/>
      </c>
      <c r="Q1014" s="17">
        <f>IF($C1014="","",IF($L1014="","",IF(AND($K1014=1,ISNUMBER($L1014),$L1014&lt;$J1014,COUNTIFS(nrES_PID,$D1014,nrES_Code,$F1014,nrES_Att,2,nrES_Raw,"&gt;=0")=0),"Yes","No")))</f>
        <v/>
      </c>
      <c r="R1014" s="17">
        <f>IF($C1014="","",IF($L1014="","",IF(AND($K1014=2,ISNUMBER($L1014),$L1014&lt;$J1014),"Yes","No")))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OR($C1014="",$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RANGE",IF(COUNTIF(nrES_RecID,$B1014)&gt;1,"DUPLICATE RECORD",IF(AND($K1014=2,COUNTIFS(nrES_PID,$D1014,nrES_Code,$F1014,nrES_Att,1)=0),"ATTEMPT 2 WITHOUT ATTEMPT 1",IF(AND($K1014=2,$L1014=""),"RETEST ROW HAS NO SCORE",IF(AND($H1014="Final",$L1014&lt;&gt;"",IFERROR(INDEX(nrCKfinalExamElig,MATCH($D1014,rngCadetPIDs,0)),"")="No"),"FINAL EXAM AFTER FAILED FINAL PT (500.1.H)","OK")))))))</f>
        <v/>
      </c>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IF($C1015="","",IF($K1015="","",IF(COUNTIFS(nrES_PID,$D1015,nrES_Code,$F1015,nrES_Att,"&gt;"&amp;$K1015,nrES_Raw,"&gt;=0")=0,"Yes","No")))</f>
        <v/>
      </c>
      <c r="Q1015" s="17">
        <f>IF($C1015="","",IF($L1015="","",IF(AND($K1015=1,ISNUMBER($L1015),$L1015&lt;$J1015,COUNTIFS(nrES_PID,$D1015,nrES_Code,$F1015,nrES_Att,2,nrES_Raw,"&gt;=0")=0),"Yes","No")))</f>
        <v/>
      </c>
      <c r="R1015" s="17">
        <f>IF($C1015="","",IF($L1015="","",IF(AND($K1015=2,ISNUMBER($L1015),$L1015&lt;$J1015),"Yes","No")))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OR($C1015="",$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RANGE",IF(COUNTIF(nrES_RecID,$B1015)&gt;1,"DUPLICATE RECORD",IF(AND($K1015=2,COUNTIFS(nrES_PID,$D1015,nrES_Code,$F1015,nrES_Att,1)=0),"ATTEMPT 2 WITHOUT ATTEMPT 1",IF(AND($K1015=2,$L1015=""),"RETEST ROW HAS NO SCORE",IF(AND($H1015="Final",$L1015&lt;&gt;"",IFERROR(INDEX(nrCKfinalExamElig,MATCH($D1015,rngCadetPIDs,0)),"")="No"),"FINAL EXAM AFTER FAILED FINAL PT (500.1.H)","OK")))))))</f>
        <v/>
      </c>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IF($C1016="","",IF($K1016="","",IF(COUNTIFS(nrES_PID,$D1016,nrES_Code,$F1016,nrES_Att,"&gt;"&amp;$K1016,nrES_Raw,"&gt;=0")=0,"Yes","No")))</f>
        <v/>
      </c>
      <c r="Q1016" s="17">
        <f>IF($C1016="","",IF($L1016="","",IF(AND($K1016=1,ISNUMBER($L1016),$L1016&lt;$J1016,COUNTIFS(nrES_PID,$D1016,nrES_Code,$F1016,nrES_Att,2,nrES_Raw,"&gt;=0")=0),"Yes","No")))</f>
        <v/>
      </c>
      <c r="R1016" s="17">
        <f>IF($C1016="","",IF($L1016="","",IF(AND($K1016=2,ISNUMBER($L1016),$L1016&lt;$J1016),"Yes","No")))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OR($C1016="",$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RANGE",IF(COUNTIF(nrES_RecID,$B1016)&gt;1,"DUPLICATE RECORD",IF(AND($K1016=2,COUNTIFS(nrES_PID,$D1016,nrES_Code,$F1016,nrES_Att,1)=0),"ATTEMPT 2 WITHOUT ATTEMPT 1",IF(AND($K1016=2,$L1016=""),"RETEST ROW HAS NO SCORE",IF(AND($H1016="Final",$L1016&lt;&gt;"",IFERROR(INDEX(nrCKfinalExamElig,MATCH($D1016,rngCadetPIDs,0)),"")="No"),"FINAL EXAM AFTER FAILED FINAL PT (500.1.H)","OK")))))))</f>
        <v/>
      </c>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IF($C1017="","",IF($K1017="","",IF(COUNTIFS(nrES_PID,$D1017,nrES_Code,$F1017,nrES_Att,"&gt;"&amp;$K1017,nrES_Raw,"&gt;=0")=0,"Yes","No")))</f>
        <v/>
      </c>
      <c r="Q1017" s="17">
        <f>IF($C1017="","",IF($L1017="","",IF(AND($K1017=1,ISNUMBER($L1017),$L1017&lt;$J1017,COUNTIFS(nrES_PID,$D1017,nrES_Code,$F1017,nrES_Att,2,nrES_Raw,"&gt;=0")=0),"Yes","No")))</f>
        <v/>
      </c>
      <c r="R1017" s="17">
        <f>IF($C1017="","",IF($L1017="","",IF(AND($K1017=2,ISNUMBER($L1017),$L1017&lt;$J1017),"Yes","No")))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OR($C1017="",$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RANGE",IF(COUNTIF(nrES_RecID,$B1017)&gt;1,"DUPLICATE RECORD",IF(AND($K1017=2,COUNTIFS(nrES_PID,$D1017,nrES_Code,$F1017,nrES_Att,1)=0),"ATTEMPT 2 WITHOUT ATTEMPT 1",IF(AND($K1017=2,$L1017=""),"RETEST ROW HAS NO SCORE",IF(AND($H1017="Final",$L1017&lt;&gt;"",IFERROR(INDEX(nrCKfinalExamElig,MATCH($D1017,rngCadetPIDs,0)),"")="No"),"FINAL EXAM AFTER FAILED FINAL PT (500.1.H)","OK")))))))</f>
        <v/>
      </c>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IF($C1018="","",IF($K1018="","",IF(COUNTIFS(nrES_PID,$D1018,nrES_Code,$F1018,nrES_Att,"&gt;"&amp;$K1018,nrES_Raw,"&gt;=0")=0,"Yes","No")))</f>
        <v/>
      </c>
      <c r="Q1018" s="17">
        <f>IF($C1018="","",IF($L1018="","",IF(AND($K1018=1,ISNUMBER($L1018),$L1018&lt;$J1018,COUNTIFS(nrES_PID,$D1018,nrES_Code,$F1018,nrES_Att,2,nrES_Raw,"&gt;=0")=0),"Yes","No")))</f>
        <v/>
      </c>
      <c r="R1018" s="17">
        <f>IF($C1018="","",IF($L1018="","",IF(AND($K1018=2,ISNUMBER($L1018),$L1018&lt;$J1018),"Yes","No")))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OR($C1018="",$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RANGE",IF(COUNTIF(nrES_RecID,$B1018)&gt;1,"DUPLICATE RECORD",IF(AND($K1018=2,COUNTIFS(nrES_PID,$D1018,nrES_Code,$F1018,nrES_Att,1)=0),"ATTEMPT 2 WITHOUT ATTEMPT 1",IF(AND($K1018=2,$L1018=""),"RETEST ROW HAS NO SCORE",IF(AND($H1018="Final",$L1018&lt;&gt;"",IFERROR(INDEX(nrCKfinalExamElig,MATCH($D1018,rngCadetPIDs,0)),"")="No"),"FINAL EXAM AFTER FAILED FINAL PT (500.1.H)","OK")))))))</f>
        <v/>
      </c>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IF($C1019="","",IF($K1019="","",IF(COUNTIFS(nrES_PID,$D1019,nrES_Code,$F1019,nrES_Att,"&gt;"&amp;$K1019,nrES_Raw,"&gt;=0")=0,"Yes","No")))</f>
        <v/>
      </c>
      <c r="Q1019" s="17">
        <f>IF($C1019="","",IF($L1019="","",IF(AND($K1019=1,ISNUMBER($L1019),$L1019&lt;$J1019,COUNTIFS(nrES_PID,$D1019,nrES_Code,$F1019,nrES_Att,2,nrES_Raw,"&gt;=0")=0),"Yes","No")))</f>
        <v/>
      </c>
      <c r="R1019" s="17">
        <f>IF($C1019="","",IF($L1019="","",IF(AND($K1019=2,ISNUMBER($L1019),$L1019&lt;$J1019),"Yes","No")))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OR($C1019="",$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RANGE",IF(COUNTIF(nrES_RecID,$B1019)&gt;1,"DUPLICATE RECORD",IF(AND($K1019=2,COUNTIFS(nrES_PID,$D1019,nrES_Code,$F1019,nrES_Att,1)=0),"ATTEMPT 2 WITHOUT ATTEMPT 1",IF(AND($K1019=2,$L1019=""),"RETEST ROW HAS NO SCORE",IF(AND($H1019="Final",$L1019&lt;&gt;"",IFERROR(INDEX(nrCKfinalExamElig,MATCH($D1019,rngCadetPIDs,0)),"")="No"),"FINAL EXAM AFTER FAILED FINAL PT (500.1.H)","OK")))))))</f>
        <v/>
      </c>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IF($C1020="","",IF($K1020="","",IF(COUNTIFS(nrES_PID,$D1020,nrES_Code,$F1020,nrES_Att,"&gt;"&amp;$K1020,nrES_Raw,"&gt;=0")=0,"Yes","No")))</f>
        <v/>
      </c>
      <c r="Q1020" s="17">
        <f>IF($C1020="","",IF($L1020="","",IF(AND($K1020=1,ISNUMBER($L1020),$L1020&lt;$J1020,COUNTIFS(nrES_PID,$D1020,nrES_Code,$F1020,nrES_Att,2,nrES_Raw,"&gt;=0")=0),"Yes","No")))</f>
        <v/>
      </c>
      <c r="R1020" s="17">
        <f>IF($C1020="","",IF($L1020="","",IF(AND($K1020=2,ISNUMBER($L1020),$L1020&lt;$J1020),"Yes","No")))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OR($C1020="",$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RANGE",IF(COUNTIF(nrES_RecID,$B1020)&gt;1,"DUPLICATE RECORD",IF(AND($K1020=2,COUNTIFS(nrES_PID,$D1020,nrES_Code,$F1020,nrES_Att,1)=0),"ATTEMPT 2 WITHOUT ATTEMPT 1",IF(AND($K1020=2,$L1020=""),"RETEST ROW HAS NO SCORE",IF(AND($H1020="Final",$L1020&lt;&gt;"",IFERROR(INDEX(nrCKfinalExamElig,MATCH($D1020,rngCadetPIDs,0)),"")="No"),"FINAL EXAM AFTER FAILED FINAL PT (500.1.H)","OK")))))))</f>
        <v/>
      </c>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IF($C1021="","",IF($K1021="","",IF(COUNTIFS(nrES_PID,$D1021,nrES_Code,$F1021,nrES_Att,"&gt;"&amp;$K1021,nrES_Raw,"&gt;=0")=0,"Yes","No")))</f>
        <v/>
      </c>
      <c r="Q1021" s="17">
        <f>IF($C1021="","",IF($L1021="","",IF(AND($K1021=1,ISNUMBER($L1021),$L1021&lt;$J1021,COUNTIFS(nrES_PID,$D1021,nrES_Code,$F1021,nrES_Att,2,nrES_Raw,"&gt;=0")=0),"Yes","No")))</f>
        <v/>
      </c>
      <c r="R1021" s="17">
        <f>IF($C1021="","",IF($L1021="","",IF(AND($K1021=2,ISNUMBER($L1021),$L1021&lt;$J1021),"Yes","No")))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OR($C1021="",$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RANGE",IF(COUNTIF(nrES_RecID,$B1021)&gt;1,"DUPLICATE RECORD",IF(AND($K1021=2,COUNTIFS(nrES_PID,$D1021,nrES_Code,$F1021,nrES_Att,1)=0),"ATTEMPT 2 WITHOUT ATTEMPT 1",IF(AND($K1021=2,$L1021=""),"RETEST ROW HAS NO SCORE",IF(AND($H1021="Final",$L1021&lt;&gt;"",IFERROR(INDEX(nrCKfinalExamElig,MATCH($D1021,rngCadetPIDs,0)),"")="No"),"FINAL EXAM AFTER FAILED FINAL PT (500.1.H)","OK")))))))</f>
        <v/>
      </c>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IF($C1022="","",IF($K1022="","",IF(COUNTIFS(nrES_PID,$D1022,nrES_Code,$F1022,nrES_Att,"&gt;"&amp;$K1022,nrES_Raw,"&gt;=0")=0,"Yes","No")))</f>
        <v/>
      </c>
      <c r="Q1022" s="17">
        <f>IF($C1022="","",IF($L1022="","",IF(AND($K1022=1,ISNUMBER($L1022),$L1022&lt;$J1022,COUNTIFS(nrES_PID,$D1022,nrES_Code,$F1022,nrES_Att,2,nrES_Raw,"&gt;=0")=0),"Yes","No")))</f>
        <v/>
      </c>
      <c r="R1022" s="17">
        <f>IF($C1022="","",IF($L1022="","",IF(AND($K1022=2,ISNUMBER($L1022),$L1022&lt;$J1022),"Yes","No")))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OR($C1022="",$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RANGE",IF(COUNTIF(nrES_RecID,$B1022)&gt;1,"DUPLICATE RECORD",IF(AND($K1022=2,COUNTIFS(nrES_PID,$D1022,nrES_Code,$F1022,nrES_Att,1)=0),"ATTEMPT 2 WITHOUT ATTEMPT 1",IF(AND($K1022=2,$L1022=""),"RETEST ROW HAS NO SCORE",IF(AND($H1022="Final",$L1022&lt;&gt;"",IFERROR(INDEX(nrCKfinalExamElig,MATCH($D1022,rngCadetPIDs,0)),"")="No"),"FINAL EXAM AFTER FAILED FINAL PT (500.1.H)","OK")))))))</f>
        <v/>
      </c>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IF($C1023="","",IF($K1023="","",IF(COUNTIFS(nrES_PID,$D1023,nrES_Code,$F1023,nrES_Att,"&gt;"&amp;$K1023,nrES_Raw,"&gt;=0")=0,"Yes","No")))</f>
        <v/>
      </c>
      <c r="Q1023" s="17">
        <f>IF($C1023="","",IF($L1023="","",IF(AND($K1023=1,ISNUMBER($L1023),$L1023&lt;$J1023,COUNTIFS(nrES_PID,$D1023,nrES_Code,$F1023,nrES_Att,2,nrES_Raw,"&gt;=0")=0),"Yes","No")))</f>
        <v/>
      </c>
      <c r="R1023" s="17">
        <f>IF($C1023="","",IF($L1023="","",IF(AND($K1023=2,ISNUMBER($L1023),$L1023&lt;$J1023),"Yes","No")))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OR($C1023="",$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RANGE",IF(COUNTIF(nrES_RecID,$B1023)&gt;1,"DUPLICATE RECORD",IF(AND($K1023=2,COUNTIFS(nrES_PID,$D1023,nrES_Code,$F1023,nrES_Att,1)=0),"ATTEMPT 2 WITHOUT ATTEMPT 1",IF(AND($K1023=2,$L1023=""),"RETEST ROW HAS NO SCORE",IF(AND($H1023="Final",$L1023&lt;&gt;"",IFERROR(INDEX(nrCKfinalExamElig,MATCH($D1023,rngCadetPIDs,0)),"")="No"),"FINAL EXAM AFTER FAILED FINAL PT (500.1.H)","OK")))))))</f>
        <v/>
      </c>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IF($C1024="","",IF($K1024="","",IF(COUNTIFS(nrES_PID,$D1024,nrES_Code,$F1024,nrES_Att,"&gt;"&amp;$K1024,nrES_Raw,"&gt;=0")=0,"Yes","No")))</f>
        <v/>
      </c>
      <c r="Q1024" s="17">
        <f>IF($C1024="","",IF($L1024="","",IF(AND($K1024=1,ISNUMBER($L1024),$L1024&lt;$J1024,COUNTIFS(nrES_PID,$D1024,nrES_Code,$F1024,nrES_Att,2,nrES_Raw,"&gt;=0")=0),"Yes","No")))</f>
        <v/>
      </c>
      <c r="R1024" s="17">
        <f>IF($C1024="","",IF($L1024="","",IF(AND($K1024=2,ISNUMBER($L1024),$L1024&lt;$J1024),"Yes","No")))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OR($C1024="",$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RANGE",IF(COUNTIF(nrES_RecID,$B1024)&gt;1,"DUPLICATE RECORD",IF(AND($K1024=2,COUNTIFS(nrES_PID,$D1024,nrES_Code,$F1024,nrES_Att,1)=0),"ATTEMPT 2 WITHOUT ATTEMPT 1",IF(AND($K1024=2,$L1024=""),"RETEST ROW HAS NO SCORE",IF(AND($H1024="Final",$L1024&lt;&gt;"",IFERROR(INDEX(nrCKfinalExamElig,MATCH($D1024,rngCadetPIDs,0)),"")="No"),"FINAL EXAM AFTER FAILED FINAL PT (500.1.H)","OK")))))))</f>
        <v/>
      </c>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IF($C1025="","",IF($K1025="","",IF(COUNTIFS(nrES_PID,$D1025,nrES_Code,$F1025,nrES_Att,"&gt;"&amp;$K1025,nrES_Raw,"&gt;=0")=0,"Yes","No")))</f>
        <v/>
      </c>
      <c r="Q1025" s="17">
        <f>IF($C1025="","",IF($L1025="","",IF(AND($K1025=1,ISNUMBER($L1025),$L1025&lt;$J1025,COUNTIFS(nrES_PID,$D1025,nrES_Code,$F1025,nrES_Att,2,nrES_Raw,"&gt;=0")=0),"Yes","No")))</f>
        <v/>
      </c>
      <c r="R1025" s="17">
        <f>IF($C1025="","",IF($L1025="","",IF(AND($K1025=2,ISNUMBER($L1025),$L1025&lt;$J1025),"Yes","No")))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OR($C1025="",$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RANGE",IF(COUNTIF(nrES_RecID,$B1025)&gt;1,"DUPLICATE RECORD",IF(AND($K1025=2,COUNTIFS(nrES_PID,$D1025,nrES_Code,$F1025,nrES_Att,1)=0),"ATTEMPT 2 WITHOUT ATTEMPT 1",IF(AND($K1025=2,$L1025=""),"RETEST ROW HAS NO SCORE",IF(AND($H1025="Final",$L1025&lt;&gt;"",IFERROR(INDEX(nrCKfinalExamElig,MATCH($D1025,rngCadetPIDs,0)),"")="No"),"FINAL EXAM AFTER FAILED FINAL PT (500.1.H)","OK")))))))</f>
        <v/>
      </c>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IF($C1026="","",IF($K1026="","",IF(COUNTIFS(nrES_PID,$D1026,nrES_Code,$F1026,nrES_Att,"&gt;"&amp;$K1026,nrES_Raw,"&gt;=0")=0,"Yes","No")))</f>
        <v/>
      </c>
      <c r="Q1026" s="17">
        <f>IF($C1026="","",IF($L1026="","",IF(AND($K1026=1,ISNUMBER($L1026),$L1026&lt;$J1026,COUNTIFS(nrES_PID,$D1026,nrES_Code,$F1026,nrES_Att,2,nrES_Raw,"&gt;=0")=0),"Yes","No")))</f>
        <v/>
      </c>
      <c r="R1026" s="17">
        <f>IF($C1026="","",IF($L1026="","",IF(AND($K1026=2,ISNUMBER($L1026),$L1026&lt;$J1026),"Yes","No")))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OR($C1026="",$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RANGE",IF(COUNTIF(nrES_RecID,$B1026)&gt;1,"DUPLICATE RECORD",IF(AND($K1026=2,COUNTIFS(nrES_PID,$D1026,nrES_Code,$F1026,nrES_Att,1)=0),"ATTEMPT 2 WITHOUT ATTEMPT 1",IF(AND($K1026=2,$L1026=""),"RETEST ROW HAS NO SCORE",IF(AND($H1026="Final",$L1026&lt;&gt;"",IFERROR(INDEX(nrCKfinalExamElig,MATCH($D1026,rngCadetPIDs,0)),"")="No"),"FINAL EXAM AFTER FAILED FINAL PT (500.1.H)","OK")))))))</f>
        <v/>
      </c>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IF($C1027="","",IF($K1027="","",IF(COUNTIFS(nrES_PID,$D1027,nrES_Code,$F1027,nrES_Att,"&gt;"&amp;$K1027,nrES_Raw,"&gt;=0")=0,"Yes","No")))</f>
        <v/>
      </c>
      <c r="Q1027" s="17">
        <f>IF($C1027="","",IF($L1027="","",IF(AND($K1027=1,ISNUMBER($L1027),$L1027&lt;$J1027,COUNTIFS(nrES_PID,$D1027,nrES_Code,$F1027,nrES_Att,2,nrES_Raw,"&gt;=0")=0),"Yes","No")))</f>
        <v/>
      </c>
      <c r="R1027" s="17">
        <f>IF($C1027="","",IF($L1027="","",IF(AND($K1027=2,ISNUMBER($L1027),$L1027&lt;$J1027),"Yes","No")))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OR($C1027="",$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RANGE",IF(COUNTIF(nrES_RecID,$B1027)&gt;1,"DUPLICATE RECORD",IF(AND($K1027=2,COUNTIFS(nrES_PID,$D1027,nrES_Code,$F1027,nrES_Att,1)=0),"ATTEMPT 2 WITHOUT ATTEMPT 1",IF(AND($K1027=2,$L1027=""),"RETEST ROW HAS NO SCORE",IF(AND($H1027="Final",$L1027&lt;&gt;"",IFERROR(INDEX(nrCKfinalExamElig,MATCH($D1027,rngCadetPIDs,0)),"")="No"),"FINAL EXAM AFTER FAILED FINAL PT (500.1.H)","OK")))))))</f>
        <v/>
      </c>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IF($C1028="","",IF($K1028="","",IF(COUNTIFS(nrES_PID,$D1028,nrES_Code,$F1028,nrES_Att,"&gt;"&amp;$K1028,nrES_Raw,"&gt;=0")=0,"Yes","No")))</f>
        <v/>
      </c>
      <c r="Q1028" s="17">
        <f>IF($C1028="","",IF($L1028="","",IF(AND($K1028=1,ISNUMBER($L1028),$L1028&lt;$J1028,COUNTIFS(nrES_PID,$D1028,nrES_Code,$F1028,nrES_Att,2,nrES_Raw,"&gt;=0")=0),"Yes","No")))</f>
        <v/>
      </c>
      <c r="R1028" s="17">
        <f>IF($C1028="","",IF($L1028="","",IF(AND($K1028=2,ISNUMBER($L1028),$L1028&lt;$J1028),"Yes","No")))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OR($C1028="",$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RANGE",IF(COUNTIF(nrES_RecID,$B1028)&gt;1,"DUPLICATE RECORD",IF(AND($K1028=2,COUNTIFS(nrES_PID,$D1028,nrES_Code,$F1028,nrES_Att,1)=0),"ATTEMPT 2 WITHOUT ATTEMPT 1",IF(AND($K1028=2,$L1028=""),"RETEST ROW HAS NO SCORE",IF(AND($H1028="Final",$L1028&lt;&gt;"",IFERROR(INDEX(nrCKfinalExamElig,MATCH($D1028,rngCadetPIDs,0)),"")="No"),"FINAL EXAM AFTER FAILED FINAL PT (500.1.H)","OK")))))))</f>
        <v/>
      </c>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IF($C1029="","",IF($K1029="","",IF(COUNTIFS(nrES_PID,$D1029,nrES_Code,$F1029,nrES_Att,"&gt;"&amp;$K1029,nrES_Raw,"&gt;=0")=0,"Yes","No")))</f>
        <v/>
      </c>
      <c r="Q1029" s="17">
        <f>IF($C1029="","",IF($L1029="","",IF(AND($K1029=1,ISNUMBER($L1029),$L1029&lt;$J1029,COUNTIFS(nrES_PID,$D1029,nrES_Code,$F1029,nrES_Att,2,nrES_Raw,"&gt;=0")=0),"Yes","No")))</f>
        <v/>
      </c>
      <c r="R1029" s="17">
        <f>IF($C1029="","",IF($L1029="","",IF(AND($K1029=2,ISNUMBER($L1029),$L1029&lt;$J1029),"Yes","No")))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OR($C1029="",$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RANGE",IF(COUNTIF(nrES_RecID,$B1029)&gt;1,"DUPLICATE RECORD",IF(AND($K1029=2,COUNTIFS(nrES_PID,$D1029,nrES_Code,$F1029,nrES_Att,1)=0),"ATTEMPT 2 WITHOUT ATTEMPT 1",IF(AND($K1029=2,$L1029=""),"RETEST ROW HAS NO SCORE",IF(AND($H1029="Final",$L1029&lt;&gt;"",IFERROR(INDEX(nrCKfinalExamElig,MATCH($D1029,rngCadetPIDs,0)),"")="No"),"FINAL EXAM AFTER FAILED FINAL PT (500.1.H)","OK")))))))</f>
        <v/>
      </c>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IF($C1030="","",IF($K1030="","",IF(COUNTIFS(nrES_PID,$D1030,nrES_Code,$F1030,nrES_Att,"&gt;"&amp;$K1030,nrES_Raw,"&gt;=0")=0,"Yes","No")))</f>
        <v/>
      </c>
      <c r="Q1030" s="17">
        <f>IF($C1030="","",IF($L1030="","",IF(AND($K1030=1,ISNUMBER($L1030),$L1030&lt;$J1030,COUNTIFS(nrES_PID,$D1030,nrES_Code,$F1030,nrES_Att,2,nrES_Raw,"&gt;=0")=0),"Yes","No")))</f>
        <v/>
      </c>
      <c r="R1030" s="17">
        <f>IF($C1030="","",IF($L1030="","",IF(AND($K1030=2,ISNUMBER($L1030),$L1030&lt;$J1030),"Yes","No")))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OR($C1030="",$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RANGE",IF(COUNTIF(nrES_RecID,$B1030)&gt;1,"DUPLICATE RECORD",IF(AND($K1030=2,COUNTIFS(nrES_PID,$D1030,nrES_Code,$F1030,nrES_Att,1)=0),"ATTEMPT 2 WITHOUT ATTEMPT 1",IF(AND($K1030=2,$L1030=""),"RETEST ROW HAS NO SCORE",IF(AND($H1030="Final",$L1030&lt;&gt;"",IFERROR(INDEX(nrCKfinalExamElig,MATCH($D1030,rngCadetPIDs,0)),"")="No"),"FINAL EXAM AFTER FAILED FINAL PT (500.1.H)","OK")))))))</f>
        <v/>
      </c>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IF($C1031="","",IF($K1031="","",IF(COUNTIFS(nrES_PID,$D1031,nrES_Code,$F1031,nrES_Att,"&gt;"&amp;$K1031,nrES_Raw,"&gt;=0")=0,"Yes","No")))</f>
        <v/>
      </c>
      <c r="Q1031" s="17">
        <f>IF($C1031="","",IF($L1031="","",IF(AND($K1031=1,ISNUMBER($L1031),$L1031&lt;$J1031,COUNTIFS(nrES_PID,$D1031,nrES_Code,$F1031,nrES_Att,2,nrES_Raw,"&gt;=0")=0),"Yes","No")))</f>
        <v/>
      </c>
      <c r="R1031" s="17">
        <f>IF($C1031="","",IF($L1031="","",IF(AND($K1031=2,ISNUMBER($L1031),$L1031&lt;$J1031),"Yes","No")))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OR($C1031="",$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RANGE",IF(COUNTIF(nrES_RecID,$B1031)&gt;1,"DUPLICATE RECORD",IF(AND($K1031=2,COUNTIFS(nrES_PID,$D1031,nrES_Code,$F1031,nrES_Att,1)=0),"ATTEMPT 2 WITHOUT ATTEMPT 1",IF(AND($K1031=2,$L1031=""),"RETEST ROW HAS NO SCORE",IF(AND($H1031="Final",$L1031&lt;&gt;"",IFERROR(INDEX(nrCKfinalExamElig,MATCH($D1031,rngCadetPIDs,0)),"")="No"),"FINAL EXAM AFTER FAILED FINAL PT (500.1.H)","OK")))))))</f>
        <v/>
      </c>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IF($C1032="","",IF($K1032="","",IF(COUNTIFS(nrES_PID,$D1032,nrES_Code,$F1032,nrES_Att,"&gt;"&amp;$K1032,nrES_Raw,"&gt;=0")=0,"Yes","No")))</f>
        <v/>
      </c>
      <c r="Q1032" s="17">
        <f>IF($C1032="","",IF($L1032="","",IF(AND($K1032=1,ISNUMBER($L1032),$L1032&lt;$J1032,COUNTIFS(nrES_PID,$D1032,nrES_Code,$F1032,nrES_Att,2,nrES_Raw,"&gt;=0")=0),"Yes","No")))</f>
        <v/>
      </c>
      <c r="R1032" s="17">
        <f>IF($C1032="","",IF($L1032="","",IF(AND($K1032=2,ISNUMBER($L1032),$L1032&lt;$J1032),"Yes","No")))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OR($C1032="",$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RANGE",IF(COUNTIF(nrES_RecID,$B1032)&gt;1,"DUPLICATE RECORD",IF(AND($K1032=2,COUNTIFS(nrES_PID,$D1032,nrES_Code,$F1032,nrES_Att,1)=0),"ATTEMPT 2 WITHOUT ATTEMPT 1",IF(AND($K1032=2,$L1032=""),"RETEST ROW HAS NO SCORE",IF(AND($H1032="Final",$L1032&lt;&gt;"",IFERROR(INDEX(nrCKfinalExamElig,MATCH($D1032,rngCadetPIDs,0)),"")="No"),"FINAL EXAM AFTER FAILED FINAL PT (500.1.H)","OK")))))))</f>
        <v/>
      </c>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IF($C1033="","",IF($K1033="","",IF(COUNTIFS(nrES_PID,$D1033,nrES_Code,$F1033,nrES_Att,"&gt;"&amp;$K1033,nrES_Raw,"&gt;=0")=0,"Yes","No")))</f>
        <v/>
      </c>
      <c r="Q1033" s="17">
        <f>IF($C1033="","",IF($L1033="","",IF(AND($K1033=1,ISNUMBER($L1033),$L1033&lt;$J1033,COUNTIFS(nrES_PID,$D1033,nrES_Code,$F1033,nrES_Att,2,nrES_Raw,"&gt;=0")=0),"Yes","No")))</f>
        <v/>
      </c>
      <c r="R1033" s="17">
        <f>IF($C1033="","",IF($L1033="","",IF(AND($K1033=2,ISNUMBER($L1033),$L1033&lt;$J1033),"Yes","No")))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OR($C1033="",$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RANGE",IF(COUNTIF(nrES_RecID,$B1033)&gt;1,"DUPLICATE RECORD",IF(AND($K1033=2,COUNTIFS(nrES_PID,$D1033,nrES_Code,$F1033,nrES_Att,1)=0),"ATTEMPT 2 WITHOUT ATTEMPT 1",IF(AND($K1033=2,$L1033=""),"RETEST ROW HAS NO SCORE",IF(AND($H1033="Final",$L1033&lt;&gt;"",IFERROR(INDEX(nrCKfinalExamElig,MATCH($D1033,rngCadetPIDs,0)),"")="No"),"FINAL EXAM AFTER FAILED FINAL PT (500.1.H)","OK")))))))</f>
        <v/>
      </c>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IF($C1034="","",IF($K1034="","",IF(COUNTIFS(nrES_PID,$D1034,nrES_Code,$F1034,nrES_Att,"&gt;"&amp;$K1034,nrES_Raw,"&gt;=0")=0,"Yes","No")))</f>
        <v/>
      </c>
      <c r="Q1034" s="17">
        <f>IF($C1034="","",IF($L1034="","",IF(AND($K1034=1,ISNUMBER($L1034),$L1034&lt;$J1034,COUNTIFS(nrES_PID,$D1034,nrES_Code,$F1034,nrES_Att,2,nrES_Raw,"&gt;=0")=0),"Yes","No")))</f>
        <v/>
      </c>
      <c r="R1034" s="17">
        <f>IF($C1034="","",IF($L1034="","",IF(AND($K1034=2,ISNUMBER($L1034),$L1034&lt;$J1034),"Yes","No")))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OR($C1034="",$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RANGE",IF(COUNTIF(nrES_RecID,$B1034)&gt;1,"DUPLICATE RECORD",IF(AND($K1034=2,COUNTIFS(nrES_PID,$D1034,nrES_Code,$F1034,nrES_Att,1)=0),"ATTEMPT 2 WITHOUT ATTEMPT 1",IF(AND($K1034=2,$L1034=""),"RETEST ROW HAS NO SCORE",IF(AND($H1034="Final",$L1034&lt;&gt;"",IFERROR(INDEX(nrCKfinalExamElig,MATCH($D1034,rngCadetPIDs,0)),"")="No"),"FINAL EXAM AFTER FAILED FINAL PT (500.1.H)","OK")))))))</f>
        <v/>
      </c>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IF($C1035="","",IF($K1035="","",IF(COUNTIFS(nrES_PID,$D1035,nrES_Code,$F1035,nrES_Att,"&gt;"&amp;$K1035,nrES_Raw,"&gt;=0")=0,"Yes","No")))</f>
        <v/>
      </c>
      <c r="Q1035" s="17">
        <f>IF($C1035="","",IF($L1035="","",IF(AND($K1035=1,ISNUMBER($L1035),$L1035&lt;$J1035,COUNTIFS(nrES_PID,$D1035,nrES_Code,$F1035,nrES_Att,2,nrES_Raw,"&gt;=0")=0),"Yes","No")))</f>
        <v/>
      </c>
      <c r="R1035" s="17">
        <f>IF($C1035="","",IF($L1035="","",IF(AND($K1035=2,ISNUMBER($L1035),$L1035&lt;$J1035),"Yes","No")))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OR($C1035="",$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RANGE",IF(COUNTIF(nrES_RecID,$B1035)&gt;1,"DUPLICATE RECORD",IF(AND($K1035=2,COUNTIFS(nrES_PID,$D1035,nrES_Code,$F1035,nrES_Att,1)=0),"ATTEMPT 2 WITHOUT ATTEMPT 1",IF(AND($K1035=2,$L1035=""),"RETEST ROW HAS NO SCORE",IF(AND($H1035="Final",$L1035&lt;&gt;"",IFERROR(INDEX(nrCKfinalExamElig,MATCH($D1035,rngCadetPIDs,0)),"")="No"),"FINAL EXAM AFTER FAILED FINAL PT (500.1.H)","OK")))))))</f>
        <v/>
      </c>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IF($C1036="","",IF($K1036="","",IF(COUNTIFS(nrES_PID,$D1036,nrES_Code,$F1036,nrES_Att,"&gt;"&amp;$K1036,nrES_Raw,"&gt;=0")=0,"Yes","No")))</f>
        <v/>
      </c>
      <c r="Q1036" s="17">
        <f>IF($C1036="","",IF($L1036="","",IF(AND($K1036=1,ISNUMBER($L1036),$L1036&lt;$J1036,COUNTIFS(nrES_PID,$D1036,nrES_Code,$F1036,nrES_Att,2,nrES_Raw,"&gt;=0")=0),"Yes","No")))</f>
        <v/>
      </c>
      <c r="R1036" s="17">
        <f>IF($C1036="","",IF($L1036="","",IF(AND($K1036=2,ISNUMBER($L1036),$L1036&lt;$J1036),"Yes","No")))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OR($C1036="",$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RANGE",IF(COUNTIF(nrES_RecID,$B1036)&gt;1,"DUPLICATE RECORD",IF(AND($K1036=2,COUNTIFS(nrES_PID,$D1036,nrES_Code,$F1036,nrES_Att,1)=0),"ATTEMPT 2 WITHOUT ATTEMPT 1",IF(AND($K1036=2,$L1036=""),"RETEST ROW HAS NO SCORE",IF(AND($H1036="Final",$L1036&lt;&gt;"",IFERROR(INDEX(nrCKfinalExamElig,MATCH($D1036,rngCadetPIDs,0)),"")="No"),"FINAL EXAM AFTER FAILED FINAL PT (500.1.H)","OK")))))))</f>
        <v/>
      </c>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IF($C1037="","",IF($K1037="","",IF(COUNTIFS(nrES_PID,$D1037,nrES_Code,$F1037,nrES_Att,"&gt;"&amp;$K1037,nrES_Raw,"&gt;=0")=0,"Yes","No")))</f>
        <v/>
      </c>
      <c r="Q1037" s="17">
        <f>IF($C1037="","",IF($L1037="","",IF(AND($K1037=1,ISNUMBER($L1037),$L1037&lt;$J1037,COUNTIFS(nrES_PID,$D1037,nrES_Code,$F1037,nrES_Att,2,nrES_Raw,"&gt;=0")=0),"Yes","No")))</f>
        <v/>
      </c>
      <c r="R1037" s="17">
        <f>IF($C1037="","",IF($L1037="","",IF(AND($K1037=2,ISNUMBER($L1037),$L1037&lt;$J1037),"Yes","No")))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OR($C1037="",$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RANGE",IF(COUNTIF(nrES_RecID,$B1037)&gt;1,"DUPLICATE RECORD",IF(AND($K1037=2,COUNTIFS(nrES_PID,$D1037,nrES_Code,$F1037,nrES_Att,1)=0),"ATTEMPT 2 WITHOUT ATTEMPT 1",IF(AND($K1037=2,$L1037=""),"RETEST ROW HAS NO SCORE",IF(AND($H1037="Final",$L1037&lt;&gt;"",IFERROR(INDEX(nrCKfinalExamElig,MATCH($D1037,rngCadetPIDs,0)),"")="No"),"FINAL EXAM AFTER FAILED FINAL PT (500.1.H)","OK")))))))</f>
        <v/>
      </c>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IF($C1038="","",IF($K1038="","",IF(COUNTIFS(nrES_PID,$D1038,nrES_Code,$F1038,nrES_Att,"&gt;"&amp;$K1038,nrES_Raw,"&gt;=0")=0,"Yes","No")))</f>
        <v/>
      </c>
      <c r="Q1038" s="17">
        <f>IF($C1038="","",IF($L1038="","",IF(AND($K1038=1,ISNUMBER($L1038),$L1038&lt;$J1038,COUNTIFS(nrES_PID,$D1038,nrES_Code,$F1038,nrES_Att,2,nrES_Raw,"&gt;=0")=0),"Yes","No")))</f>
        <v/>
      </c>
      <c r="R1038" s="17">
        <f>IF($C1038="","",IF($L1038="","",IF(AND($K1038=2,ISNUMBER($L1038),$L1038&lt;$J1038),"Yes","No")))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OR($C1038="",$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RANGE",IF(COUNTIF(nrES_RecID,$B1038)&gt;1,"DUPLICATE RECORD",IF(AND($K1038=2,COUNTIFS(nrES_PID,$D1038,nrES_Code,$F1038,nrES_Att,1)=0),"ATTEMPT 2 WITHOUT ATTEMPT 1",IF(AND($K1038=2,$L1038=""),"RETEST ROW HAS NO SCORE",IF(AND($H1038="Final",$L1038&lt;&gt;"",IFERROR(INDEX(nrCKfinalExamElig,MATCH($D1038,rngCadetPIDs,0)),"")="No"),"FINAL EXAM AFTER FAILED FINAL PT (500.1.H)","OK")))))))</f>
        <v/>
      </c>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IF($C1039="","",IF($K1039="","",IF(COUNTIFS(nrES_PID,$D1039,nrES_Code,$F1039,nrES_Att,"&gt;"&amp;$K1039,nrES_Raw,"&gt;=0")=0,"Yes","No")))</f>
        <v/>
      </c>
      <c r="Q1039" s="17">
        <f>IF($C1039="","",IF($L1039="","",IF(AND($K1039=1,ISNUMBER($L1039),$L1039&lt;$J1039,COUNTIFS(nrES_PID,$D1039,nrES_Code,$F1039,nrES_Att,2,nrES_Raw,"&gt;=0")=0),"Yes","No")))</f>
        <v/>
      </c>
      <c r="R1039" s="17">
        <f>IF($C1039="","",IF($L1039="","",IF(AND($K1039=2,ISNUMBER($L1039),$L1039&lt;$J1039),"Yes","No")))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OR($C1039="",$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RANGE",IF(COUNTIF(nrES_RecID,$B1039)&gt;1,"DUPLICATE RECORD",IF(AND($K1039=2,COUNTIFS(nrES_PID,$D1039,nrES_Code,$F1039,nrES_Att,1)=0),"ATTEMPT 2 WITHOUT ATTEMPT 1",IF(AND($K1039=2,$L1039=""),"RETEST ROW HAS NO SCORE",IF(AND($H1039="Final",$L1039&lt;&gt;"",IFERROR(INDEX(nrCKfinalExamElig,MATCH($D1039,rngCadetPIDs,0)),"")="No"),"FINAL EXAM AFTER FAILED FINAL PT (500.1.H)","OK")))))))</f>
        <v/>
      </c>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IF($C1040="","",IF($K1040="","",IF(COUNTIFS(nrES_PID,$D1040,nrES_Code,$F1040,nrES_Att,"&gt;"&amp;$K1040,nrES_Raw,"&gt;=0")=0,"Yes","No")))</f>
        <v/>
      </c>
      <c r="Q1040" s="17">
        <f>IF($C1040="","",IF($L1040="","",IF(AND($K1040=1,ISNUMBER($L1040),$L1040&lt;$J1040,COUNTIFS(nrES_PID,$D1040,nrES_Code,$F1040,nrES_Att,2,nrES_Raw,"&gt;=0")=0),"Yes","No")))</f>
        <v/>
      </c>
      <c r="R1040" s="17">
        <f>IF($C1040="","",IF($L1040="","",IF(AND($K1040=2,ISNUMBER($L1040),$L1040&lt;$J1040),"Yes","No")))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OR($C1040="",$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RANGE",IF(COUNTIF(nrES_RecID,$B1040)&gt;1,"DUPLICATE RECORD",IF(AND($K1040=2,COUNTIFS(nrES_PID,$D1040,nrES_Code,$F1040,nrES_Att,1)=0),"ATTEMPT 2 WITHOUT ATTEMPT 1",IF(AND($K1040=2,$L1040=""),"RETEST ROW HAS NO SCORE",IF(AND($H1040="Final",$L1040&lt;&gt;"",IFERROR(INDEX(nrCKfinalExamElig,MATCH($D1040,rngCadetPIDs,0)),"")="No"),"FINAL EXAM AFTER FAILED FINAL PT (500.1.H)","OK")))))))</f>
        <v/>
      </c>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IF($C1041="","",IF($K1041="","",IF(COUNTIFS(nrES_PID,$D1041,nrES_Code,$F1041,nrES_Att,"&gt;"&amp;$K1041,nrES_Raw,"&gt;=0")=0,"Yes","No")))</f>
        <v/>
      </c>
      <c r="Q1041" s="17">
        <f>IF($C1041="","",IF($L1041="","",IF(AND($K1041=1,ISNUMBER($L1041),$L1041&lt;$J1041,COUNTIFS(nrES_PID,$D1041,nrES_Code,$F1041,nrES_Att,2,nrES_Raw,"&gt;=0")=0),"Yes","No")))</f>
        <v/>
      </c>
      <c r="R1041" s="17">
        <f>IF($C1041="","",IF($L1041="","",IF(AND($K1041=2,ISNUMBER($L1041),$L1041&lt;$J1041),"Yes","No")))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OR($C1041="",$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RANGE",IF(COUNTIF(nrES_RecID,$B1041)&gt;1,"DUPLICATE RECORD",IF(AND($K1041=2,COUNTIFS(nrES_PID,$D1041,nrES_Code,$F1041,nrES_Att,1)=0),"ATTEMPT 2 WITHOUT ATTEMPT 1",IF(AND($K1041=2,$L1041=""),"RETEST ROW HAS NO SCORE",IF(AND($H1041="Final",$L1041&lt;&gt;"",IFERROR(INDEX(nrCKfinalExamElig,MATCH($D1041,rngCadetPIDs,0)),"")="No"),"FINAL EXAM AFTER FAILED FINAL PT (500.1.H)","OK")))))))</f>
        <v/>
      </c>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IF($C1042="","",IF($K1042="","",IF(COUNTIFS(nrES_PID,$D1042,nrES_Code,$F1042,nrES_Att,"&gt;"&amp;$K1042,nrES_Raw,"&gt;=0")=0,"Yes","No")))</f>
        <v/>
      </c>
      <c r="Q1042" s="17">
        <f>IF($C1042="","",IF($L1042="","",IF(AND($K1042=1,ISNUMBER($L1042),$L1042&lt;$J1042,COUNTIFS(nrES_PID,$D1042,nrES_Code,$F1042,nrES_Att,2,nrES_Raw,"&gt;=0")=0),"Yes","No")))</f>
        <v/>
      </c>
      <c r="R1042" s="17">
        <f>IF($C1042="","",IF($L1042="","",IF(AND($K1042=2,ISNUMBER($L1042),$L1042&lt;$J1042),"Yes","No")))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OR($C1042="",$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RANGE",IF(COUNTIF(nrES_RecID,$B1042)&gt;1,"DUPLICATE RECORD",IF(AND($K1042=2,COUNTIFS(nrES_PID,$D1042,nrES_Code,$F1042,nrES_Att,1)=0),"ATTEMPT 2 WITHOUT ATTEMPT 1",IF(AND($K1042=2,$L1042=""),"RETEST ROW HAS NO SCORE",IF(AND($H1042="Final",$L1042&lt;&gt;"",IFERROR(INDEX(nrCKfinalExamElig,MATCH($D1042,rngCadetPIDs,0)),"")="No"),"FINAL EXAM AFTER FAILED FINAL PT (500.1.H)","OK")))))))</f>
        <v/>
      </c>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IF($C1043="","",IF($K1043="","",IF(COUNTIFS(nrES_PID,$D1043,nrES_Code,$F1043,nrES_Att,"&gt;"&amp;$K1043,nrES_Raw,"&gt;=0")=0,"Yes","No")))</f>
        <v/>
      </c>
      <c r="Q1043" s="17">
        <f>IF($C1043="","",IF($L1043="","",IF(AND($K1043=1,ISNUMBER($L1043),$L1043&lt;$J1043,COUNTIFS(nrES_PID,$D1043,nrES_Code,$F1043,nrES_Att,2,nrES_Raw,"&gt;=0")=0),"Yes","No")))</f>
        <v/>
      </c>
      <c r="R1043" s="17">
        <f>IF($C1043="","",IF($L1043="","",IF(AND($K1043=2,ISNUMBER($L1043),$L1043&lt;$J1043),"Yes","No")))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OR($C1043="",$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RANGE",IF(COUNTIF(nrES_RecID,$B1043)&gt;1,"DUPLICATE RECORD",IF(AND($K1043=2,COUNTIFS(nrES_PID,$D1043,nrES_Code,$F1043,nrES_Att,1)=0),"ATTEMPT 2 WITHOUT ATTEMPT 1",IF(AND($K1043=2,$L1043=""),"RETEST ROW HAS NO SCORE",IF(AND($H1043="Final",$L1043&lt;&gt;"",IFERROR(INDEX(nrCKfinalExamElig,MATCH($D1043,rngCadetPIDs,0)),"")="No"),"FINAL EXAM AFTER FAILED FINAL PT (500.1.H)","OK")))))))</f>
        <v/>
      </c>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IF($C1044="","",IF($K1044="","",IF(COUNTIFS(nrES_PID,$D1044,nrES_Code,$F1044,nrES_Att,"&gt;"&amp;$K1044,nrES_Raw,"&gt;=0")=0,"Yes","No")))</f>
        <v/>
      </c>
      <c r="Q1044" s="17">
        <f>IF($C1044="","",IF($L1044="","",IF(AND($K1044=1,ISNUMBER($L1044),$L1044&lt;$J1044,COUNTIFS(nrES_PID,$D1044,nrES_Code,$F1044,nrES_Att,2,nrES_Raw,"&gt;=0")=0),"Yes","No")))</f>
        <v/>
      </c>
      <c r="R1044" s="17">
        <f>IF($C1044="","",IF($L1044="","",IF(AND($K1044=2,ISNUMBER($L1044),$L1044&lt;$J1044),"Yes","No")))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OR($C1044="",$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RANGE",IF(COUNTIF(nrES_RecID,$B1044)&gt;1,"DUPLICATE RECORD",IF(AND($K1044=2,COUNTIFS(nrES_PID,$D1044,nrES_Code,$F1044,nrES_Att,1)=0),"ATTEMPT 2 WITHOUT ATTEMPT 1",IF(AND($K1044=2,$L1044=""),"RETEST ROW HAS NO SCORE",IF(AND($H1044="Final",$L1044&lt;&gt;"",IFERROR(INDEX(nrCKfinalExamElig,MATCH($D1044,rngCadetPIDs,0)),"")="No"),"FINAL EXAM AFTER FAILED FINAL PT (500.1.H)","OK")))))))</f>
        <v/>
      </c>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IF($C1045="","",IF($K1045="","",IF(COUNTIFS(nrES_PID,$D1045,nrES_Code,$F1045,nrES_Att,"&gt;"&amp;$K1045,nrES_Raw,"&gt;=0")=0,"Yes","No")))</f>
        <v/>
      </c>
      <c r="Q1045" s="17">
        <f>IF($C1045="","",IF($L1045="","",IF(AND($K1045=1,ISNUMBER($L1045),$L1045&lt;$J1045,COUNTIFS(nrES_PID,$D1045,nrES_Code,$F1045,nrES_Att,2,nrES_Raw,"&gt;=0")=0),"Yes","No")))</f>
        <v/>
      </c>
      <c r="R1045" s="17">
        <f>IF($C1045="","",IF($L1045="","",IF(AND($K1045=2,ISNUMBER($L1045),$L1045&lt;$J1045),"Yes","No")))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OR($C1045="",$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RANGE",IF(COUNTIF(nrES_RecID,$B1045)&gt;1,"DUPLICATE RECORD",IF(AND($K1045=2,COUNTIFS(nrES_PID,$D1045,nrES_Code,$F1045,nrES_Att,1)=0),"ATTEMPT 2 WITHOUT ATTEMPT 1",IF(AND($K1045=2,$L1045=""),"RETEST ROW HAS NO SCORE",IF(AND($H1045="Final",$L1045&lt;&gt;"",IFERROR(INDEX(nrCKfinalExamElig,MATCH($D1045,rngCadetPIDs,0)),"")="No"),"FINAL EXAM AFTER FAILED FINAL PT (500.1.H)","OK")))))))</f>
        <v/>
      </c>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IF($C1046="","",IF($K1046="","",IF(COUNTIFS(nrES_PID,$D1046,nrES_Code,$F1046,nrES_Att,"&gt;"&amp;$K1046,nrES_Raw,"&gt;=0")=0,"Yes","No")))</f>
        <v/>
      </c>
      <c r="Q1046" s="17">
        <f>IF($C1046="","",IF($L1046="","",IF(AND($K1046=1,ISNUMBER($L1046),$L1046&lt;$J1046,COUNTIFS(nrES_PID,$D1046,nrES_Code,$F1046,nrES_Att,2,nrES_Raw,"&gt;=0")=0),"Yes","No")))</f>
        <v/>
      </c>
      <c r="R1046" s="17">
        <f>IF($C1046="","",IF($L1046="","",IF(AND($K1046=2,ISNUMBER($L1046),$L1046&lt;$J1046),"Yes","No")))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OR($C1046="",$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RANGE",IF(COUNTIF(nrES_RecID,$B1046)&gt;1,"DUPLICATE RECORD",IF(AND($K1046=2,COUNTIFS(nrES_PID,$D1046,nrES_Code,$F1046,nrES_Att,1)=0),"ATTEMPT 2 WITHOUT ATTEMPT 1",IF(AND($K1046=2,$L1046=""),"RETEST ROW HAS NO SCORE",IF(AND($H1046="Final",$L1046&lt;&gt;"",IFERROR(INDEX(nrCKfinalExamElig,MATCH($D1046,rngCadetPIDs,0)),"")="No"),"FINAL EXAM AFTER FAILED FINAL PT (500.1.H)","OK")))))))</f>
        <v/>
      </c>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IF($C1047="","",IF($K1047="","",IF(COUNTIFS(nrES_PID,$D1047,nrES_Code,$F1047,nrES_Att,"&gt;"&amp;$K1047,nrES_Raw,"&gt;=0")=0,"Yes","No")))</f>
        <v/>
      </c>
      <c r="Q1047" s="17">
        <f>IF($C1047="","",IF($L1047="","",IF(AND($K1047=1,ISNUMBER($L1047),$L1047&lt;$J1047,COUNTIFS(nrES_PID,$D1047,nrES_Code,$F1047,nrES_Att,2,nrES_Raw,"&gt;=0")=0),"Yes","No")))</f>
        <v/>
      </c>
      <c r="R1047" s="17">
        <f>IF($C1047="","",IF($L1047="","",IF(AND($K1047=2,ISNUMBER($L1047),$L1047&lt;$J1047),"Yes","No")))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OR($C1047="",$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RANGE",IF(COUNTIF(nrES_RecID,$B1047)&gt;1,"DUPLICATE RECORD",IF(AND($K1047=2,COUNTIFS(nrES_PID,$D1047,nrES_Code,$F1047,nrES_Att,1)=0),"ATTEMPT 2 WITHOUT ATTEMPT 1",IF(AND($K1047=2,$L1047=""),"RETEST ROW HAS NO SCORE",IF(AND($H1047="Final",$L1047&lt;&gt;"",IFERROR(INDEX(nrCKfinalExamElig,MATCH($D1047,rngCadetPIDs,0)),"")="No"),"FINAL EXAM AFTER FAILED FINAL PT (500.1.H)","OK")))))))</f>
        <v/>
      </c>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IF($C1048="","",IF($K1048="","",IF(COUNTIFS(nrES_PID,$D1048,nrES_Code,$F1048,nrES_Att,"&gt;"&amp;$K1048,nrES_Raw,"&gt;=0")=0,"Yes","No")))</f>
        <v/>
      </c>
      <c r="Q1048" s="17">
        <f>IF($C1048="","",IF($L1048="","",IF(AND($K1048=1,ISNUMBER($L1048),$L1048&lt;$J1048,COUNTIFS(nrES_PID,$D1048,nrES_Code,$F1048,nrES_Att,2,nrES_Raw,"&gt;=0")=0),"Yes","No")))</f>
        <v/>
      </c>
      <c r="R1048" s="17">
        <f>IF($C1048="","",IF($L1048="","",IF(AND($K1048=2,ISNUMBER($L1048),$L1048&lt;$J1048),"Yes","No")))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OR($C1048="",$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RANGE",IF(COUNTIF(nrES_RecID,$B1048)&gt;1,"DUPLICATE RECORD",IF(AND($K1048=2,COUNTIFS(nrES_PID,$D1048,nrES_Code,$F1048,nrES_Att,1)=0),"ATTEMPT 2 WITHOUT ATTEMPT 1",IF(AND($K1048=2,$L1048=""),"RETEST ROW HAS NO SCORE",IF(AND($H1048="Final",$L1048&lt;&gt;"",IFERROR(INDEX(nrCKfinalExamElig,MATCH($D1048,rngCadetPIDs,0)),"")="No"),"FINAL EXAM AFTER FAILED FINAL PT (500.1.H)","OK")))))))</f>
        <v/>
      </c>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IF($C1049="","",IF($K1049="","",IF(COUNTIFS(nrES_PID,$D1049,nrES_Code,$F1049,nrES_Att,"&gt;"&amp;$K1049,nrES_Raw,"&gt;=0")=0,"Yes","No")))</f>
        <v/>
      </c>
      <c r="Q1049" s="17">
        <f>IF($C1049="","",IF($L1049="","",IF(AND($K1049=1,ISNUMBER($L1049),$L1049&lt;$J1049,COUNTIFS(nrES_PID,$D1049,nrES_Code,$F1049,nrES_Att,2,nrES_Raw,"&gt;=0")=0),"Yes","No")))</f>
        <v/>
      </c>
      <c r="R1049" s="17">
        <f>IF($C1049="","",IF($L1049="","",IF(AND($K1049=2,ISNUMBER($L1049),$L1049&lt;$J1049),"Yes","No")))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OR($C1049="",$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RANGE",IF(COUNTIF(nrES_RecID,$B1049)&gt;1,"DUPLICATE RECORD",IF(AND($K1049=2,COUNTIFS(nrES_PID,$D1049,nrES_Code,$F1049,nrES_Att,1)=0),"ATTEMPT 2 WITHOUT ATTEMPT 1",IF(AND($K1049=2,$L1049=""),"RETEST ROW HAS NO SCORE",IF(AND($H1049="Final",$L1049&lt;&gt;"",IFERROR(INDEX(nrCKfinalExamElig,MATCH($D1049,rngCadetPIDs,0)),"")="No"),"FINAL EXAM AFTER FAILED FINAL PT (500.1.H)","OK")))))))</f>
        <v/>
      </c>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IF($C1050="","",IF($K1050="","",IF(COUNTIFS(nrES_PID,$D1050,nrES_Code,$F1050,nrES_Att,"&gt;"&amp;$K1050,nrES_Raw,"&gt;=0")=0,"Yes","No")))</f>
        <v/>
      </c>
      <c r="Q1050" s="17">
        <f>IF($C1050="","",IF($L1050="","",IF(AND($K1050=1,ISNUMBER($L1050),$L1050&lt;$J1050,COUNTIFS(nrES_PID,$D1050,nrES_Code,$F1050,nrES_Att,2,nrES_Raw,"&gt;=0")=0),"Yes","No")))</f>
        <v/>
      </c>
      <c r="R1050" s="17">
        <f>IF($C1050="","",IF($L1050="","",IF(AND($K1050=2,ISNUMBER($L1050),$L1050&lt;$J1050),"Yes","No")))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OR($C1050="",$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RANGE",IF(COUNTIF(nrES_RecID,$B1050)&gt;1,"DUPLICATE RECORD",IF(AND($K1050=2,COUNTIFS(nrES_PID,$D1050,nrES_Code,$F1050,nrES_Att,1)=0),"ATTEMPT 2 WITHOUT ATTEMPT 1",IF(AND($K1050=2,$L1050=""),"RETEST ROW HAS NO SCORE",IF(AND($H1050="Final",$L1050&lt;&gt;"",IFERROR(INDEX(nrCKfinalExamElig,MATCH($D1050,rngCadetPIDs,0)),"")="No"),"FINAL EXAM AFTER FAILED FINAL PT (500.1.H)","OK")))))))</f>
        <v/>
      </c>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IF($C1051="","",IF($K1051="","",IF(COUNTIFS(nrES_PID,$D1051,nrES_Code,$F1051,nrES_Att,"&gt;"&amp;$K1051,nrES_Raw,"&gt;=0")=0,"Yes","No")))</f>
        <v/>
      </c>
      <c r="Q1051" s="17">
        <f>IF($C1051="","",IF($L1051="","",IF(AND($K1051=1,ISNUMBER($L1051),$L1051&lt;$J1051,COUNTIFS(nrES_PID,$D1051,nrES_Code,$F1051,nrES_Att,2,nrES_Raw,"&gt;=0")=0),"Yes","No")))</f>
        <v/>
      </c>
      <c r="R1051" s="17">
        <f>IF($C1051="","",IF($L1051="","",IF(AND($K1051=2,ISNUMBER($L1051),$L1051&lt;$J1051),"Yes","No")))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OR($C1051="",$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RANGE",IF(COUNTIF(nrES_RecID,$B1051)&gt;1,"DUPLICATE RECORD",IF(AND($K1051=2,COUNTIFS(nrES_PID,$D1051,nrES_Code,$F1051,nrES_Att,1)=0),"ATTEMPT 2 WITHOUT ATTEMPT 1",IF(AND($K1051=2,$L1051=""),"RETEST ROW HAS NO SCORE",IF(AND($H1051="Final",$L1051&lt;&gt;"",IFERROR(INDEX(nrCKfinalExamElig,MATCH($D1051,rngCadetPIDs,0)),"")="No"),"FINAL EXAM AFTER FAILED FINAL PT (500.1.H)","OK")))))))</f>
        <v/>
      </c>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IF($C1052="","",IF($K1052="","",IF(COUNTIFS(nrES_PID,$D1052,nrES_Code,$F1052,nrES_Att,"&gt;"&amp;$K1052,nrES_Raw,"&gt;=0")=0,"Yes","No")))</f>
        <v/>
      </c>
      <c r="Q1052" s="17">
        <f>IF($C1052="","",IF($L1052="","",IF(AND($K1052=1,ISNUMBER($L1052),$L1052&lt;$J1052,COUNTIFS(nrES_PID,$D1052,nrES_Code,$F1052,nrES_Att,2,nrES_Raw,"&gt;=0")=0),"Yes","No")))</f>
        <v/>
      </c>
      <c r="R1052" s="17">
        <f>IF($C1052="","",IF($L1052="","",IF(AND($K1052=2,ISNUMBER($L1052),$L1052&lt;$J1052),"Yes","No")))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OR($C1052="",$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RANGE",IF(COUNTIF(nrES_RecID,$B1052)&gt;1,"DUPLICATE RECORD",IF(AND($K1052=2,COUNTIFS(nrES_PID,$D1052,nrES_Code,$F1052,nrES_Att,1)=0),"ATTEMPT 2 WITHOUT ATTEMPT 1",IF(AND($K1052=2,$L1052=""),"RETEST ROW HAS NO SCORE",IF(AND($H1052="Final",$L1052&lt;&gt;"",IFERROR(INDEX(nrCKfinalExamElig,MATCH($D1052,rngCadetPIDs,0)),"")="No"),"FINAL EXAM AFTER FAILED FINAL PT (500.1.H)","OK")))))))</f>
        <v/>
      </c>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IF($C1053="","",IF($K1053="","",IF(COUNTIFS(nrES_PID,$D1053,nrES_Code,$F1053,nrES_Att,"&gt;"&amp;$K1053,nrES_Raw,"&gt;=0")=0,"Yes","No")))</f>
        <v/>
      </c>
      <c r="Q1053" s="17">
        <f>IF($C1053="","",IF($L1053="","",IF(AND($K1053=1,ISNUMBER($L1053),$L1053&lt;$J1053,COUNTIFS(nrES_PID,$D1053,nrES_Code,$F1053,nrES_Att,2,nrES_Raw,"&gt;=0")=0),"Yes","No")))</f>
        <v/>
      </c>
      <c r="R1053" s="17">
        <f>IF($C1053="","",IF($L1053="","",IF(AND($K1053=2,ISNUMBER($L1053),$L1053&lt;$J1053),"Yes","No")))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OR($C1053="",$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RANGE",IF(COUNTIF(nrES_RecID,$B1053)&gt;1,"DUPLICATE RECORD",IF(AND($K1053=2,COUNTIFS(nrES_PID,$D1053,nrES_Code,$F1053,nrES_Att,1)=0),"ATTEMPT 2 WITHOUT ATTEMPT 1",IF(AND($K1053=2,$L1053=""),"RETEST ROW HAS NO SCORE",IF(AND($H1053="Final",$L1053&lt;&gt;"",IFERROR(INDEX(nrCKfinalExamElig,MATCH($D1053,rngCadetPIDs,0)),"")="No"),"FINAL EXAM AFTER FAILED FINAL PT (500.1.H)","OK")))))))</f>
        <v/>
      </c>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IF($C1054="","",IF($K1054="","",IF(COUNTIFS(nrES_PID,$D1054,nrES_Code,$F1054,nrES_Att,"&gt;"&amp;$K1054,nrES_Raw,"&gt;=0")=0,"Yes","No")))</f>
        <v/>
      </c>
      <c r="Q1054" s="17">
        <f>IF($C1054="","",IF($L1054="","",IF(AND($K1054=1,ISNUMBER($L1054),$L1054&lt;$J1054,COUNTIFS(nrES_PID,$D1054,nrES_Code,$F1054,nrES_Att,2,nrES_Raw,"&gt;=0")=0),"Yes","No")))</f>
        <v/>
      </c>
      <c r="R1054" s="17">
        <f>IF($C1054="","",IF($L1054="","",IF(AND($K1054=2,ISNUMBER($L1054),$L1054&lt;$J1054),"Yes","No")))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OR($C1054="",$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RANGE",IF(COUNTIF(nrES_RecID,$B1054)&gt;1,"DUPLICATE RECORD",IF(AND($K1054=2,COUNTIFS(nrES_PID,$D1054,nrES_Code,$F1054,nrES_Att,1)=0),"ATTEMPT 2 WITHOUT ATTEMPT 1",IF(AND($K1054=2,$L1054=""),"RETEST ROW HAS NO SCORE",IF(AND($H1054="Final",$L1054&lt;&gt;"",IFERROR(INDEX(nrCKfinalExamElig,MATCH($D1054,rngCadetPIDs,0)),"")="No"),"FINAL EXAM AFTER FAILED FINAL PT (500.1.H)","OK")))))))</f>
        <v/>
      </c>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IF($C1055="","",IF($K1055="","",IF(COUNTIFS(nrES_PID,$D1055,nrES_Code,$F1055,nrES_Att,"&gt;"&amp;$K1055,nrES_Raw,"&gt;=0")=0,"Yes","No")))</f>
        <v/>
      </c>
      <c r="Q1055" s="17">
        <f>IF($C1055="","",IF($L1055="","",IF(AND($K1055=1,ISNUMBER($L1055),$L1055&lt;$J1055,COUNTIFS(nrES_PID,$D1055,nrES_Code,$F1055,nrES_Att,2,nrES_Raw,"&gt;=0")=0),"Yes","No")))</f>
        <v/>
      </c>
      <c r="R1055" s="17">
        <f>IF($C1055="","",IF($L1055="","",IF(AND($K1055=2,ISNUMBER($L1055),$L1055&lt;$J1055),"Yes","No")))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OR($C1055="",$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RANGE",IF(COUNTIF(nrES_RecID,$B1055)&gt;1,"DUPLICATE RECORD",IF(AND($K1055=2,COUNTIFS(nrES_PID,$D1055,nrES_Code,$F1055,nrES_Att,1)=0),"ATTEMPT 2 WITHOUT ATTEMPT 1",IF(AND($K1055=2,$L1055=""),"RETEST ROW HAS NO SCORE",IF(AND($H1055="Final",$L1055&lt;&gt;"",IFERROR(INDEX(nrCKfinalExamElig,MATCH($D1055,rngCadetPIDs,0)),"")="No"),"FINAL EXAM AFTER FAILED FINAL PT (500.1.H)","OK")))))))</f>
        <v/>
      </c>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IF($C1056="","",IF($K1056="","",IF(COUNTIFS(nrES_PID,$D1056,nrES_Code,$F1056,nrES_Att,"&gt;"&amp;$K1056,nrES_Raw,"&gt;=0")=0,"Yes","No")))</f>
        <v/>
      </c>
      <c r="Q1056" s="17">
        <f>IF($C1056="","",IF($L1056="","",IF(AND($K1056=1,ISNUMBER($L1056),$L1056&lt;$J1056,COUNTIFS(nrES_PID,$D1056,nrES_Code,$F1056,nrES_Att,2,nrES_Raw,"&gt;=0")=0),"Yes","No")))</f>
        <v/>
      </c>
      <c r="R1056" s="17">
        <f>IF($C1056="","",IF($L1056="","",IF(AND($K1056=2,ISNUMBER($L1056),$L1056&lt;$J1056),"Yes","No")))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OR($C1056="",$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RANGE",IF(COUNTIF(nrES_RecID,$B1056)&gt;1,"DUPLICATE RECORD",IF(AND($K1056=2,COUNTIFS(nrES_PID,$D1056,nrES_Code,$F1056,nrES_Att,1)=0),"ATTEMPT 2 WITHOUT ATTEMPT 1",IF(AND($K1056=2,$L1056=""),"RETEST ROW HAS NO SCORE",IF(AND($H1056="Final",$L1056&lt;&gt;"",IFERROR(INDEX(nrCKfinalExamElig,MATCH($D1056,rngCadetPIDs,0)),"")="No"),"FINAL EXAM AFTER FAILED FINAL PT (500.1.H)","OK")))))))</f>
        <v/>
      </c>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IF($C1057="","",IF($K1057="","",IF(COUNTIFS(nrES_PID,$D1057,nrES_Code,$F1057,nrES_Att,"&gt;"&amp;$K1057,nrES_Raw,"&gt;=0")=0,"Yes","No")))</f>
        <v/>
      </c>
      <c r="Q1057" s="17">
        <f>IF($C1057="","",IF($L1057="","",IF(AND($K1057=1,ISNUMBER($L1057),$L1057&lt;$J1057,COUNTIFS(nrES_PID,$D1057,nrES_Code,$F1057,nrES_Att,2,nrES_Raw,"&gt;=0")=0),"Yes","No")))</f>
        <v/>
      </c>
      <c r="R1057" s="17">
        <f>IF($C1057="","",IF($L1057="","",IF(AND($K1057=2,ISNUMBER($L1057),$L1057&lt;$J1057),"Yes","No")))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OR($C1057="",$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RANGE",IF(COUNTIF(nrES_RecID,$B1057)&gt;1,"DUPLICATE RECORD",IF(AND($K1057=2,COUNTIFS(nrES_PID,$D1057,nrES_Code,$F1057,nrES_Att,1)=0),"ATTEMPT 2 WITHOUT ATTEMPT 1",IF(AND($K1057=2,$L1057=""),"RETEST ROW HAS NO SCORE",IF(AND($H1057="Final",$L1057&lt;&gt;"",IFERROR(INDEX(nrCKfinalExamElig,MATCH($D1057,rngCadetPIDs,0)),"")="No"),"FINAL EXAM AFTER FAILED FINAL PT (500.1.H)","OK")))))))</f>
        <v/>
      </c>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IF($C1058="","",IF($K1058="","",IF(COUNTIFS(nrES_PID,$D1058,nrES_Code,$F1058,nrES_Att,"&gt;"&amp;$K1058,nrES_Raw,"&gt;=0")=0,"Yes","No")))</f>
        <v/>
      </c>
      <c r="Q1058" s="17">
        <f>IF($C1058="","",IF($L1058="","",IF(AND($K1058=1,ISNUMBER($L1058),$L1058&lt;$J1058,COUNTIFS(nrES_PID,$D1058,nrES_Code,$F1058,nrES_Att,2,nrES_Raw,"&gt;=0")=0),"Yes","No")))</f>
        <v/>
      </c>
      <c r="R1058" s="17">
        <f>IF($C1058="","",IF($L1058="","",IF(AND($K1058=2,ISNUMBER($L1058),$L1058&lt;$J1058),"Yes","No")))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OR($C1058="",$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RANGE",IF(COUNTIF(nrES_RecID,$B1058)&gt;1,"DUPLICATE RECORD",IF(AND($K1058=2,COUNTIFS(nrES_PID,$D1058,nrES_Code,$F1058,nrES_Att,1)=0),"ATTEMPT 2 WITHOUT ATTEMPT 1",IF(AND($K1058=2,$L1058=""),"RETEST ROW HAS NO SCORE",IF(AND($H1058="Final",$L1058&lt;&gt;"",IFERROR(INDEX(nrCKfinalExamElig,MATCH($D1058,rngCadetPIDs,0)),"")="No"),"FINAL EXAM AFTER FAILED FINAL PT (500.1.H)","OK")))))))</f>
        <v/>
      </c>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IF($C1059="","",IF($K1059="","",IF(COUNTIFS(nrES_PID,$D1059,nrES_Code,$F1059,nrES_Att,"&gt;"&amp;$K1059,nrES_Raw,"&gt;=0")=0,"Yes","No")))</f>
        <v/>
      </c>
      <c r="Q1059" s="17">
        <f>IF($C1059="","",IF($L1059="","",IF(AND($K1059=1,ISNUMBER($L1059),$L1059&lt;$J1059,COUNTIFS(nrES_PID,$D1059,nrES_Code,$F1059,nrES_Att,2,nrES_Raw,"&gt;=0")=0),"Yes","No")))</f>
        <v/>
      </c>
      <c r="R1059" s="17">
        <f>IF($C1059="","",IF($L1059="","",IF(AND($K1059=2,ISNUMBER($L1059),$L1059&lt;$J1059),"Yes","No")))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OR($C1059="",$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RANGE",IF(COUNTIF(nrES_RecID,$B1059)&gt;1,"DUPLICATE RECORD",IF(AND($K1059=2,COUNTIFS(nrES_PID,$D1059,nrES_Code,$F1059,nrES_Att,1)=0),"ATTEMPT 2 WITHOUT ATTEMPT 1",IF(AND($K1059=2,$L1059=""),"RETEST ROW HAS NO SCORE",IF(AND($H1059="Final",$L1059&lt;&gt;"",IFERROR(INDEX(nrCKfinalExamElig,MATCH($D1059,rngCadetPIDs,0)),"")="No"),"FINAL EXAM AFTER FAILED FINAL PT (500.1.H)","OK")))))))</f>
        <v/>
      </c>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IF($C1060="","",IF($K1060="","",IF(COUNTIFS(nrES_PID,$D1060,nrES_Code,$F1060,nrES_Att,"&gt;"&amp;$K1060,nrES_Raw,"&gt;=0")=0,"Yes","No")))</f>
        <v/>
      </c>
      <c r="Q1060" s="17">
        <f>IF($C1060="","",IF($L1060="","",IF(AND($K1060=1,ISNUMBER($L1060),$L1060&lt;$J1060,COUNTIFS(nrES_PID,$D1060,nrES_Code,$F1060,nrES_Att,2,nrES_Raw,"&gt;=0")=0),"Yes","No")))</f>
        <v/>
      </c>
      <c r="R1060" s="17">
        <f>IF($C1060="","",IF($L1060="","",IF(AND($K1060=2,ISNUMBER($L1060),$L1060&lt;$J1060),"Yes","No")))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OR($C1060="",$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RANGE",IF(COUNTIF(nrES_RecID,$B1060)&gt;1,"DUPLICATE RECORD",IF(AND($K1060=2,COUNTIFS(nrES_PID,$D1060,nrES_Code,$F1060,nrES_Att,1)=0),"ATTEMPT 2 WITHOUT ATTEMPT 1",IF(AND($K1060=2,$L1060=""),"RETEST ROW HAS NO SCORE",IF(AND($H1060="Final",$L1060&lt;&gt;"",IFERROR(INDEX(nrCKfinalExamElig,MATCH($D1060,rngCadetPIDs,0)),"")="No"),"FINAL EXAM AFTER FAILED FINAL PT (500.1.H)","OK")))))))</f>
        <v/>
      </c>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IF($C1061="","",IF($K1061="","",IF(COUNTIFS(nrES_PID,$D1061,nrES_Code,$F1061,nrES_Att,"&gt;"&amp;$K1061,nrES_Raw,"&gt;=0")=0,"Yes","No")))</f>
        <v/>
      </c>
      <c r="Q1061" s="17">
        <f>IF($C1061="","",IF($L1061="","",IF(AND($K1061=1,ISNUMBER($L1061),$L1061&lt;$J1061,COUNTIFS(nrES_PID,$D1061,nrES_Code,$F1061,nrES_Att,2,nrES_Raw,"&gt;=0")=0),"Yes","No")))</f>
        <v/>
      </c>
      <c r="R1061" s="17">
        <f>IF($C1061="","",IF($L1061="","",IF(AND($K1061=2,ISNUMBER($L1061),$L1061&lt;$J1061),"Yes","No")))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OR($C1061="",$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RANGE",IF(COUNTIF(nrES_RecID,$B1061)&gt;1,"DUPLICATE RECORD",IF(AND($K1061=2,COUNTIFS(nrES_PID,$D1061,nrES_Code,$F1061,nrES_Att,1)=0),"ATTEMPT 2 WITHOUT ATTEMPT 1",IF(AND($K1061=2,$L1061=""),"RETEST ROW HAS NO SCORE",IF(AND($H1061="Final",$L1061&lt;&gt;"",IFERROR(INDEX(nrCKfinalExamElig,MATCH($D1061,rngCadetPIDs,0)),"")="No"),"FINAL EXAM AFTER FAILED FINAL PT (500.1.H)","OK")))))))</f>
        <v/>
      </c>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IF($C1062="","",IF($K1062="","",IF(COUNTIFS(nrES_PID,$D1062,nrES_Code,$F1062,nrES_Att,"&gt;"&amp;$K1062,nrES_Raw,"&gt;=0")=0,"Yes","No")))</f>
        <v/>
      </c>
      <c r="Q1062" s="17">
        <f>IF($C1062="","",IF($L1062="","",IF(AND($K1062=1,ISNUMBER($L1062),$L1062&lt;$J1062,COUNTIFS(nrES_PID,$D1062,nrES_Code,$F1062,nrES_Att,2,nrES_Raw,"&gt;=0")=0),"Yes","No")))</f>
        <v/>
      </c>
      <c r="R1062" s="17">
        <f>IF($C1062="","",IF($L1062="","",IF(AND($K1062=2,ISNUMBER($L1062),$L1062&lt;$J1062),"Yes","No")))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OR($C1062="",$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RANGE",IF(COUNTIF(nrES_RecID,$B1062)&gt;1,"DUPLICATE RECORD",IF(AND($K1062=2,COUNTIFS(nrES_PID,$D1062,nrES_Code,$F1062,nrES_Att,1)=0),"ATTEMPT 2 WITHOUT ATTEMPT 1",IF(AND($K1062=2,$L1062=""),"RETEST ROW HAS NO SCORE",IF(AND($H1062="Final",$L1062&lt;&gt;"",IFERROR(INDEX(nrCKfinalExamElig,MATCH($D1062,rngCadetPIDs,0)),"")="No"),"FINAL EXAM AFTER FAILED FINAL PT (500.1.H)","OK")))))))</f>
        <v/>
      </c>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IF($C1063="","",IF($K1063="","",IF(COUNTIFS(nrES_PID,$D1063,nrES_Code,$F1063,nrES_Att,"&gt;"&amp;$K1063,nrES_Raw,"&gt;=0")=0,"Yes","No")))</f>
        <v/>
      </c>
      <c r="Q1063" s="17">
        <f>IF($C1063="","",IF($L1063="","",IF(AND($K1063=1,ISNUMBER($L1063),$L1063&lt;$J1063,COUNTIFS(nrES_PID,$D1063,nrES_Code,$F1063,nrES_Att,2,nrES_Raw,"&gt;=0")=0),"Yes","No")))</f>
        <v/>
      </c>
      <c r="R1063" s="17">
        <f>IF($C1063="","",IF($L1063="","",IF(AND($K1063=2,ISNUMBER($L1063),$L1063&lt;$J1063),"Yes","No")))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OR($C1063="",$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RANGE",IF(COUNTIF(nrES_RecID,$B1063)&gt;1,"DUPLICATE RECORD",IF(AND($K1063=2,COUNTIFS(nrES_PID,$D1063,nrES_Code,$F1063,nrES_Att,1)=0),"ATTEMPT 2 WITHOUT ATTEMPT 1",IF(AND($K1063=2,$L1063=""),"RETEST ROW HAS NO SCORE",IF(AND($H1063="Final",$L1063&lt;&gt;"",IFERROR(INDEX(nrCKfinalExamElig,MATCH($D1063,rngCadetPIDs,0)),"")="No"),"FINAL EXAM AFTER FAILED FINAL PT (500.1.H)","OK")))))))</f>
        <v/>
      </c>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IF($C1064="","",IF($K1064="","",IF(COUNTIFS(nrES_PID,$D1064,nrES_Code,$F1064,nrES_Att,"&gt;"&amp;$K1064,nrES_Raw,"&gt;=0")=0,"Yes","No")))</f>
        <v/>
      </c>
      <c r="Q1064" s="17">
        <f>IF($C1064="","",IF($L1064="","",IF(AND($K1064=1,ISNUMBER($L1064),$L1064&lt;$J1064,COUNTIFS(nrES_PID,$D1064,nrES_Code,$F1064,nrES_Att,2,nrES_Raw,"&gt;=0")=0),"Yes","No")))</f>
        <v/>
      </c>
      <c r="R1064" s="17">
        <f>IF($C1064="","",IF($L1064="","",IF(AND($K1064=2,ISNUMBER($L1064),$L1064&lt;$J1064),"Yes","No")))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OR($C1064="",$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RANGE",IF(COUNTIF(nrES_RecID,$B1064)&gt;1,"DUPLICATE RECORD",IF(AND($K1064=2,COUNTIFS(nrES_PID,$D1064,nrES_Code,$F1064,nrES_Att,1)=0),"ATTEMPT 2 WITHOUT ATTEMPT 1",IF(AND($K1064=2,$L1064=""),"RETEST ROW HAS NO SCORE",IF(AND($H1064="Final",$L1064&lt;&gt;"",IFERROR(INDEX(nrCKfinalExamElig,MATCH($D1064,rngCadetPIDs,0)),"")="No"),"FINAL EXAM AFTER FAILED FINAL PT (500.1.H)","OK")))))))</f>
        <v/>
      </c>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IF($C1065="","",IF($K1065="","",IF(COUNTIFS(nrES_PID,$D1065,nrES_Code,$F1065,nrES_Att,"&gt;"&amp;$K1065,nrES_Raw,"&gt;=0")=0,"Yes","No")))</f>
        <v/>
      </c>
      <c r="Q1065" s="17">
        <f>IF($C1065="","",IF($L1065="","",IF(AND($K1065=1,ISNUMBER($L1065),$L1065&lt;$J1065,COUNTIFS(nrES_PID,$D1065,nrES_Code,$F1065,nrES_Att,2,nrES_Raw,"&gt;=0")=0),"Yes","No")))</f>
        <v/>
      </c>
      <c r="R1065" s="17">
        <f>IF($C1065="","",IF($L1065="","",IF(AND($K1065=2,ISNUMBER($L1065),$L1065&lt;$J1065),"Yes","No")))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OR($C1065="",$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RANGE",IF(COUNTIF(nrES_RecID,$B1065)&gt;1,"DUPLICATE RECORD",IF(AND($K1065=2,COUNTIFS(nrES_PID,$D1065,nrES_Code,$F1065,nrES_Att,1)=0),"ATTEMPT 2 WITHOUT ATTEMPT 1",IF(AND($K1065=2,$L1065=""),"RETEST ROW HAS NO SCORE",IF(AND($H1065="Final",$L1065&lt;&gt;"",IFERROR(INDEX(nrCKfinalExamElig,MATCH($D1065,rngCadetPIDs,0)),"")="No"),"FINAL EXAM AFTER FAILED FINAL PT (500.1.H)","OK")))))))</f>
        <v/>
      </c>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IF($C1066="","",IF($K1066="","",IF(COUNTIFS(nrES_PID,$D1066,nrES_Code,$F1066,nrES_Att,"&gt;"&amp;$K1066,nrES_Raw,"&gt;=0")=0,"Yes","No")))</f>
        <v/>
      </c>
      <c r="Q1066" s="17">
        <f>IF($C1066="","",IF($L1066="","",IF(AND($K1066=1,ISNUMBER($L1066),$L1066&lt;$J1066,COUNTIFS(nrES_PID,$D1066,nrES_Code,$F1066,nrES_Att,2,nrES_Raw,"&gt;=0")=0),"Yes","No")))</f>
        <v/>
      </c>
      <c r="R1066" s="17">
        <f>IF($C1066="","",IF($L1066="","",IF(AND($K1066=2,ISNUMBER($L1066),$L1066&lt;$J1066),"Yes","No")))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OR($C1066="",$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RANGE",IF(COUNTIF(nrES_RecID,$B1066)&gt;1,"DUPLICATE RECORD",IF(AND($K1066=2,COUNTIFS(nrES_PID,$D1066,nrES_Code,$F1066,nrES_Att,1)=0),"ATTEMPT 2 WITHOUT ATTEMPT 1",IF(AND($K1066=2,$L1066=""),"RETEST ROW HAS NO SCORE",IF(AND($H1066="Final",$L1066&lt;&gt;"",IFERROR(INDEX(nrCKfinalExamElig,MATCH($D1066,rngCadetPIDs,0)),"")="No"),"FINAL EXAM AFTER FAILED FINAL PT (500.1.H)","OK")))))))</f>
        <v/>
      </c>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IF($C1067="","",IF($K1067="","",IF(COUNTIFS(nrES_PID,$D1067,nrES_Code,$F1067,nrES_Att,"&gt;"&amp;$K1067,nrES_Raw,"&gt;=0")=0,"Yes","No")))</f>
        <v/>
      </c>
      <c r="Q1067" s="17">
        <f>IF($C1067="","",IF($L1067="","",IF(AND($K1067=1,ISNUMBER($L1067),$L1067&lt;$J1067,COUNTIFS(nrES_PID,$D1067,nrES_Code,$F1067,nrES_Att,2,nrES_Raw,"&gt;=0")=0),"Yes","No")))</f>
        <v/>
      </c>
      <c r="R1067" s="17">
        <f>IF($C1067="","",IF($L1067="","",IF(AND($K1067=2,ISNUMBER($L1067),$L1067&lt;$J1067),"Yes","No")))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OR($C1067="",$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RANGE",IF(COUNTIF(nrES_RecID,$B1067)&gt;1,"DUPLICATE RECORD",IF(AND($K1067=2,COUNTIFS(nrES_PID,$D1067,nrES_Code,$F1067,nrES_Att,1)=0),"ATTEMPT 2 WITHOUT ATTEMPT 1",IF(AND($K1067=2,$L1067=""),"RETEST ROW HAS NO SCORE",IF(AND($H1067="Final",$L1067&lt;&gt;"",IFERROR(INDEX(nrCKfinalExamElig,MATCH($D1067,rngCadetPIDs,0)),"")="No"),"FINAL EXAM AFTER FAILED FINAL PT (500.1.H)","OK")))))))</f>
        <v/>
      </c>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IF($C1068="","",IF($K1068="","",IF(COUNTIFS(nrES_PID,$D1068,nrES_Code,$F1068,nrES_Att,"&gt;"&amp;$K1068,nrES_Raw,"&gt;=0")=0,"Yes","No")))</f>
        <v/>
      </c>
      <c r="Q1068" s="17">
        <f>IF($C1068="","",IF($L1068="","",IF(AND($K1068=1,ISNUMBER($L1068),$L1068&lt;$J1068,COUNTIFS(nrES_PID,$D1068,nrES_Code,$F1068,nrES_Att,2,nrES_Raw,"&gt;=0")=0),"Yes","No")))</f>
        <v/>
      </c>
      <c r="R1068" s="17">
        <f>IF($C1068="","",IF($L1068="","",IF(AND($K1068=2,ISNUMBER($L1068),$L1068&lt;$J1068),"Yes","No")))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OR($C1068="",$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RANGE",IF(COUNTIF(nrES_RecID,$B1068)&gt;1,"DUPLICATE RECORD",IF(AND($K1068=2,COUNTIFS(nrES_PID,$D1068,nrES_Code,$F1068,nrES_Att,1)=0),"ATTEMPT 2 WITHOUT ATTEMPT 1",IF(AND($K1068=2,$L1068=""),"RETEST ROW HAS NO SCORE",IF(AND($H1068="Final",$L1068&lt;&gt;"",IFERROR(INDEX(nrCKfinalExamElig,MATCH($D1068,rngCadetPIDs,0)),"")="No"),"FINAL EXAM AFTER FAILED FINAL PT (500.1.H)","OK")))))))</f>
        <v/>
      </c>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IF($C1069="","",IF($K1069="","",IF(COUNTIFS(nrES_PID,$D1069,nrES_Code,$F1069,nrES_Att,"&gt;"&amp;$K1069,nrES_Raw,"&gt;=0")=0,"Yes","No")))</f>
        <v/>
      </c>
      <c r="Q1069" s="17">
        <f>IF($C1069="","",IF($L1069="","",IF(AND($K1069=1,ISNUMBER($L1069),$L1069&lt;$J1069,COUNTIFS(nrES_PID,$D1069,nrES_Code,$F1069,nrES_Att,2,nrES_Raw,"&gt;=0")=0),"Yes","No")))</f>
        <v/>
      </c>
      <c r="R1069" s="17">
        <f>IF($C1069="","",IF($L1069="","",IF(AND($K1069=2,ISNUMBER($L1069),$L1069&lt;$J1069),"Yes","No")))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OR($C1069="",$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RANGE",IF(COUNTIF(nrES_RecID,$B1069)&gt;1,"DUPLICATE RECORD",IF(AND($K1069=2,COUNTIFS(nrES_PID,$D1069,nrES_Code,$F1069,nrES_Att,1)=0),"ATTEMPT 2 WITHOUT ATTEMPT 1",IF(AND($K1069=2,$L1069=""),"RETEST ROW HAS NO SCORE",IF(AND($H1069="Final",$L1069&lt;&gt;"",IFERROR(INDEX(nrCKfinalExamElig,MATCH($D1069,rngCadetPIDs,0)),"")="No"),"FINAL EXAM AFTER FAILED FINAL PT (500.1.H)","OK")))))))</f>
        <v/>
      </c>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IF($C1070="","",IF($K1070="","",IF(COUNTIFS(nrES_PID,$D1070,nrES_Code,$F1070,nrES_Att,"&gt;"&amp;$K1070,nrES_Raw,"&gt;=0")=0,"Yes","No")))</f>
        <v/>
      </c>
      <c r="Q1070" s="17">
        <f>IF($C1070="","",IF($L1070="","",IF(AND($K1070=1,ISNUMBER($L1070),$L1070&lt;$J1070,COUNTIFS(nrES_PID,$D1070,nrES_Code,$F1070,nrES_Att,2,nrES_Raw,"&gt;=0")=0),"Yes","No")))</f>
        <v/>
      </c>
      <c r="R1070" s="17">
        <f>IF($C1070="","",IF($L1070="","",IF(AND($K1070=2,ISNUMBER($L1070),$L1070&lt;$J1070),"Yes","No")))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OR($C1070="",$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RANGE",IF(COUNTIF(nrES_RecID,$B1070)&gt;1,"DUPLICATE RECORD",IF(AND($K1070=2,COUNTIFS(nrES_PID,$D1070,nrES_Code,$F1070,nrES_Att,1)=0),"ATTEMPT 2 WITHOUT ATTEMPT 1",IF(AND($K1070=2,$L1070=""),"RETEST ROW HAS NO SCORE",IF(AND($H1070="Final",$L1070&lt;&gt;"",IFERROR(INDEX(nrCKfinalExamElig,MATCH($D1070,rngCadetPIDs,0)),"")="No"),"FINAL EXAM AFTER FAILED FINAL PT (500.1.H)","OK")))))))</f>
        <v/>
      </c>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IF($C1071="","",IF($K1071="","",IF(COUNTIFS(nrES_PID,$D1071,nrES_Code,$F1071,nrES_Att,"&gt;"&amp;$K1071,nrES_Raw,"&gt;=0")=0,"Yes","No")))</f>
        <v/>
      </c>
      <c r="Q1071" s="17">
        <f>IF($C1071="","",IF($L1071="","",IF(AND($K1071=1,ISNUMBER($L1071),$L1071&lt;$J1071,COUNTIFS(nrES_PID,$D1071,nrES_Code,$F1071,nrES_Att,2,nrES_Raw,"&gt;=0")=0),"Yes","No")))</f>
        <v/>
      </c>
      <c r="R1071" s="17">
        <f>IF($C1071="","",IF($L1071="","",IF(AND($K1071=2,ISNUMBER($L1071),$L1071&lt;$J1071),"Yes","No")))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OR($C1071="",$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RANGE",IF(COUNTIF(nrES_RecID,$B1071)&gt;1,"DUPLICATE RECORD",IF(AND($K1071=2,COUNTIFS(nrES_PID,$D1071,nrES_Code,$F1071,nrES_Att,1)=0),"ATTEMPT 2 WITHOUT ATTEMPT 1",IF(AND($K1071=2,$L1071=""),"RETEST ROW HAS NO SCORE",IF(AND($H1071="Final",$L1071&lt;&gt;"",IFERROR(INDEX(nrCKfinalExamElig,MATCH($D1071,rngCadetPIDs,0)),"")="No"),"FINAL EXAM AFTER FAILED FINAL PT (500.1.H)","OK")))))))</f>
        <v/>
      </c>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IF($C1072="","",IF($K1072="","",IF(COUNTIFS(nrES_PID,$D1072,nrES_Code,$F1072,nrES_Att,"&gt;"&amp;$K1072,nrES_Raw,"&gt;=0")=0,"Yes","No")))</f>
        <v/>
      </c>
      <c r="Q1072" s="17">
        <f>IF($C1072="","",IF($L1072="","",IF(AND($K1072=1,ISNUMBER($L1072),$L1072&lt;$J1072,COUNTIFS(nrES_PID,$D1072,nrES_Code,$F1072,nrES_Att,2,nrES_Raw,"&gt;=0")=0),"Yes","No")))</f>
        <v/>
      </c>
      <c r="R1072" s="17">
        <f>IF($C1072="","",IF($L1072="","",IF(AND($K1072=2,ISNUMBER($L1072),$L1072&lt;$J1072),"Yes","No")))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OR($C1072="",$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RANGE",IF(COUNTIF(nrES_RecID,$B1072)&gt;1,"DUPLICATE RECORD",IF(AND($K1072=2,COUNTIFS(nrES_PID,$D1072,nrES_Code,$F1072,nrES_Att,1)=0),"ATTEMPT 2 WITHOUT ATTEMPT 1",IF(AND($K1072=2,$L1072=""),"RETEST ROW HAS NO SCORE",IF(AND($H1072="Final",$L1072&lt;&gt;"",IFERROR(INDEX(nrCKfinalExamElig,MATCH($D1072,rngCadetPIDs,0)),"")="No"),"FINAL EXAM AFTER FAILED FINAL PT (500.1.H)","OK")))))))</f>
        <v/>
      </c>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IF($C1073="","",IF($K1073="","",IF(COUNTIFS(nrES_PID,$D1073,nrES_Code,$F1073,nrES_Att,"&gt;"&amp;$K1073,nrES_Raw,"&gt;=0")=0,"Yes","No")))</f>
        <v/>
      </c>
      <c r="Q1073" s="17">
        <f>IF($C1073="","",IF($L1073="","",IF(AND($K1073=1,ISNUMBER($L1073),$L1073&lt;$J1073,COUNTIFS(nrES_PID,$D1073,nrES_Code,$F1073,nrES_Att,2,nrES_Raw,"&gt;=0")=0),"Yes","No")))</f>
        <v/>
      </c>
      <c r="R1073" s="17">
        <f>IF($C1073="","",IF($L1073="","",IF(AND($K1073=2,ISNUMBER($L1073),$L1073&lt;$J1073),"Yes","No")))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OR($C1073="",$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RANGE",IF(COUNTIF(nrES_RecID,$B1073)&gt;1,"DUPLICATE RECORD",IF(AND($K1073=2,COUNTIFS(nrES_PID,$D1073,nrES_Code,$F1073,nrES_Att,1)=0),"ATTEMPT 2 WITHOUT ATTEMPT 1",IF(AND($K1073=2,$L1073=""),"RETEST ROW HAS NO SCORE",IF(AND($H1073="Final",$L1073&lt;&gt;"",IFERROR(INDEX(nrCKfinalExamElig,MATCH($D1073,rngCadetPIDs,0)),"")="No"),"FINAL EXAM AFTER FAILED FINAL PT (500.1.H)","OK")))))))</f>
        <v/>
      </c>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IF($C1074="","",IF($K1074="","",IF(COUNTIFS(nrES_PID,$D1074,nrES_Code,$F1074,nrES_Att,"&gt;"&amp;$K1074,nrES_Raw,"&gt;=0")=0,"Yes","No")))</f>
        <v/>
      </c>
      <c r="Q1074" s="17">
        <f>IF($C1074="","",IF($L1074="","",IF(AND($K1074=1,ISNUMBER($L1074),$L1074&lt;$J1074,COUNTIFS(nrES_PID,$D1074,nrES_Code,$F1074,nrES_Att,2,nrES_Raw,"&gt;=0")=0),"Yes","No")))</f>
        <v/>
      </c>
      <c r="R1074" s="17">
        <f>IF($C1074="","",IF($L1074="","",IF(AND($K1074=2,ISNUMBER($L1074),$L1074&lt;$J1074),"Yes","No")))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OR($C1074="",$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RANGE",IF(COUNTIF(nrES_RecID,$B1074)&gt;1,"DUPLICATE RECORD",IF(AND($K1074=2,COUNTIFS(nrES_PID,$D1074,nrES_Code,$F1074,nrES_Att,1)=0),"ATTEMPT 2 WITHOUT ATTEMPT 1",IF(AND($K1074=2,$L1074=""),"RETEST ROW HAS NO SCORE",IF(AND($H1074="Final",$L1074&lt;&gt;"",IFERROR(INDEX(nrCKfinalExamElig,MATCH($D1074,rngCadetPIDs,0)),"")="No"),"FINAL EXAM AFTER FAILED FINAL PT (500.1.H)","OK")))))))</f>
        <v/>
      </c>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IF($C1075="","",IF($K1075="","",IF(COUNTIFS(nrES_PID,$D1075,nrES_Code,$F1075,nrES_Att,"&gt;"&amp;$K1075,nrES_Raw,"&gt;=0")=0,"Yes","No")))</f>
        <v/>
      </c>
      <c r="Q1075" s="17">
        <f>IF($C1075="","",IF($L1075="","",IF(AND($K1075=1,ISNUMBER($L1075),$L1075&lt;$J1075,COUNTIFS(nrES_PID,$D1075,nrES_Code,$F1075,nrES_Att,2,nrES_Raw,"&gt;=0")=0),"Yes","No")))</f>
        <v/>
      </c>
      <c r="R1075" s="17">
        <f>IF($C1075="","",IF($L1075="","",IF(AND($K1075=2,ISNUMBER($L1075),$L1075&lt;$J1075),"Yes","No")))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OR($C1075="",$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RANGE",IF(COUNTIF(nrES_RecID,$B1075)&gt;1,"DUPLICATE RECORD",IF(AND($K1075=2,COUNTIFS(nrES_PID,$D1075,nrES_Code,$F1075,nrES_Att,1)=0),"ATTEMPT 2 WITHOUT ATTEMPT 1",IF(AND($K1075=2,$L1075=""),"RETEST ROW HAS NO SCORE",IF(AND($H1075="Final",$L1075&lt;&gt;"",IFERROR(INDEX(nrCKfinalExamElig,MATCH($D1075,rngCadetPIDs,0)),"")="No"),"FINAL EXAM AFTER FAILED FINAL PT (500.1.H)","OK")))))))</f>
        <v/>
      </c>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IF($C1076="","",IF($K1076="","",IF(COUNTIFS(nrES_PID,$D1076,nrES_Code,$F1076,nrES_Att,"&gt;"&amp;$K1076,nrES_Raw,"&gt;=0")=0,"Yes","No")))</f>
        <v/>
      </c>
      <c r="Q1076" s="17">
        <f>IF($C1076="","",IF($L1076="","",IF(AND($K1076=1,ISNUMBER($L1076),$L1076&lt;$J1076,COUNTIFS(nrES_PID,$D1076,nrES_Code,$F1076,nrES_Att,2,nrES_Raw,"&gt;=0")=0),"Yes","No")))</f>
        <v/>
      </c>
      <c r="R1076" s="17">
        <f>IF($C1076="","",IF($L1076="","",IF(AND($K1076=2,ISNUMBER($L1076),$L1076&lt;$J1076),"Yes","No")))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OR($C1076="",$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RANGE",IF(COUNTIF(nrES_RecID,$B1076)&gt;1,"DUPLICATE RECORD",IF(AND($K1076=2,COUNTIFS(nrES_PID,$D1076,nrES_Code,$F1076,nrES_Att,1)=0),"ATTEMPT 2 WITHOUT ATTEMPT 1",IF(AND($K1076=2,$L1076=""),"RETEST ROW HAS NO SCORE",IF(AND($H1076="Final",$L1076&lt;&gt;"",IFERROR(INDEX(nrCKfinalExamElig,MATCH($D1076,rngCadetPIDs,0)),"")="No"),"FINAL EXAM AFTER FAILED FINAL PT (500.1.H)","OK")))))))</f>
        <v/>
      </c>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IF($C1077="","",IF($K1077="","",IF(COUNTIFS(nrES_PID,$D1077,nrES_Code,$F1077,nrES_Att,"&gt;"&amp;$K1077,nrES_Raw,"&gt;=0")=0,"Yes","No")))</f>
        <v/>
      </c>
      <c r="Q1077" s="17">
        <f>IF($C1077="","",IF($L1077="","",IF(AND($K1077=1,ISNUMBER($L1077),$L1077&lt;$J1077,COUNTIFS(nrES_PID,$D1077,nrES_Code,$F1077,nrES_Att,2,nrES_Raw,"&gt;=0")=0),"Yes","No")))</f>
        <v/>
      </c>
      <c r="R1077" s="17">
        <f>IF($C1077="","",IF($L1077="","",IF(AND($K1077=2,ISNUMBER($L1077),$L1077&lt;$J1077),"Yes","No")))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OR($C1077="",$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RANGE",IF(COUNTIF(nrES_RecID,$B1077)&gt;1,"DUPLICATE RECORD",IF(AND($K1077=2,COUNTIFS(nrES_PID,$D1077,nrES_Code,$F1077,nrES_Att,1)=0),"ATTEMPT 2 WITHOUT ATTEMPT 1",IF(AND($K1077=2,$L1077=""),"RETEST ROW HAS NO SCORE",IF(AND($H1077="Final",$L1077&lt;&gt;"",IFERROR(INDEX(nrCKfinalExamElig,MATCH($D1077,rngCadetPIDs,0)),"")="No"),"FINAL EXAM AFTER FAILED FINAL PT (500.1.H)","OK")))))))</f>
        <v/>
      </c>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IF($C1078="","",IF($K1078="","",IF(COUNTIFS(nrES_PID,$D1078,nrES_Code,$F1078,nrES_Att,"&gt;"&amp;$K1078,nrES_Raw,"&gt;=0")=0,"Yes","No")))</f>
        <v/>
      </c>
      <c r="Q1078" s="17">
        <f>IF($C1078="","",IF($L1078="","",IF(AND($K1078=1,ISNUMBER($L1078),$L1078&lt;$J1078,COUNTIFS(nrES_PID,$D1078,nrES_Code,$F1078,nrES_Att,2,nrES_Raw,"&gt;=0")=0),"Yes","No")))</f>
        <v/>
      </c>
      <c r="R1078" s="17">
        <f>IF($C1078="","",IF($L1078="","",IF(AND($K1078=2,ISNUMBER($L1078),$L1078&lt;$J1078),"Yes","No")))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OR($C1078="",$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RANGE",IF(COUNTIF(nrES_RecID,$B1078)&gt;1,"DUPLICATE RECORD",IF(AND($K1078=2,COUNTIFS(nrES_PID,$D1078,nrES_Code,$F1078,nrES_Att,1)=0),"ATTEMPT 2 WITHOUT ATTEMPT 1",IF(AND($K1078=2,$L1078=""),"RETEST ROW HAS NO SCORE",IF(AND($H1078="Final",$L1078&lt;&gt;"",IFERROR(INDEX(nrCKfinalExamElig,MATCH($D1078,rngCadetPIDs,0)),"")="No"),"FINAL EXAM AFTER FAILED FINAL PT (500.1.H)","OK")))))))</f>
        <v/>
      </c>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IF($C1079="","",IF($K1079="","",IF(COUNTIFS(nrES_PID,$D1079,nrES_Code,$F1079,nrES_Att,"&gt;"&amp;$K1079,nrES_Raw,"&gt;=0")=0,"Yes","No")))</f>
        <v/>
      </c>
      <c r="Q1079" s="17">
        <f>IF($C1079="","",IF($L1079="","",IF(AND($K1079=1,ISNUMBER($L1079),$L1079&lt;$J1079,COUNTIFS(nrES_PID,$D1079,nrES_Code,$F1079,nrES_Att,2,nrES_Raw,"&gt;=0")=0),"Yes","No")))</f>
        <v/>
      </c>
      <c r="R1079" s="17">
        <f>IF($C1079="","",IF($L1079="","",IF(AND($K1079=2,ISNUMBER($L1079),$L1079&lt;$J1079),"Yes","No")))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OR($C1079="",$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RANGE",IF(COUNTIF(nrES_RecID,$B1079)&gt;1,"DUPLICATE RECORD",IF(AND($K1079=2,COUNTIFS(nrES_PID,$D1079,nrES_Code,$F1079,nrES_Att,1)=0),"ATTEMPT 2 WITHOUT ATTEMPT 1",IF(AND($K1079=2,$L1079=""),"RETEST ROW HAS NO SCORE",IF(AND($H1079="Final",$L1079&lt;&gt;"",IFERROR(INDEX(nrCKfinalExamElig,MATCH($D1079,rngCadetPIDs,0)),"")="No"),"FINAL EXAM AFTER FAILED FINAL PT (500.1.H)","OK")))))))</f>
        <v/>
      </c>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IF($C1080="","",IF($K1080="","",IF(COUNTIFS(nrES_PID,$D1080,nrES_Code,$F1080,nrES_Att,"&gt;"&amp;$K1080,nrES_Raw,"&gt;=0")=0,"Yes","No")))</f>
        <v/>
      </c>
      <c r="Q1080" s="17">
        <f>IF($C1080="","",IF($L1080="","",IF(AND($K1080=1,ISNUMBER($L1080),$L1080&lt;$J1080,COUNTIFS(nrES_PID,$D1080,nrES_Code,$F1080,nrES_Att,2,nrES_Raw,"&gt;=0")=0),"Yes","No")))</f>
        <v/>
      </c>
      <c r="R1080" s="17">
        <f>IF($C1080="","",IF($L1080="","",IF(AND($K1080=2,ISNUMBER($L1080),$L1080&lt;$J1080),"Yes","No")))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OR($C1080="",$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RANGE",IF(COUNTIF(nrES_RecID,$B1080)&gt;1,"DUPLICATE RECORD",IF(AND($K1080=2,COUNTIFS(nrES_PID,$D1080,nrES_Code,$F1080,nrES_Att,1)=0),"ATTEMPT 2 WITHOUT ATTEMPT 1",IF(AND($K1080=2,$L1080=""),"RETEST ROW HAS NO SCORE",IF(AND($H1080="Final",$L1080&lt;&gt;"",IFERROR(INDEX(nrCKfinalExamElig,MATCH($D1080,rngCadetPIDs,0)),"")="No"),"FINAL EXAM AFTER FAILED FINAL PT (500.1.H)","OK")))))))</f>
        <v/>
      </c>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IF($C1081="","",IF($K1081="","",IF(COUNTIFS(nrES_PID,$D1081,nrES_Code,$F1081,nrES_Att,"&gt;"&amp;$K1081,nrES_Raw,"&gt;=0")=0,"Yes","No")))</f>
        <v/>
      </c>
      <c r="Q1081" s="17">
        <f>IF($C1081="","",IF($L1081="","",IF(AND($K1081=1,ISNUMBER($L1081),$L1081&lt;$J1081,COUNTIFS(nrES_PID,$D1081,nrES_Code,$F1081,nrES_Att,2,nrES_Raw,"&gt;=0")=0),"Yes","No")))</f>
        <v/>
      </c>
      <c r="R1081" s="17">
        <f>IF($C1081="","",IF($L1081="","",IF(AND($K1081=2,ISNUMBER($L1081),$L1081&lt;$J1081),"Yes","No")))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OR($C1081="",$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RANGE",IF(COUNTIF(nrES_RecID,$B1081)&gt;1,"DUPLICATE RECORD",IF(AND($K1081=2,COUNTIFS(nrES_PID,$D1081,nrES_Code,$F1081,nrES_Att,1)=0),"ATTEMPT 2 WITHOUT ATTEMPT 1",IF(AND($K1081=2,$L1081=""),"RETEST ROW HAS NO SCORE",IF(AND($H1081="Final",$L1081&lt;&gt;"",IFERROR(INDEX(nrCKfinalExamElig,MATCH($D1081,rngCadetPIDs,0)),"")="No"),"FINAL EXAM AFTER FAILED FINAL PT (500.1.H)","OK")))))))</f>
        <v/>
      </c>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IF($C1082="","",IF($K1082="","",IF(COUNTIFS(nrES_PID,$D1082,nrES_Code,$F1082,nrES_Att,"&gt;"&amp;$K1082,nrES_Raw,"&gt;=0")=0,"Yes","No")))</f>
        <v/>
      </c>
      <c r="Q1082" s="17">
        <f>IF($C1082="","",IF($L1082="","",IF(AND($K1082=1,ISNUMBER($L1082),$L1082&lt;$J1082,COUNTIFS(nrES_PID,$D1082,nrES_Code,$F1082,nrES_Att,2,nrES_Raw,"&gt;=0")=0),"Yes","No")))</f>
        <v/>
      </c>
      <c r="R1082" s="17">
        <f>IF($C1082="","",IF($L1082="","",IF(AND($K1082=2,ISNUMBER($L1082),$L1082&lt;$J1082),"Yes","No")))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OR($C1082="",$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RANGE",IF(COUNTIF(nrES_RecID,$B1082)&gt;1,"DUPLICATE RECORD",IF(AND($K1082=2,COUNTIFS(nrES_PID,$D1082,nrES_Code,$F1082,nrES_Att,1)=0),"ATTEMPT 2 WITHOUT ATTEMPT 1",IF(AND($K1082=2,$L1082=""),"RETEST ROW HAS NO SCORE",IF(AND($H1082="Final",$L1082&lt;&gt;"",IFERROR(INDEX(nrCKfinalExamElig,MATCH($D1082,rngCadetPIDs,0)),"")="No"),"FINAL EXAM AFTER FAILED FINAL PT (500.1.H)","OK")))))))</f>
        <v/>
      </c>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IF($C1083="","",IF($K1083="","",IF(COUNTIFS(nrES_PID,$D1083,nrES_Code,$F1083,nrES_Att,"&gt;"&amp;$K1083,nrES_Raw,"&gt;=0")=0,"Yes","No")))</f>
        <v/>
      </c>
      <c r="Q1083" s="17">
        <f>IF($C1083="","",IF($L1083="","",IF(AND($K1083=1,ISNUMBER($L1083),$L1083&lt;$J1083,COUNTIFS(nrES_PID,$D1083,nrES_Code,$F1083,nrES_Att,2,nrES_Raw,"&gt;=0")=0),"Yes","No")))</f>
        <v/>
      </c>
      <c r="R1083" s="17">
        <f>IF($C1083="","",IF($L1083="","",IF(AND($K1083=2,ISNUMBER($L1083),$L1083&lt;$J1083),"Yes","No")))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OR($C1083="",$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RANGE",IF(COUNTIF(nrES_RecID,$B1083)&gt;1,"DUPLICATE RECORD",IF(AND($K1083=2,COUNTIFS(nrES_PID,$D1083,nrES_Code,$F1083,nrES_Att,1)=0),"ATTEMPT 2 WITHOUT ATTEMPT 1",IF(AND($K1083=2,$L1083=""),"RETEST ROW HAS NO SCORE",IF(AND($H1083="Final",$L1083&lt;&gt;"",IFERROR(INDEX(nrCKfinalExamElig,MATCH($D1083,rngCadetPIDs,0)),"")="No"),"FINAL EXAM AFTER FAILED FINAL PT (500.1.H)","OK")))))))</f>
        <v/>
      </c>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IF($C1084="","",IF($K1084="","",IF(COUNTIFS(nrES_PID,$D1084,nrES_Code,$F1084,nrES_Att,"&gt;"&amp;$K1084,nrES_Raw,"&gt;=0")=0,"Yes","No")))</f>
        <v/>
      </c>
      <c r="Q1084" s="17">
        <f>IF($C1084="","",IF($L1084="","",IF(AND($K1084=1,ISNUMBER($L1084),$L1084&lt;$J1084,COUNTIFS(nrES_PID,$D1084,nrES_Code,$F1084,nrES_Att,2,nrES_Raw,"&gt;=0")=0),"Yes","No")))</f>
        <v/>
      </c>
      <c r="R1084" s="17">
        <f>IF($C1084="","",IF($L1084="","",IF(AND($K1084=2,ISNUMBER($L1084),$L1084&lt;$J1084),"Yes","No")))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OR($C1084="",$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RANGE",IF(COUNTIF(nrES_RecID,$B1084)&gt;1,"DUPLICATE RECORD",IF(AND($K1084=2,COUNTIFS(nrES_PID,$D1084,nrES_Code,$F1084,nrES_Att,1)=0),"ATTEMPT 2 WITHOUT ATTEMPT 1",IF(AND($K1084=2,$L1084=""),"RETEST ROW HAS NO SCORE",IF(AND($H1084="Final",$L1084&lt;&gt;"",IFERROR(INDEX(nrCKfinalExamElig,MATCH($D1084,rngCadetPIDs,0)),"")="No"),"FINAL EXAM AFTER FAILED FINAL PT (500.1.H)","OK")))))))</f>
        <v/>
      </c>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IF($C1085="","",IF($K1085="","",IF(COUNTIFS(nrES_PID,$D1085,nrES_Code,$F1085,nrES_Att,"&gt;"&amp;$K1085,nrES_Raw,"&gt;=0")=0,"Yes","No")))</f>
        <v/>
      </c>
      <c r="Q1085" s="17">
        <f>IF($C1085="","",IF($L1085="","",IF(AND($K1085=1,ISNUMBER($L1085),$L1085&lt;$J1085,COUNTIFS(nrES_PID,$D1085,nrES_Code,$F1085,nrES_Att,2,nrES_Raw,"&gt;=0")=0),"Yes","No")))</f>
        <v/>
      </c>
      <c r="R1085" s="17">
        <f>IF($C1085="","",IF($L1085="","",IF(AND($K1085=2,ISNUMBER($L1085),$L1085&lt;$J1085),"Yes","No")))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OR($C1085="",$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RANGE",IF(COUNTIF(nrES_RecID,$B1085)&gt;1,"DUPLICATE RECORD",IF(AND($K1085=2,COUNTIFS(nrES_PID,$D1085,nrES_Code,$F1085,nrES_Att,1)=0),"ATTEMPT 2 WITHOUT ATTEMPT 1",IF(AND($K1085=2,$L1085=""),"RETEST ROW HAS NO SCORE",IF(AND($H1085="Final",$L1085&lt;&gt;"",IFERROR(INDEX(nrCKfinalExamElig,MATCH($D1085,rngCadetPIDs,0)),"")="No"),"FINAL EXAM AFTER FAILED FINAL PT (500.1.H)","OK")))))))</f>
        <v/>
      </c>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IF($C1086="","",IF($K1086="","",IF(COUNTIFS(nrES_PID,$D1086,nrES_Code,$F1086,nrES_Att,"&gt;"&amp;$K1086,nrES_Raw,"&gt;=0")=0,"Yes","No")))</f>
        <v/>
      </c>
      <c r="Q1086" s="17">
        <f>IF($C1086="","",IF($L1086="","",IF(AND($K1086=1,ISNUMBER($L1086),$L1086&lt;$J1086,COUNTIFS(nrES_PID,$D1086,nrES_Code,$F1086,nrES_Att,2,nrES_Raw,"&gt;=0")=0),"Yes","No")))</f>
        <v/>
      </c>
      <c r="R1086" s="17">
        <f>IF($C1086="","",IF($L1086="","",IF(AND($K1086=2,ISNUMBER($L1086),$L1086&lt;$J1086),"Yes","No")))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OR($C1086="",$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RANGE",IF(COUNTIF(nrES_RecID,$B1086)&gt;1,"DUPLICATE RECORD",IF(AND($K1086=2,COUNTIFS(nrES_PID,$D1086,nrES_Code,$F1086,nrES_Att,1)=0),"ATTEMPT 2 WITHOUT ATTEMPT 1",IF(AND($K1086=2,$L1086=""),"RETEST ROW HAS NO SCORE",IF(AND($H1086="Final",$L1086&lt;&gt;"",IFERROR(INDEX(nrCKfinalExamElig,MATCH($D1086,rngCadetPIDs,0)),"")="No"),"FINAL EXAM AFTER FAILED FINAL PT (500.1.H)","OK")))))))</f>
        <v/>
      </c>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IF($C1087="","",IF($K1087="","",IF(COUNTIFS(nrES_PID,$D1087,nrES_Code,$F1087,nrES_Att,"&gt;"&amp;$K1087,nrES_Raw,"&gt;=0")=0,"Yes","No")))</f>
        <v/>
      </c>
      <c r="Q1087" s="17">
        <f>IF($C1087="","",IF($L1087="","",IF(AND($K1087=1,ISNUMBER($L1087),$L1087&lt;$J1087,COUNTIFS(nrES_PID,$D1087,nrES_Code,$F1087,nrES_Att,2,nrES_Raw,"&gt;=0")=0),"Yes","No")))</f>
        <v/>
      </c>
      <c r="R1087" s="17">
        <f>IF($C1087="","",IF($L1087="","",IF(AND($K1087=2,ISNUMBER($L1087),$L1087&lt;$J1087),"Yes","No")))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OR($C1087="",$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RANGE",IF(COUNTIF(nrES_RecID,$B1087)&gt;1,"DUPLICATE RECORD",IF(AND($K1087=2,COUNTIFS(nrES_PID,$D1087,nrES_Code,$F1087,nrES_Att,1)=0),"ATTEMPT 2 WITHOUT ATTEMPT 1",IF(AND($K1087=2,$L1087=""),"RETEST ROW HAS NO SCORE",IF(AND($H1087="Final",$L1087&lt;&gt;"",IFERROR(INDEX(nrCKfinalExamElig,MATCH($D1087,rngCadetPIDs,0)),"")="No"),"FINAL EXAM AFTER FAILED FINAL PT (500.1.H)","OK")))))))</f>
        <v/>
      </c>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IF($C1088="","",IF($K1088="","",IF(COUNTIFS(nrES_PID,$D1088,nrES_Code,$F1088,nrES_Att,"&gt;"&amp;$K1088,nrES_Raw,"&gt;=0")=0,"Yes","No")))</f>
        <v/>
      </c>
      <c r="Q1088" s="17">
        <f>IF($C1088="","",IF($L1088="","",IF(AND($K1088=1,ISNUMBER($L1088),$L1088&lt;$J1088,COUNTIFS(nrES_PID,$D1088,nrES_Code,$F1088,nrES_Att,2,nrES_Raw,"&gt;=0")=0),"Yes","No")))</f>
        <v/>
      </c>
      <c r="R1088" s="17">
        <f>IF($C1088="","",IF($L1088="","",IF(AND($K1088=2,ISNUMBER($L1088),$L1088&lt;$J1088),"Yes","No")))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OR($C1088="",$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RANGE",IF(COUNTIF(nrES_RecID,$B1088)&gt;1,"DUPLICATE RECORD",IF(AND($K1088=2,COUNTIFS(nrES_PID,$D1088,nrES_Code,$F1088,nrES_Att,1)=0),"ATTEMPT 2 WITHOUT ATTEMPT 1",IF(AND($K1088=2,$L1088=""),"RETEST ROW HAS NO SCORE",IF(AND($H1088="Final",$L1088&lt;&gt;"",IFERROR(INDEX(nrCKfinalExamElig,MATCH($D1088,rngCadetPIDs,0)),"")="No"),"FINAL EXAM AFTER FAILED FINAL PT (500.1.H)","OK")))))))</f>
        <v/>
      </c>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IF($C1089="","",IF($K1089="","",IF(COUNTIFS(nrES_PID,$D1089,nrES_Code,$F1089,nrES_Att,"&gt;"&amp;$K1089,nrES_Raw,"&gt;=0")=0,"Yes","No")))</f>
        <v/>
      </c>
      <c r="Q1089" s="17">
        <f>IF($C1089="","",IF($L1089="","",IF(AND($K1089=1,ISNUMBER($L1089),$L1089&lt;$J1089,COUNTIFS(nrES_PID,$D1089,nrES_Code,$F1089,nrES_Att,2,nrES_Raw,"&gt;=0")=0),"Yes","No")))</f>
        <v/>
      </c>
      <c r="R1089" s="17">
        <f>IF($C1089="","",IF($L1089="","",IF(AND($K1089=2,ISNUMBER($L1089),$L1089&lt;$J1089),"Yes","No")))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OR($C1089="",$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RANGE",IF(COUNTIF(nrES_RecID,$B1089)&gt;1,"DUPLICATE RECORD",IF(AND($K1089=2,COUNTIFS(nrES_PID,$D1089,nrES_Code,$F1089,nrES_Att,1)=0),"ATTEMPT 2 WITHOUT ATTEMPT 1",IF(AND($K1089=2,$L1089=""),"RETEST ROW HAS NO SCORE",IF(AND($H1089="Final",$L1089&lt;&gt;"",IFERROR(INDEX(nrCKfinalExamElig,MATCH($D1089,rngCadetPIDs,0)),"")="No"),"FINAL EXAM AFTER FAILED FINAL PT (500.1.H)","OK")))))))</f>
        <v/>
      </c>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IF($C1090="","",IF($K1090="","",IF(COUNTIFS(nrES_PID,$D1090,nrES_Code,$F1090,nrES_Att,"&gt;"&amp;$K1090,nrES_Raw,"&gt;=0")=0,"Yes","No")))</f>
        <v/>
      </c>
      <c r="Q1090" s="17">
        <f>IF($C1090="","",IF($L1090="","",IF(AND($K1090=1,ISNUMBER($L1090),$L1090&lt;$J1090,COUNTIFS(nrES_PID,$D1090,nrES_Code,$F1090,nrES_Att,2,nrES_Raw,"&gt;=0")=0),"Yes","No")))</f>
        <v/>
      </c>
      <c r="R1090" s="17">
        <f>IF($C1090="","",IF($L1090="","",IF(AND($K1090=2,ISNUMBER($L1090),$L1090&lt;$J1090),"Yes","No")))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OR($C1090="",$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RANGE",IF(COUNTIF(nrES_RecID,$B1090)&gt;1,"DUPLICATE RECORD",IF(AND($K1090=2,COUNTIFS(nrES_PID,$D1090,nrES_Code,$F1090,nrES_Att,1)=0),"ATTEMPT 2 WITHOUT ATTEMPT 1",IF(AND($K1090=2,$L1090=""),"RETEST ROW HAS NO SCORE",IF(AND($H1090="Final",$L1090&lt;&gt;"",IFERROR(INDEX(nrCKfinalExamElig,MATCH($D1090,rngCadetPIDs,0)),"")="No"),"FINAL EXAM AFTER FAILED FINAL PT (500.1.H)","OK")))))))</f>
        <v/>
      </c>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IF($C1091="","",IF($K1091="","",IF(COUNTIFS(nrES_PID,$D1091,nrES_Code,$F1091,nrES_Att,"&gt;"&amp;$K1091,nrES_Raw,"&gt;=0")=0,"Yes","No")))</f>
        <v/>
      </c>
      <c r="Q1091" s="17">
        <f>IF($C1091="","",IF($L1091="","",IF(AND($K1091=1,ISNUMBER($L1091),$L1091&lt;$J1091,COUNTIFS(nrES_PID,$D1091,nrES_Code,$F1091,nrES_Att,2,nrES_Raw,"&gt;=0")=0),"Yes","No")))</f>
        <v/>
      </c>
      <c r="R1091" s="17">
        <f>IF($C1091="","",IF($L1091="","",IF(AND($K1091=2,ISNUMBER($L1091),$L1091&lt;$J1091),"Yes","No")))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OR($C1091="",$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RANGE",IF(COUNTIF(nrES_RecID,$B1091)&gt;1,"DUPLICATE RECORD",IF(AND($K1091=2,COUNTIFS(nrES_PID,$D1091,nrES_Code,$F1091,nrES_Att,1)=0),"ATTEMPT 2 WITHOUT ATTEMPT 1",IF(AND($K1091=2,$L1091=""),"RETEST ROW HAS NO SCORE",IF(AND($H1091="Final",$L1091&lt;&gt;"",IFERROR(INDEX(nrCKfinalExamElig,MATCH($D1091,rngCadetPIDs,0)),"")="No"),"FINAL EXAM AFTER FAILED FINAL PT (500.1.H)","OK")))))))</f>
        <v/>
      </c>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IF($C1092="","",IF($K1092="","",IF(COUNTIFS(nrES_PID,$D1092,nrES_Code,$F1092,nrES_Att,"&gt;"&amp;$K1092,nrES_Raw,"&gt;=0")=0,"Yes","No")))</f>
        <v/>
      </c>
      <c r="Q1092" s="17">
        <f>IF($C1092="","",IF($L1092="","",IF(AND($K1092=1,ISNUMBER($L1092),$L1092&lt;$J1092,COUNTIFS(nrES_PID,$D1092,nrES_Code,$F1092,nrES_Att,2,nrES_Raw,"&gt;=0")=0),"Yes","No")))</f>
        <v/>
      </c>
      <c r="R1092" s="17">
        <f>IF($C1092="","",IF($L1092="","",IF(AND($K1092=2,ISNUMBER($L1092),$L1092&lt;$J1092),"Yes","No")))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OR($C1092="",$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RANGE",IF(COUNTIF(nrES_RecID,$B1092)&gt;1,"DUPLICATE RECORD",IF(AND($K1092=2,COUNTIFS(nrES_PID,$D1092,nrES_Code,$F1092,nrES_Att,1)=0),"ATTEMPT 2 WITHOUT ATTEMPT 1",IF(AND($K1092=2,$L1092=""),"RETEST ROW HAS NO SCORE",IF(AND($H1092="Final",$L1092&lt;&gt;"",IFERROR(INDEX(nrCKfinalExamElig,MATCH($D1092,rngCadetPIDs,0)),"")="No"),"FINAL EXAM AFTER FAILED FINAL PT (500.1.H)","OK")))))))</f>
        <v/>
      </c>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IF($C1093="","",IF($K1093="","",IF(COUNTIFS(nrES_PID,$D1093,nrES_Code,$F1093,nrES_Att,"&gt;"&amp;$K1093,nrES_Raw,"&gt;=0")=0,"Yes","No")))</f>
        <v/>
      </c>
      <c r="Q1093" s="17">
        <f>IF($C1093="","",IF($L1093="","",IF(AND($K1093=1,ISNUMBER($L1093),$L1093&lt;$J1093,COUNTIFS(nrES_PID,$D1093,nrES_Code,$F1093,nrES_Att,2,nrES_Raw,"&gt;=0")=0),"Yes","No")))</f>
        <v/>
      </c>
      <c r="R1093" s="17">
        <f>IF($C1093="","",IF($L1093="","",IF(AND($K1093=2,ISNUMBER($L1093),$L1093&lt;$J1093),"Yes","No")))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OR($C1093="",$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RANGE",IF(COUNTIF(nrES_RecID,$B1093)&gt;1,"DUPLICATE RECORD",IF(AND($K1093=2,COUNTIFS(nrES_PID,$D1093,nrES_Code,$F1093,nrES_Att,1)=0),"ATTEMPT 2 WITHOUT ATTEMPT 1",IF(AND($K1093=2,$L1093=""),"RETEST ROW HAS NO SCORE",IF(AND($H1093="Final",$L1093&lt;&gt;"",IFERROR(INDEX(nrCKfinalExamElig,MATCH($D1093,rngCadetPIDs,0)),"")="No"),"FINAL EXAM AFTER FAILED FINAL PT (500.1.H)","OK")))))))</f>
        <v/>
      </c>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IF($C1094="","",IF($K1094="","",IF(COUNTIFS(nrES_PID,$D1094,nrES_Code,$F1094,nrES_Att,"&gt;"&amp;$K1094,nrES_Raw,"&gt;=0")=0,"Yes","No")))</f>
        <v/>
      </c>
      <c r="Q1094" s="17">
        <f>IF($C1094="","",IF($L1094="","",IF(AND($K1094=1,ISNUMBER($L1094),$L1094&lt;$J1094,COUNTIFS(nrES_PID,$D1094,nrES_Code,$F1094,nrES_Att,2,nrES_Raw,"&gt;=0")=0),"Yes","No")))</f>
        <v/>
      </c>
      <c r="R1094" s="17">
        <f>IF($C1094="","",IF($L1094="","",IF(AND($K1094=2,ISNUMBER($L1094),$L1094&lt;$J1094),"Yes","No")))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OR($C1094="",$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RANGE",IF(COUNTIF(nrES_RecID,$B1094)&gt;1,"DUPLICATE RECORD",IF(AND($K1094=2,COUNTIFS(nrES_PID,$D1094,nrES_Code,$F1094,nrES_Att,1)=0),"ATTEMPT 2 WITHOUT ATTEMPT 1",IF(AND($K1094=2,$L1094=""),"RETEST ROW HAS NO SCORE",IF(AND($H1094="Final",$L1094&lt;&gt;"",IFERROR(INDEX(nrCKfinalExamElig,MATCH($D1094,rngCadetPIDs,0)),"")="No"),"FINAL EXAM AFTER FAILED FINAL PT (500.1.H)","OK")))))))</f>
        <v/>
      </c>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IF($C1095="","",IF($K1095="","",IF(COUNTIFS(nrES_PID,$D1095,nrES_Code,$F1095,nrES_Att,"&gt;"&amp;$K1095,nrES_Raw,"&gt;=0")=0,"Yes","No")))</f>
        <v/>
      </c>
      <c r="Q1095" s="17">
        <f>IF($C1095="","",IF($L1095="","",IF(AND($K1095=1,ISNUMBER($L1095),$L1095&lt;$J1095,COUNTIFS(nrES_PID,$D1095,nrES_Code,$F1095,nrES_Att,2,nrES_Raw,"&gt;=0")=0),"Yes","No")))</f>
        <v/>
      </c>
      <c r="R1095" s="17">
        <f>IF($C1095="","",IF($L1095="","",IF(AND($K1095=2,ISNUMBER($L1095),$L1095&lt;$J1095),"Yes","No")))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OR($C1095="",$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RANGE",IF(COUNTIF(nrES_RecID,$B1095)&gt;1,"DUPLICATE RECORD",IF(AND($K1095=2,COUNTIFS(nrES_PID,$D1095,nrES_Code,$F1095,nrES_Att,1)=0),"ATTEMPT 2 WITHOUT ATTEMPT 1",IF(AND($K1095=2,$L1095=""),"RETEST ROW HAS NO SCORE",IF(AND($H1095="Final",$L1095&lt;&gt;"",IFERROR(INDEX(nrCKfinalExamElig,MATCH($D1095,rngCadetPIDs,0)),"")="No"),"FINAL EXAM AFTER FAILED FINAL PT (500.1.H)","OK")))))))</f>
        <v/>
      </c>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IF($C1096="","",IF($K1096="","",IF(COUNTIFS(nrES_PID,$D1096,nrES_Code,$F1096,nrES_Att,"&gt;"&amp;$K1096,nrES_Raw,"&gt;=0")=0,"Yes","No")))</f>
        <v/>
      </c>
      <c r="Q1096" s="17">
        <f>IF($C1096="","",IF($L1096="","",IF(AND($K1096=1,ISNUMBER($L1096),$L1096&lt;$J1096,COUNTIFS(nrES_PID,$D1096,nrES_Code,$F1096,nrES_Att,2,nrES_Raw,"&gt;=0")=0),"Yes","No")))</f>
        <v/>
      </c>
      <c r="R1096" s="17">
        <f>IF($C1096="","",IF($L1096="","",IF(AND($K1096=2,ISNUMBER($L1096),$L1096&lt;$J1096),"Yes","No")))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OR($C1096="",$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RANGE",IF(COUNTIF(nrES_RecID,$B1096)&gt;1,"DUPLICATE RECORD",IF(AND($K1096=2,COUNTIFS(nrES_PID,$D1096,nrES_Code,$F1096,nrES_Att,1)=0),"ATTEMPT 2 WITHOUT ATTEMPT 1",IF(AND($K1096=2,$L1096=""),"RETEST ROW HAS NO SCORE",IF(AND($H1096="Final",$L1096&lt;&gt;"",IFERROR(INDEX(nrCKfinalExamElig,MATCH($D1096,rngCadetPIDs,0)),"")="No"),"FINAL EXAM AFTER FAILED FINAL PT (500.1.H)","OK")))))))</f>
        <v/>
      </c>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IF($C1097="","",IF($K1097="","",IF(COUNTIFS(nrES_PID,$D1097,nrES_Code,$F1097,nrES_Att,"&gt;"&amp;$K1097,nrES_Raw,"&gt;=0")=0,"Yes","No")))</f>
        <v/>
      </c>
      <c r="Q1097" s="17">
        <f>IF($C1097="","",IF($L1097="","",IF(AND($K1097=1,ISNUMBER($L1097),$L1097&lt;$J1097,COUNTIFS(nrES_PID,$D1097,nrES_Code,$F1097,nrES_Att,2,nrES_Raw,"&gt;=0")=0),"Yes","No")))</f>
        <v/>
      </c>
      <c r="R1097" s="17">
        <f>IF($C1097="","",IF($L1097="","",IF(AND($K1097=2,ISNUMBER($L1097),$L1097&lt;$J1097),"Yes","No")))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OR($C1097="",$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RANGE",IF(COUNTIF(nrES_RecID,$B1097)&gt;1,"DUPLICATE RECORD",IF(AND($K1097=2,COUNTIFS(nrES_PID,$D1097,nrES_Code,$F1097,nrES_Att,1)=0),"ATTEMPT 2 WITHOUT ATTEMPT 1",IF(AND($K1097=2,$L1097=""),"RETEST ROW HAS NO SCORE",IF(AND($H1097="Final",$L1097&lt;&gt;"",IFERROR(INDEX(nrCKfinalExamElig,MATCH($D1097,rngCadetPIDs,0)),"")="No"),"FINAL EXAM AFTER FAILED FINAL PT (500.1.H)","OK")))))))</f>
        <v/>
      </c>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IF($C1098="","",IF($K1098="","",IF(COUNTIFS(nrES_PID,$D1098,nrES_Code,$F1098,nrES_Att,"&gt;"&amp;$K1098,nrES_Raw,"&gt;=0")=0,"Yes","No")))</f>
        <v/>
      </c>
      <c r="Q1098" s="17">
        <f>IF($C1098="","",IF($L1098="","",IF(AND($K1098=1,ISNUMBER($L1098),$L1098&lt;$J1098,COUNTIFS(nrES_PID,$D1098,nrES_Code,$F1098,nrES_Att,2,nrES_Raw,"&gt;=0")=0),"Yes","No")))</f>
        <v/>
      </c>
      <c r="R1098" s="17">
        <f>IF($C1098="","",IF($L1098="","",IF(AND($K1098=2,ISNUMBER($L1098),$L1098&lt;$J1098),"Yes","No")))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OR($C1098="",$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RANGE",IF(COUNTIF(nrES_RecID,$B1098)&gt;1,"DUPLICATE RECORD",IF(AND($K1098=2,COUNTIFS(nrES_PID,$D1098,nrES_Code,$F1098,nrES_Att,1)=0),"ATTEMPT 2 WITHOUT ATTEMPT 1",IF(AND($K1098=2,$L1098=""),"RETEST ROW HAS NO SCORE",IF(AND($H1098="Final",$L1098&lt;&gt;"",IFERROR(INDEX(nrCKfinalExamElig,MATCH($D1098,rngCadetPIDs,0)),"")="No"),"FINAL EXAM AFTER FAILED FINAL PT (500.1.H)","OK")))))))</f>
        <v/>
      </c>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IF($C1099="","",IF($K1099="","",IF(COUNTIFS(nrES_PID,$D1099,nrES_Code,$F1099,nrES_Att,"&gt;"&amp;$K1099,nrES_Raw,"&gt;=0")=0,"Yes","No")))</f>
        <v/>
      </c>
      <c r="Q1099" s="17">
        <f>IF($C1099="","",IF($L1099="","",IF(AND($K1099=1,ISNUMBER($L1099),$L1099&lt;$J1099,COUNTIFS(nrES_PID,$D1099,nrES_Code,$F1099,nrES_Att,2,nrES_Raw,"&gt;=0")=0),"Yes","No")))</f>
        <v/>
      </c>
      <c r="R1099" s="17">
        <f>IF($C1099="","",IF($L1099="","",IF(AND($K1099=2,ISNUMBER($L1099),$L1099&lt;$J1099),"Yes","No")))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OR($C1099="",$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RANGE",IF(COUNTIF(nrES_RecID,$B1099)&gt;1,"DUPLICATE RECORD",IF(AND($K1099=2,COUNTIFS(nrES_PID,$D1099,nrES_Code,$F1099,nrES_Att,1)=0),"ATTEMPT 2 WITHOUT ATTEMPT 1",IF(AND($K1099=2,$L1099=""),"RETEST ROW HAS NO SCORE",IF(AND($H1099="Final",$L1099&lt;&gt;"",IFERROR(INDEX(nrCKfinalExamElig,MATCH($D1099,rngCadetPIDs,0)),"")="No"),"FINAL EXAM AFTER FAILED FINAL PT (500.1.H)","OK")))))))</f>
        <v/>
      </c>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IF($C1100="","",IF($K1100="","",IF(COUNTIFS(nrES_PID,$D1100,nrES_Code,$F1100,nrES_Att,"&gt;"&amp;$K1100,nrES_Raw,"&gt;=0")=0,"Yes","No")))</f>
        <v/>
      </c>
      <c r="Q1100" s="17">
        <f>IF($C1100="","",IF($L1100="","",IF(AND($K1100=1,ISNUMBER($L1100),$L1100&lt;$J1100,COUNTIFS(nrES_PID,$D1100,nrES_Code,$F1100,nrES_Att,2,nrES_Raw,"&gt;=0")=0),"Yes","No")))</f>
        <v/>
      </c>
      <c r="R1100" s="17">
        <f>IF($C1100="","",IF($L1100="","",IF(AND($K1100=2,ISNUMBER($L1100),$L1100&lt;$J1100),"Yes","No")))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OR($C1100="",$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RANGE",IF(COUNTIF(nrES_RecID,$B1100)&gt;1,"DUPLICATE RECORD",IF(AND($K1100=2,COUNTIFS(nrES_PID,$D1100,nrES_Code,$F1100,nrES_Att,1)=0),"ATTEMPT 2 WITHOUT ATTEMPT 1",IF(AND($K1100=2,$L1100=""),"RETEST ROW HAS NO SCORE",IF(AND($H1100="Final",$L1100&lt;&gt;"",IFERROR(INDEX(nrCKfinalExamElig,MATCH($D1100,rngCadetPIDs,0)),"")="No"),"FINAL EXAM AFTER FAILED FINAL PT (500.1.H)","OK")))))))</f>
        <v/>
      </c>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IF($C1101="","",IF($K1101="","",IF(COUNTIFS(nrES_PID,$D1101,nrES_Code,$F1101,nrES_Att,"&gt;"&amp;$K1101,nrES_Raw,"&gt;=0")=0,"Yes","No")))</f>
        <v/>
      </c>
      <c r="Q1101" s="17">
        <f>IF($C1101="","",IF($L1101="","",IF(AND($K1101=1,ISNUMBER($L1101),$L1101&lt;$J1101,COUNTIFS(nrES_PID,$D1101,nrES_Code,$F1101,nrES_Att,2,nrES_Raw,"&gt;=0")=0),"Yes","No")))</f>
        <v/>
      </c>
      <c r="R1101" s="17">
        <f>IF($C1101="","",IF($L1101="","",IF(AND($K1101=2,ISNUMBER($L1101),$L1101&lt;$J1101),"Yes","No")))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OR($C1101="",$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RANGE",IF(COUNTIF(nrES_RecID,$B1101)&gt;1,"DUPLICATE RECORD",IF(AND($K1101=2,COUNTIFS(nrES_PID,$D1101,nrES_Code,$F1101,nrES_Att,1)=0),"ATTEMPT 2 WITHOUT ATTEMPT 1",IF(AND($K1101=2,$L1101=""),"RETEST ROW HAS NO SCORE",IF(AND($H1101="Final",$L1101&lt;&gt;"",IFERROR(INDEX(nrCKfinalExamElig,MATCH($D1101,rngCadetPIDs,0)),"")="No"),"FINAL EXAM AFTER FAILED FINAL PT (500.1.H)","OK")))))))</f>
        <v/>
      </c>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IF($C1102="","",IF($K1102="","",IF(COUNTIFS(nrES_PID,$D1102,nrES_Code,$F1102,nrES_Att,"&gt;"&amp;$K1102,nrES_Raw,"&gt;=0")=0,"Yes","No")))</f>
        <v/>
      </c>
      <c r="Q1102" s="17">
        <f>IF($C1102="","",IF($L1102="","",IF(AND($K1102=1,ISNUMBER($L1102),$L1102&lt;$J1102,COUNTIFS(nrES_PID,$D1102,nrES_Code,$F1102,nrES_Att,2,nrES_Raw,"&gt;=0")=0),"Yes","No")))</f>
        <v/>
      </c>
      <c r="R1102" s="17">
        <f>IF($C1102="","",IF($L1102="","",IF(AND($K1102=2,ISNUMBER($L1102),$L1102&lt;$J1102),"Yes","No")))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OR($C1102="",$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RANGE",IF(COUNTIF(nrES_RecID,$B1102)&gt;1,"DUPLICATE RECORD",IF(AND($K1102=2,COUNTIFS(nrES_PID,$D1102,nrES_Code,$F1102,nrES_Att,1)=0),"ATTEMPT 2 WITHOUT ATTEMPT 1",IF(AND($K1102=2,$L1102=""),"RETEST ROW HAS NO SCORE",IF(AND($H1102="Final",$L1102&lt;&gt;"",IFERROR(INDEX(nrCKfinalExamElig,MATCH($D1102,rngCadetPIDs,0)),"")="No"),"FINAL EXAM AFTER FAILED FINAL PT (500.1.H)","OK")))))))</f>
        <v/>
      </c>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IF($C1103="","",IF($K1103="","",IF(COUNTIFS(nrES_PID,$D1103,nrES_Code,$F1103,nrES_Att,"&gt;"&amp;$K1103,nrES_Raw,"&gt;=0")=0,"Yes","No")))</f>
        <v/>
      </c>
      <c r="Q1103" s="17">
        <f>IF($C1103="","",IF($L1103="","",IF(AND($K1103=1,ISNUMBER($L1103),$L1103&lt;$J1103,COUNTIFS(nrES_PID,$D1103,nrES_Code,$F1103,nrES_Att,2,nrES_Raw,"&gt;=0")=0),"Yes","No")))</f>
        <v/>
      </c>
      <c r="R1103" s="17">
        <f>IF($C1103="","",IF($L1103="","",IF(AND($K1103=2,ISNUMBER($L1103),$L1103&lt;$J1103),"Yes","No")))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OR($C1103="",$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RANGE",IF(COUNTIF(nrES_RecID,$B1103)&gt;1,"DUPLICATE RECORD",IF(AND($K1103=2,COUNTIFS(nrES_PID,$D1103,nrES_Code,$F1103,nrES_Att,1)=0),"ATTEMPT 2 WITHOUT ATTEMPT 1",IF(AND($K1103=2,$L1103=""),"RETEST ROW HAS NO SCORE",IF(AND($H1103="Final",$L1103&lt;&gt;"",IFERROR(INDEX(nrCKfinalExamElig,MATCH($D1103,rngCadetPIDs,0)),"")="No"),"FINAL EXAM AFTER FAILED FINAL PT (500.1.H)","OK")))))))</f>
        <v/>
      </c>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IF($C1104="","",IF($K1104="","",IF(COUNTIFS(nrES_PID,$D1104,nrES_Code,$F1104,nrES_Att,"&gt;"&amp;$K1104,nrES_Raw,"&gt;=0")=0,"Yes","No")))</f>
        <v/>
      </c>
      <c r="Q1104" s="17">
        <f>IF($C1104="","",IF($L1104="","",IF(AND($K1104=1,ISNUMBER($L1104),$L1104&lt;$J1104,COUNTIFS(nrES_PID,$D1104,nrES_Code,$F1104,nrES_Att,2,nrES_Raw,"&gt;=0")=0),"Yes","No")))</f>
        <v/>
      </c>
      <c r="R1104" s="17">
        <f>IF($C1104="","",IF($L1104="","",IF(AND($K1104=2,ISNUMBER($L1104),$L1104&lt;$J1104),"Yes","No")))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OR($C1104="",$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RANGE",IF(COUNTIF(nrES_RecID,$B1104)&gt;1,"DUPLICATE RECORD",IF(AND($K1104=2,COUNTIFS(nrES_PID,$D1104,nrES_Code,$F1104,nrES_Att,1)=0),"ATTEMPT 2 WITHOUT ATTEMPT 1",IF(AND($K1104=2,$L1104=""),"RETEST ROW HAS NO SCORE",IF(AND($H1104="Final",$L1104&lt;&gt;"",IFERROR(INDEX(nrCKfinalExamElig,MATCH($D1104,rngCadetPIDs,0)),"")="No"),"FINAL EXAM AFTER FAILED FINAL PT (500.1.H)","OK")))))))</f>
        <v/>
      </c>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IF($C1105="","",IF($K1105="","",IF(COUNTIFS(nrES_PID,$D1105,nrES_Code,$F1105,nrES_Att,"&gt;"&amp;$K1105,nrES_Raw,"&gt;=0")=0,"Yes","No")))</f>
        <v/>
      </c>
      <c r="Q1105" s="17">
        <f>IF($C1105="","",IF($L1105="","",IF(AND($K1105=1,ISNUMBER($L1105),$L1105&lt;$J1105,COUNTIFS(nrES_PID,$D1105,nrES_Code,$F1105,nrES_Att,2,nrES_Raw,"&gt;=0")=0),"Yes","No")))</f>
        <v/>
      </c>
      <c r="R1105" s="17">
        <f>IF($C1105="","",IF($L1105="","",IF(AND($K1105=2,ISNUMBER($L1105),$L1105&lt;$J1105),"Yes","No")))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OR($C1105="",$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RANGE",IF(COUNTIF(nrES_RecID,$B1105)&gt;1,"DUPLICATE RECORD",IF(AND($K1105=2,COUNTIFS(nrES_PID,$D1105,nrES_Code,$F1105,nrES_Att,1)=0),"ATTEMPT 2 WITHOUT ATTEMPT 1",IF(AND($K1105=2,$L1105=""),"RETEST ROW HAS NO SCORE",IF(AND($H1105="Final",$L1105&lt;&gt;"",IFERROR(INDEX(nrCKfinalExamElig,MATCH($D1105,rngCadetPIDs,0)),"")="No"),"FINAL EXAM AFTER FAILED FINAL PT (500.1.H)","OK")))))))</f>
        <v/>
      </c>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IF($C1106="","",IF($K1106="","",IF(COUNTIFS(nrES_PID,$D1106,nrES_Code,$F1106,nrES_Att,"&gt;"&amp;$K1106,nrES_Raw,"&gt;=0")=0,"Yes","No")))</f>
        <v/>
      </c>
      <c r="Q1106" s="17">
        <f>IF($C1106="","",IF($L1106="","",IF(AND($K1106=1,ISNUMBER($L1106),$L1106&lt;$J1106,COUNTIFS(nrES_PID,$D1106,nrES_Code,$F1106,nrES_Att,2,nrES_Raw,"&gt;=0")=0),"Yes","No")))</f>
        <v/>
      </c>
      <c r="R1106" s="17">
        <f>IF($C1106="","",IF($L1106="","",IF(AND($K1106=2,ISNUMBER($L1106),$L1106&lt;$J1106),"Yes","No")))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OR($C1106="",$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RANGE",IF(COUNTIF(nrES_RecID,$B1106)&gt;1,"DUPLICATE RECORD",IF(AND($K1106=2,COUNTIFS(nrES_PID,$D1106,nrES_Code,$F1106,nrES_Att,1)=0),"ATTEMPT 2 WITHOUT ATTEMPT 1",IF(AND($K1106=2,$L1106=""),"RETEST ROW HAS NO SCORE",IF(AND($H1106="Final",$L1106&lt;&gt;"",IFERROR(INDEX(nrCKfinalExamElig,MATCH($D1106,rngCadetPIDs,0)),"")="No"),"FINAL EXAM AFTER FAILED FINAL PT (500.1.H)","OK")))))))</f>
        <v/>
      </c>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IF($C1107="","",IF($K1107="","",IF(COUNTIFS(nrES_PID,$D1107,nrES_Code,$F1107,nrES_Att,"&gt;"&amp;$K1107,nrES_Raw,"&gt;=0")=0,"Yes","No")))</f>
        <v/>
      </c>
      <c r="Q1107" s="17">
        <f>IF($C1107="","",IF($L1107="","",IF(AND($K1107=1,ISNUMBER($L1107),$L1107&lt;$J1107,COUNTIFS(nrES_PID,$D1107,nrES_Code,$F1107,nrES_Att,2,nrES_Raw,"&gt;=0")=0),"Yes","No")))</f>
        <v/>
      </c>
      <c r="R1107" s="17">
        <f>IF($C1107="","",IF($L1107="","",IF(AND($K1107=2,ISNUMBER($L1107),$L1107&lt;$J1107),"Yes","No")))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OR($C1107="",$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RANGE",IF(COUNTIF(nrES_RecID,$B1107)&gt;1,"DUPLICATE RECORD",IF(AND($K1107=2,COUNTIFS(nrES_PID,$D1107,nrES_Code,$F1107,nrES_Att,1)=0),"ATTEMPT 2 WITHOUT ATTEMPT 1",IF(AND($K1107=2,$L1107=""),"RETEST ROW HAS NO SCORE",IF(AND($H1107="Final",$L1107&lt;&gt;"",IFERROR(INDEX(nrCKfinalExamElig,MATCH($D1107,rngCadetPIDs,0)),"")="No"),"FINAL EXAM AFTER FAILED FINAL PT (500.1.H)","OK")))))))</f>
        <v/>
      </c>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IF($C1108="","",IF($K1108="","",IF(COUNTIFS(nrES_PID,$D1108,nrES_Code,$F1108,nrES_Att,"&gt;"&amp;$K1108,nrES_Raw,"&gt;=0")=0,"Yes","No")))</f>
        <v/>
      </c>
      <c r="Q1108" s="17">
        <f>IF($C1108="","",IF($L1108="","",IF(AND($K1108=1,ISNUMBER($L1108),$L1108&lt;$J1108,COUNTIFS(nrES_PID,$D1108,nrES_Code,$F1108,nrES_Att,2,nrES_Raw,"&gt;=0")=0),"Yes","No")))</f>
        <v/>
      </c>
      <c r="R1108" s="17">
        <f>IF($C1108="","",IF($L1108="","",IF(AND($K1108=2,ISNUMBER($L1108),$L1108&lt;$J1108),"Yes","No")))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OR($C1108="",$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RANGE",IF(COUNTIF(nrES_RecID,$B1108)&gt;1,"DUPLICATE RECORD",IF(AND($K1108=2,COUNTIFS(nrES_PID,$D1108,nrES_Code,$F1108,nrES_Att,1)=0),"ATTEMPT 2 WITHOUT ATTEMPT 1",IF(AND($K1108=2,$L1108=""),"RETEST ROW HAS NO SCORE",IF(AND($H1108="Final",$L1108&lt;&gt;"",IFERROR(INDEX(nrCKfinalExamElig,MATCH($D1108,rngCadetPIDs,0)),"")="No"),"FINAL EXAM AFTER FAILED FINAL PT (500.1.H)","OK")))))))</f>
        <v/>
      </c>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IF($C1109="","",IF($K1109="","",IF(COUNTIFS(nrES_PID,$D1109,nrES_Code,$F1109,nrES_Att,"&gt;"&amp;$K1109,nrES_Raw,"&gt;=0")=0,"Yes","No")))</f>
        <v/>
      </c>
      <c r="Q1109" s="17">
        <f>IF($C1109="","",IF($L1109="","",IF(AND($K1109=1,ISNUMBER($L1109),$L1109&lt;$J1109,COUNTIFS(nrES_PID,$D1109,nrES_Code,$F1109,nrES_Att,2,nrES_Raw,"&gt;=0")=0),"Yes","No")))</f>
        <v/>
      </c>
      <c r="R1109" s="17">
        <f>IF($C1109="","",IF($L1109="","",IF(AND($K1109=2,ISNUMBER($L1109),$L1109&lt;$J1109),"Yes","No")))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OR($C1109="",$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RANGE",IF(COUNTIF(nrES_RecID,$B1109)&gt;1,"DUPLICATE RECORD",IF(AND($K1109=2,COUNTIFS(nrES_PID,$D1109,nrES_Code,$F1109,nrES_Att,1)=0),"ATTEMPT 2 WITHOUT ATTEMPT 1",IF(AND($K1109=2,$L1109=""),"RETEST ROW HAS NO SCORE",IF(AND($H1109="Final",$L1109&lt;&gt;"",IFERROR(INDEX(nrCKfinalExamElig,MATCH($D1109,rngCadetPIDs,0)),"")="No"),"FINAL EXAM AFTER FAILED FINAL PT (500.1.H)","OK")))))))</f>
        <v/>
      </c>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IF($C1110="","",IF($K1110="","",IF(COUNTIFS(nrES_PID,$D1110,nrES_Code,$F1110,nrES_Att,"&gt;"&amp;$K1110,nrES_Raw,"&gt;=0")=0,"Yes","No")))</f>
        <v/>
      </c>
      <c r="Q1110" s="17">
        <f>IF($C1110="","",IF($L1110="","",IF(AND($K1110=1,ISNUMBER($L1110),$L1110&lt;$J1110,COUNTIFS(nrES_PID,$D1110,nrES_Code,$F1110,nrES_Att,2,nrES_Raw,"&gt;=0")=0),"Yes","No")))</f>
        <v/>
      </c>
      <c r="R1110" s="17">
        <f>IF($C1110="","",IF($L1110="","",IF(AND($K1110=2,ISNUMBER($L1110),$L1110&lt;$J1110),"Yes","No")))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OR($C1110="",$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RANGE",IF(COUNTIF(nrES_RecID,$B1110)&gt;1,"DUPLICATE RECORD",IF(AND($K1110=2,COUNTIFS(nrES_PID,$D1110,nrES_Code,$F1110,nrES_Att,1)=0),"ATTEMPT 2 WITHOUT ATTEMPT 1",IF(AND($K1110=2,$L1110=""),"RETEST ROW HAS NO SCORE",IF(AND($H1110="Final",$L1110&lt;&gt;"",IFERROR(INDEX(nrCKfinalExamElig,MATCH($D1110,rngCadetPIDs,0)),"")="No"),"FINAL EXAM AFTER FAILED FINAL PT (500.1.H)","OK")))))))</f>
        <v/>
      </c>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IF($C1111="","",IF($K1111="","",IF(COUNTIFS(nrES_PID,$D1111,nrES_Code,$F1111,nrES_Att,"&gt;"&amp;$K1111,nrES_Raw,"&gt;=0")=0,"Yes","No")))</f>
        <v/>
      </c>
      <c r="Q1111" s="17">
        <f>IF($C1111="","",IF($L1111="","",IF(AND($K1111=1,ISNUMBER($L1111),$L1111&lt;$J1111,COUNTIFS(nrES_PID,$D1111,nrES_Code,$F1111,nrES_Att,2,nrES_Raw,"&gt;=0")=0),"Yes","No")))</f>
        <v/>
      </c>
      <c r="R1111" s="17">
        <f>IF($C1111="","",IF($L1111="","",IF(AND($K1111=2,ISNUMBER($L1111),$L1111&lt;$J1111),"Yes","No")))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OR($C1111="",$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RANGE",IF(COUNTIF(nrES_RecID,$B1111)&gt;1,"DUPLICATE RECORD",IF(AND($K1111=2,COUNTIFS(nrES_PID,$D1111,nrES_Code,$F1111,nrES_Att,1)=0),"ATTEMPT 2 WITHOUT ATTEMPT 1",IF(AND($K1111=2,$L1111=""),"RETEST ROW HAS NO SCORE",IF(AND($H1111="Final",$L1111&lt;&gt;"",IFERROR(INDEX(nrCKfinalExamElig,MATCH($D1111,rngCadetPIDs,0)),"")="No"),"FINAL EXAM AFTER FAILED FINAL PT (500.1.H)","OK")))))))</f>
        <v/>
      </c>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IF($C1112="","",IF($K1112="","",IF(COUNTIFS(nrES_PID,$D1112,nrES_Code,$F1112,nrES_Att,"&gt;"&amp;$K1112,nrES_Raw,"&gt;=0")=0,"Yes","No")))</f>
        <v/>
      </c>
      <c r="Q1112" s="17">
        <f>IF($C1112="","",IF($L1112="","",IF(AND($K1112=1,ISNUMBER($L1112),$L1112&lt;$J1112,COUNTIFS(nrES_PID,$D1112,nrES_Code,$F1112,nrES_Att,2,nrES_Raw,"&gt;=0")=0),"Yes","No")))</f>
        <v/>
      </c>
      <c r="R1112" s="17">
        <f>IF($C1112="","",IF($L1112="","",IF(AND($K1112=2,ISNUMBER($L1112),$L1112&lt;$J1112),"Yes","No")))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OR($C1112="",$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RANGE",IF(COUNTIF(nrES_RecID,$B1112)&gt;1,"DUPLICATE RECORD",IF(AND($K1112=2,COUNTIFS(nrES_PID,$D1112,nrES_Code,$F1112,nrES_Att,1)=0),"ATTEMPT 2 WITHOUT ATTEMPT 1",IF(AND($K1112=2,$L1112=""),"RETEST ROW HAS NO SCORE",IF(AND($H1112="Final",$L1112&lt;&gt;"",IFERROR(INDEX(nrCKfinalExamElig,MATCH($D1112,rngCadetPIDs,0)),"")="No"),"FINAL EXAM AFTER FAILED FINAL PT (500.1.H)","OK")))))))</f>
        <v/>
      </c>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IF($C1113="","",IF($K1113="","",IF(COUNTIFS(nrES_PID,$D1113,nrES_Code,$F1113,nrES_Att,"&gt;"&amp;$K1113,nrES_Raw,"&gt;=0")=0,"Yes","No")))</f>
        <v/>
      </c>
      <c r="Q1113" s="17">
        <f>IF($C1113="","",IF($L1113="","",IF(AND($K1113=1,ISNUMBER($L1113),$L1113&lt;$J1113,COUNTIFS(nrES_PID,$D1113,nrES_Code,$F1113,nrES_Att,2,nrES_Raw,"&gt;=0")=0),"Yes","No")))</f>
        <v/>
      </c>
      <c r="R1113" s="17">
        <f>IF($C1113="","",IF($L1113="","",IF(AND($K1113=2,ISNUMBER($L1113),$L1113&lt;$J1113),"Yes","No")))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OR($C1113="",$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RANGE",IF(COUNTIF(nrES_RecID,$B1113)&gt;1,"DUPLICATE RECORD",IF(AND($K1113=2,COUNTIFS(nrES_PID,$D1113,nrES_Code,$F1113,nrES_Att,1)=0),"ATTEMPT 2 WITHOUT ATTEMPT 1",IF(AND($K1113=2,$L1113=""),"RETEST ROW HAS NO SCORE",IF(AND($H1113="Final",$L1113&lt;&gt;"",IFERROR(INDEX(nrCKfinalExamElig,MATCH($D1113,rngCadetPIDs,0)),"")="No"),"FINAL EXAM AFTER FAILED FINAL PT (500.1.H)","OK")))))))</f>
        <v/>
      </c>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IF($C1114="","",IF($K1114="","",IF(COUNTIFS(nrES_PID,$D1114,nrES_Code,$F1114,nrES_Att,"&gt;"&amp;$K1114,nrES_Raw,"&gt;=0")=0,"Yes","No")))</f>
        <v/>
      </c>
      <c r="Q1114" s="17">
        <f>IF($C1114="","",IF($L1114="","",IF(AND($K1114=1,ISNUMBER($L1114),$L1114&lt;$J1114,COUNTIFS(nrES_PID,$D1114,nrES_Code,$F1114,nrES_Att,2,nrES_Raw,"&gt;=0")=0),"Yes","No")))</f>
        <v/>
      </c>
      <c r="R1114" s="17">
        <f>IF($C1114="","",IF($L1114="","",IF(AND($K1114=2,ISNUMBER($L1114),$L1114&lt;$J1114),"Yes","No")))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OR($C1114="",$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RANGE",IF(COUNTIF(nrES_RecID,$B1114)&gt;1,"DUPLICATE RECORD",IF(AND($K1114=2,COUNTIFS(nrES_PID,$D1114,nrES_Code,$F1114,nrES_Att,1)=0),"ATTEMPT 2 WITHOUT ATTEMPT 1",IF(AND($K1114=2,$L1114=""),"RETEST ROW HAS NO SCORE",IF(AND($H1114="Final",$L1114&lt;&gt;"",IFERROR(INDEX(nrCKfinalExamElig,MATCH($D1114,rngCadetPIDs,0)),"")="No"),"FINAL EXAM AFTER FAILED FINAL PT (500.1.H)","OK")))))))</f>
        <v/>
      </c>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IF($C1115="","",IF($K1115="","",IF(COUNTIFS(nrES_PID,$D1115,nrES_Code,$F1115,nrES_Att,"&gt;"&amp;$K1115,nrES_Raw,"&gt;=0")=0,"Yes","No")))</f>
        <v/>
      </c>
      <c r="Q1115" s="17">
        <f>IF($C1115="","",IF($L1115="","",IF(AND($K1115=1,ISNUMBER($L1115),$L1115&lt;$J1115,COUNTIFS(nrES_PID,$D1115,nrES_Code,$F1115,nrES_Att,2,nrES_Raw,"&gt;=0")=0),"Yes","No")))</f>
        <v/>
      </c>
      <c r="R1115" s="17">
        <f>IF($C1115="","",IF($L1115="","",IF(AND($K1115=2,ISNUMBER($L1115),$L1115&lt;$J1115),"Yes","No")))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OR($C1115="",$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RANGE",IF(COUNTIF(nrES_RecID,$B1115)&gt;1,"DUPLICATE RECORD",IF(AND($K1115=2,COUNTIFS(nrES_PID,$D1115,nrES_Code,$F1115,nrES_Att,1)=0),"ATTEMPT 2 WITHOUT ATTEMPT 1",IF(AND($K1115=2,$L1115=""),"RETEST ROW HAS NO SCORE",IF(AND($H1115="Final",$L1115&lt;&gt;"",IFERROR(INDEX(nrCKfinalExamElig,MATCH($D1115,rngCadetPIDs,0)),"")="No"),"FINAL EXAM AFTER FAILED FINAL PT (500.1.H)","OK")))))))</f>
        <v/>
      </c>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IF($C1116="","",IF($K1116="","",IF(COUNTIFS(nrES_PID,$D1116,nrES_Code,$F1116,nrES_Att,"&gt;"&amp;$K1116,nrES_Raw,"&gt;=0")=0,"Yes","No")))</f>
        <v/>
      </c>
      <c r="Q1116" s="17">
        <f>IF($C1116="","",IF($L1116="","",IF(AND($K1116=1,ISNUMBER($L1116),$L1116&lt;$J1116,COUNTIFS(nrES_PID,$D1116,nrES_Code,$F1116,nrES_Att,2,nrES_Raw,"&gt;=0")=0),"Yes","No")))</f>
        <v/>
      </c>
      <c r="R1116" s="17">
        <f>IF($C1116="","",IF($L1116="","",IF(AND($K1116=2,ISNUMBER($L1116),$L1116&lt;$J1116),"Yes","No")))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OR($C1116="",$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RANGE",IF(COUNTIF(nrES_RecID,$B1116)&gt;1,"DUPLICATE RECORD",IF(AND($K1116=2,COUNTIFS(nrES_PID,$D1116,nrES_Code,$F1116,nrES_Att,1)=0),"ATTEMPT 2 WITHOUT ATTEMPT 1",IF(AND($K1116=2,$L1116=""),"RETEST ROW HAS NO SCORE",IF(AND($H1116="Final",$L1116&lt;&gt;"",IFERROR(INDEX(nrCKfinalExamElig,MATCH($D1116,rngCadetPIDs,0)),"")="No"),"FINAL EXAM AFTER FAILED FINAL PT (500.1.H)","OK")))))))</f>
        <v/>
      </c>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IF($C1117="","",IF($K1117="","",IF(COUNTIFS(nrES_PID,$D1117,nrES_Code,$F1117,nrES_Att,"&gt;"&amp;$K1117,nrES_Raw,"&gt;=0")=0,"Yes","No")))</f>
        <v/>
      </c>
      <c r="Q1117" s="17">
        <f>IF($C1117="","",IF($L1117="","",IF(AND($K1117=1,ISNUMBER($L1117),$L1117&lt;$J1117,COUNTIFS(nrES_PID,$D1117,nrES_Code,$F1117,nrES_Att,2,nrES_Raw,"&gt;=0")=0),"Yes","No")))</f>
        <v/>
      </c>
      <c r="R1117" s="17">
        <f>IF($C1117="","",IF($L1117="","",IF(AND($K1117=2,ISNUMBER($L1117),$L1117&lt;$J1117),"Yes","No")))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OR($C1117="",$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RANGE",IF(COUNTIF(nrES_RecID,$B1117)&gt;1,"DUPLICATE RECORD",IF(AND($K1117=2,COUNTIFS(nrES_PID,$D1117,nrES_Code,$F1117,nrES_Att,1)=0),"ATTEMPT 2 WITHOUT ATTEMPT 1",IF(AND($K1117=2,$L1117=""),"RETEST ROW HAS NO SCORE",IF(AND($H1117="Final",$L1117&lt;&gt;"",IFERROR(INDEX(nrCKfinalExamElig,MATCH($D1117,rngCadetPIDs,0)),"")="No"),"FINAL EXAM AFTER FAILED FINAL PT (500.1.H)","OK")))))))</f>
        <v/>
      </c>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IF($C1118="","",IF($K1118="","",IF(COUNTIFS(nrES_PID,$D1118,nrES_Code,$F1118,nrES_Att,"&gt;"&amp;$K1118,nrES_Raw,"&gt;=0")=0,"Yes","No")))</f>
        <v/>
      </c>
      <c r="Q1118" s="17">
        <f>IF($C1118="","",IF($L1118="","",IF(AND($K1118=1,ISNUMBER($L1118),$L1118&lt;$J1118,COUNTIFS(nrES_PID,$D1118,nrES_Code,$F1118,nrES_Att,2,nrES_Raw,"&gt;=0")=0),"Yes","No")))</f>
        <v/>
      </c>
      <c r="R1118" s="17">
        <f>IF($C1118="","",IF($L1118="","",IF(AND($K1118=2,ISNUMBER($L1118),$L1118&lt;$J1118),"Yes","No")))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OR($C1118="",$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RANGE",IF(COUNTIF(nrES_RecID,$B1118)&gt;1,"DUPLICATE RECORD",IF(AND($K1118=2,COUNTIFS(nrES_PID,$D1118,nrES_Code,$F1118,nrES_Att,1)=0),"ATTEMPT 2 WITHOUT ATTEMPT 1",IF(AND($K1118=2,$L1118=""),"RETEST ROW HAS NO SCORE",IF(AND($H1118="Final",$L1118&lt;&gt;"",IFERROR(INDEX(nrCKfinalExamElig,MATCH($D1118,rngCadetPIDs,0)),"")="No"),"FINAL EXAM AFTER FAILED FINAL PT (500.1.H)","OK")))))))</f>
        <v/>
      </c>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IF($C1119="","",IF($K1119="","",IF(COUNTIFS(nrES_PID,$D1119,nrES_Code,$F1119,nrES_Att,"&gt;"&amp;$K1119,nrES_Raw,"&gt;=0")=0,"Yes","No")))</f>
        <v/>
      </c>
      <c r="Q1119" s="17">
        <f>IF($C1119="","",IF($L1119="","",IF(AND($K1119=1,ISNUMBER($L1119),$L1119&lt;$J1119,COUNTIFS(nrES_PID,$D1119,nrES_Code,$F1119,nrES_Att,2,nrES_Raw,"&gt;=0")=0),"Yes","No")))</f>
        <v/>
      </c>
      <c r="R1119" s="17">
        <f>IF($C1119="","",IF($L1119="","",IF(AND($K1119=2,ISNUMBER($L1119),$L1119&lt;$J1119),"Yes","No")))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OR($C1119="",$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RANGE",IF(COUNTIF(nrES_RecID,$B1119)&gt;1,"DUPLICATE RECORD",IF(AND($K1119=2,COUNTIFS(nrES_PID,$D1119,nrES_Code,$F1119,nrES_Att,1)=0),"ATTEMPT 2 WITHOUT ATTEMPT 1",IF(AND($K1119=2,$L1119=""),"RETEST ROW HAS NO SCORE",IF(AND($H1119="Final",$L1119&lt;&gt;"",IFERROR(INDEX(nrCKfinalExamElig,MATCH($D1119,rngCadetPIDs,0)),"")="No"),"FINAL EXAM AFTER FAILED FINAL PT (500.1.H)","OK")))))))</f>
        <v/>
      </c>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IF($C1120="","",IF($K1120="","",IF(COUNTIFS(nrES_PID,$D1120,nrES_Code,$F1120,nrES_Att,"&gt;"&amp;$K1120,nrES_Raw,"&gt;=0")=0,"Yes","No")))</f>
        <v/>
      </c>
      <c r="Q1120" s="17">
        <f>IF($C1120="","",IF($L1120="","",IF(AND($K1120=1,ISNUMBER($L1120),$L1120&lt;$J1120,COUNTIFS(nrES_PID,$D1120,nrES_Code,$F1120,nrES_Att,2,nrES_Raw,"&gt;=0")=0),"Yes","No")))</f>
        <v/>
      </c>
      <c r="R1120" s="17">
        <f>IF($C1120="","",IF($L1120="","",IF(AND($K1120=2,ISNUMBER($L1120),$L1120&lt;$J1120),"Yes","No")))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OR($C1120="",$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RANGE",IF(COUNTIF(nrES_RecID,$B1120)&gt;1,"DUPLICATE RECORD",IF(AND($K1120=2,COUNTIFS(nrES_PID,$D1120,nrES_Code,$F1120,nrES_Att,1)=0),"ATTEMPT 2 WITHOUT ATTEMPT 1",IF(AND($K1120=2,$L1120=""),"RETEST ROW HAS NO SCORE",IF(AND($H1120="Final",$L1120&lt;&gt;"",IFERROR(INDEX(nrCKfinalExamElig,MATCH($D1120,rngCadetPIDs,0)),"")="No"),"FINAL EXAM AFTER FAILED FINAL PT (500.1.H)","OK")))))))</f>
        <v/>
      </c>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IF($C1121="","",IF($K1121="","",IF(COUNTIFS(nrES_PID,$D1121,nrES_Code,$F1121,nrES_Att,"&gt;"&amp;$K1121,nrES_Raw,"&gt;=0")=0,"Yes","No")))</f>
        <v/>
      </c>
      <c r="Q1121" s="17">
        <f>IF($C1121="","",IF($L1121="","",IF(AND($K1121=1,ISNUMBER($L1121),$L1121&lt;$J1121,COUNTIFS(nrES_PID,$D1121,nrES_Code,$F1121,nrES_Att,2,nrES_Raw,"&gt;=0")=0),"Yes","No")))</f>
        <v/>
      </c>
      <c r="R1121" s="17">
        <f>IF($C1121="","",IF($L1121="","",IF(AND($K1121=2,ISNUMBER($L1121),$L1121&lt;$J1121),"Yes","No")))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OR($C1121="",$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RANGE",IF(COUNTIF(nrES_RecID,$B1121)&gt;1,"DUPLICATE RECORD",IF(AND($K1121=2,COUNTIFS(nrES_PID,$D1121,nrES_Code,$F1121,nrES_Att,1)=0),"ATTEMPT 2 WITHOUT ATTEMPT 1",IF(AND($K1121=2,$L1121=""),"RETEST ROW HAS NO SCORE",IF(AND($H1121="Final",$L1121&lt;&gt;"",IFERROR(INDEX(nrCKfinalExamElig,MATCH($D1121,rngCadetPIDs,0)),"")="No"),"FINAL EXAM AFTER FAILED FINAL PT (500.1.H)","OK")))))))</f>
        <v/>
      </c>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IF($C1122="","",IF($K1122="","",IF(COUNTIFS(nrES_PID,$D1122,nrES_Code,$F1122,nrES_Att,"&gt;"&amp;$K1122,nrES_Raw,"&gt;=0")=0,"Yes","No")))</f>
        <v/>
      </c>
      <c r="Q1122" s="17">
        <f>IF($C1122="","",IF($L1122="","",IF(AND($K1122=1,ISNUMBER($L1122),$L1122&lt;$J1122,COUNTIFS(nrES_PID,$D1122,nrES_Code,$F1122,nrES_Att,2,nrES_Raw,"&gt;=0")=0),"Yes","No")))</f>
        <v/>
      </c>
      <c r="R1122" s="17">
        <f>IF($C1122="","",IF($L1122="","",IF(AND($K1122=2,ISNUMBER($L1122),$L1122&lt;$J1122),"Yes","No")))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OR($C1122="",$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RANGE",IF(COUNTIF(nrES_RecID,$B1122)&gt;1,"DUPLICATE RECORD",IF(AND($K1122=2,COUNTIFS(nrES_PID,$D1122,nrES_Code,$F1122,nrES_Att,1)=0),"ATTEMPT 2 WITHOUT ATTEMPT 1",IF(AND($K1122=2,$L1122=""),"RETEST ROW HAS NO SCORE",IF(AND($H1122="Final",$L1122&lt;&gt;"",IFERROR(INDEX(nrCKfinalExamElig,MATCH($D1122,rngCadetPIDs,0)),"")="No"),"FINAL EXAM AFTER FAILED FINAL PT (500.1.H)","OK")))))))</f>
        <v/>
      </c>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IF($C1123="","",IF($K1123="","",IF(COUNTIFS(nrES_PID,$D1123,nrES_Code,$F1123,nrES_Att,"&gt;"&amp;$K1123,nrES_Raw,"&gt;=0")=0,"Yes","No")))</f>
        <v/>
      </c>
      <c r="Q1123" s="17">
        <f>IF($C1123="","",IF($L1123="","",IF(AND($K1123=1,ISNUMBER($L1123),$L1123&lt;$J1123,COUNTIFS(nrES_PID,$D1123,nrES_Code,$F1123,nrES_Att,2,nrES_Raw,"&gt;=0")=0),"Yes","No")))</f>
        <v/>
      </c>
      <c r="R1123" s="17">
        <f>IF($C1123="","",IF($L1123="","",IF(AND($K1123=2,ISNUMBER($L1123),$L1123&lt;$J1123),"Yes","No")))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OR($C1123="",$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RANGE",IF(COUNTIF(nrES_RecID,$B1123)&gt;1,"DUPLICATE RECORD",IF(AND($K1123=2,COUNTIFS(nrES_PID,$D1123,nrES_Code,$F1123,nrES_Att,1)=0),"ATTEMPT 2 WITHOUT ATTEMPT 1",IF(AND($K1123=2,$L1123=""),"RETEST ROW HAS NO SCORE",IF(AND($H1123="Final",$L1123&lt;&gt;"",IFERROR(INDEX(nrCKfinalExamElig,MATCH($D1123,rngCadetPIDs,0)),"")="No"),"FINAL EXAM AFTER FAILED FINAL PT (500.1.H)","OK")))))))</f>
        <v/>
      </c>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IF($C1124="","",IF($K1124="","",IF(COUNTIFS(nrES_PID,$D1124,nrES_Code,$F1124,nrES_Att,"&gt;"&amp;$K1124,nrES_Raw,"&gt;=0")=0,"Yes","No")))</f>
        <v/>
      </c>
      <c r="Q1124" s="17">
        <f>IF($C1124="","",IF($L1124="","",IF(AND($K1124=1,ISNUMBER($L1124),$L1124&lt;$J1124,COUNTIFS(nrES_PID,$D1124,nrES_Code,$F1124,nrES_Att,2,nrES_Raw,"&gt;=0")=0),"Yes","No")))</f>
        <v/>
      </c>
      <c r="R1124" s="17">
        <f>IF($C1124="","",IF($L1124="","",IF(AND($K1124=2,ISNUMBER($L1124),$L1124&lt;$J1124),"Yes","No")))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OR($C1124="",$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RANGE",IF(COUNTIF(nrES_RecID,$B1124)&gt;1,"DUPLICATE RECORD",IF(AND($K1124=2,COUNTIFS(nrES_PID,$D1124,nrES_Code,$F1124,nrES_Att,1)=0),"ATTEMPT 2 WITHOUT ATTEMPT 1",IF(AND($K1124=2,$L1124=""),"RETEST ROW HAS NO SCORE",IF(AND($H1124="Final",$L1124&lt;&gt;"",IFERROR(INDEX(nrCKfinalExamElig,MATCH($D1124,rngCadetPIDs,0)),"")="No"),"FINAL EXAM AFTER FAILED FINAL PT (500.1.H)","OK")))))))</f>
        <v/>
      </c>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IF($C1125="","",IF($K1125="","",IF(COUNTIFS(nrES_PID,$D1125,nrES_Code,$F1125,nrES_Att,"&gt;"&amp;$K1125,nrES_Raw,"&gt;=0")=0,"Yes","No")))</f>
        <v/>
      </c>
      <c r="Q1125" s="17">
        <f>IF($C1125="","",IF($L1125="","",IF(AND($K1125=1,ISNUMBER($L1125),$L1125&lt;$J1125,COUNTIFS(nrES_PID,$D1125,nrES_Code,$F1125,nrES_Att,2,nrES_Raw,"&gt;=0")=0),"Yes","No")))</f>
        <v/>
      </c>
      <c r="R1125" s="17">
        <f>IF($C1125="","",IF($L1125="","",IF(AND($K1125=2,ISNUMBER($L1125),$L1125&lt;$J1125),"Yes","No")))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OR($C1125="",$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RANGE",IF(COUNTIF(nrES_RecID,$B1125)&gt;1,"DUPLICATE RECORD",IF(AND($K1125=2,COUNTIFS(nrES_PID,$D1125,nrES_Code,$F1125,nrES_Att,1)=0),"ATTEMPT 2 WITHOUT ATTEMPT 1",IF(AND($K1125=2,$L1125=""),"RETEST ROW HAS NO SCORE",IF(AND($H1125="Final",$L1125&lt;&gt;"",IFERROR(INDEX(nrCKfinalExamElig,MATCH($D1125,rngCadetPIDs,0)),"")="No"),"FINAL EXAM AFTER FAILED FINAL PT (500.1.H)","OK")))))))</f>
        <v/>
      </c>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IF($C1126="","",IF($K1126="","",IF(COUNTIFS(nrES_PID,$D1126,nrES_Code,$F1126,nrES_Att,"&gt;"&amp;$K1126,nrES_Raw,"&gt;=0")=0,"Yes","No")))</f>
        <v/>
      </c>
      <c r="Q1126" s="17">
        <f>IF($C1126="","",IF($L1126="","",IF(AND($K1126=1,ISNUMBER($L1126),$L1126&lt;$J1126,COUNTIFS(nrES_PID,$D1126,nrES_Code,$F1126,nrES_Att,2,nrES_Raw,"&gt;=0")=0),"Yes","No")))</f>
        <v/>
      </c>
      <c r="R1126" s="17">
        <f>IF($C1126="","",IF($L1126="","",IF(AND($K1126=2,ISNUMBER($L1126),$L1126&lt;$J1126),"Yes","No")))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OR($C1126="",$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RANGE",IF(COUNTIF(nrES_RecID,$B1126)&gt;1,"DUPLICATE RECORD",IF(AND($K1126=2,COUNTIFS(nrES_PID,$D1126,nrES_Code,$F1126,nrES_Att,1)=0),"ATTEMPT 2 WITHOUT ATTEMPT 1",IF(AND($K1126=2,$L1126=""),"RETEST ROW HAS NO SCORE",IF(AND($H1126="Final",$L1126&lt;&gt;"",IFERROR(INDEX(nrCKfinalExamElig,MATCH($D1126,rngCadetPIDs,0)),"")="No"),"FINAL EXAM AFTER FAILED FINAL PT (500.1.H)","OK")))))))</f>
        <v/>
      </c>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IF($C1127="","",IF($K1127="","",IF(COUNTIFS(nrES_PID,$D1127,nrES_Code,$F1127,nrES_Att,"&gt;"&amp;$K1127,nrES_Raw,"&gt;=0")=0,"Yes","No")))</f>
        <v/>
      </c>
      <c r="Q1127" s="17">
        <f>IF($C1127="","",IF($L1127="","",IF(AND($K1127=1,ISNUMBER($L1127),$L1127&lt;$J1127,COUNTIFS(nrES_PID,$D1127,nrES_Code,$F1127,nrES_Att,2,nrES_Raw,"&gt;=0")=0),"Yes","No")))</f>
        <v/>
      </c>
      <c r="R1127" s="17">
        <f>IF($C1127="","",IF($L1127="","",IF(AND($K1127=2,ISNUMBER($L1127),$L1127&lt;$J1127),"Yes","No")))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OR($C1127="",$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RANGE",IF(COUNTIF(nrES_RecID,$B1127)&gt;1,"DUPLICATE RECORD",IF(AND($K1127=2,COUNTIFS(nrES_PID,$D1127,nrES_Code,$F1127,nrES_Att,1)=0),"ATTEMPT 2 WITHOUT ATTEMPT 1",IF(AND($K1127=2,$L1127=""),"RETEST ROW HAS NO SCORE",IF(AND($H1127="Final",$L1127&lt;&gt;"",IFERROR(INDEX(nrCKfinalExamElig,MATCH($D1127,rngCadetPIDs,0)),"")="No"),"FINAL EXAM AFTER FAILED FINAL PT (500.1.H)","OK")))))))</f>
        <v/>
      </c>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IF($C1128="","",IF($K1128="","",IF(COUNTIFS(nrES_PID,$D1128,nrES_Code,$F1128,nrES_Att,"&gt;"&amp;$K1128,nrES_Raw,"&gt;=0")=0,"Yes","No")))</f>
        <v/>
      </c>
      <c r="Q1128" s="17">
        <f>IF($C1128="","",IF($L1128="","",IF(AND($K1128=1,ISNUMBER($L1128),$L1128&lt;$J1128,COUNTIFS(nrES_PID,$D1128,nrES_Code,$F1128,nrES_Att,2,nrES_Raw,"&gt;=0")=0),"Yes","No")))</f>
        <v/>
      </c>
      <c r="R1128" s="17">
        <f>IF($C1128="","",IF($L1128="","",IF(AND($K1128=2,ISNUMBER($L1128),$L1128&lt;$J1128),"Yes","No")))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OR($C1128="",$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RANGE",IF(COUNTIF(nrES_RecID,$B1128)&gt;1,"DUPLICATE RECORD",IF(AND($K1128=2,COUNTIFS(nrES_PID,$D1128,nrES_Code,$F1128,nrES_Att,1)=0),"ATTEMPT 2 WITHOUT ATTEMPT 1",IF(AND($K1128=2,$L1128=""),"RETEST ROW HAS NO SCORE",IF(AND($H1128="Final",$L1128&lt;&gt;"",IFERROR(INDEX(nrCKfinalExamElig,MATCH($D1128,rngCadetPIDs,0)),"")="No"),"FINAL EXAM AFTER FAILED FINAL PT (500.1.H)","OK")))))))</f>
        <v/>
      </c>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IF($C1129="","",IF($K1129="","",IF(COUNTIFS(nrES_PID,$D1129,nrES_Code,$F1129,nrES_Att,"&gt;"&amp;$K1129,nrES_Raw,"&gt;=0")=0,"Yes","No")))</f>
        <v/>
      </c>
      <c r="Q1129" s="17">
        <f>IF($C1129="","",IF($L1129="","",IF(AND($K1129=1,ISNUMBER($L1129),$L1129&lt;$J1129,COUNTIFS(nrES_PID,$D1129,nrES_Code,$F1129,nrES_Att,2,nrES_Raw,"&gt;=0")=0),"Yes","No")))</f>
        <v/>
      </c>
      <c r="R1129" s="17">
        <f>IF($C1129="","",IF($L1129="","",IF(AND($K1129=2,ISNUMBER($L1129),$L1129&lt;$J1129),"Yes","No")))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OR($C1129="",$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RANGE",IF(COUNTIF(nrES_RecID,$B1129)&gt;1,"DUPLICATE RECORD",IF(AND($K1129=2,COUNTIFS(nrES_PID,$D1129,nrES_Code,$F1129,nrES_Att,1)=0),"ATTEMPT 2 WITHOUT ATTEMPT 1",IF(AND($K1129=2,$L1129=""),"RETEST ROW HAS NO SCORE",IF(AND($H1129="Final",$L1129&lt;&gt;"",IFERROR(INDEX(nrCKfinalExamElig,MATCH($D1129,rngCadetPIDs,0)),"")="No"),"FINAL EXAM AFTER FAILED FINAL PT (500.1.H)","OK")))))))</f>
        <v/>
      </c>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IF($C1130="","",IF($K1130="","",IF(COUNTIFS(nrES_PID,$D1130,nrES_Code,$F1130,nrES_Att,"&gt;"&amp;$K1130,nrES_Raw,"&gt;=0")=0,"Yes","No")))</f>
        <v/>
      </c>
      <c r="Q1130" s="17">
        <f>IF($C1130="","",IF($L1130="","",IF(AND($K1130=1,ISNUMBER($L1130),$L1130&lt;$J1130,COUNTIFS(nrES_PID,$D1130,nrES_Code,$F1130,nrES_Att,2,nrES_Raw,"&gt;=0")=0),"Yes","No")))</f>
        <v/>
      </c>
      <c r="R1130" s="17">
        <f>IF($C1130="","",IF($L1130="","",IF(AND($K1130=2,ISNUMBER($L1130),$L1130&lt;$J1130),"Yes","No")))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OR($C1130="",$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RANGE",IF(COUNTIF(nrES_RecID,$B1130)&gt;1,"DUPLICATE RECORD",IF(AND($K1130=2,COUNTIFS(nrES_PID,$D1130,nrES_Code,$F1130,nrES_Att,1)=0),"ATTEMPT 2 WITHOUT ATTEMPT 1",IF(AND($K1130=2,$L1130=""),"RETEST ROW HAS NO SCORE",IF(AND($H1130="Final",$L1130&lt;&gt;"",IFERROR(INDEX(nrCKfinalExamElig,MATCH($D1130,rngCadetPIDs,0)),"")="No"),"FINAL EXAM AFTER FAILED FINAL PT (500.1.H)","OK")))))))</f>
        <v/>
      </c>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IF($C1131="","",IF($K1131="","",IF(COUNTIFS(nrES_PID,$D1131,nrES_Code,$F1131,nrES_Att,"&gt;"&amp;$K1131,nrES_Raw,"&gt;=0")=0,"Yes","No")))</f>
        <v/>
      </c>
      <c r="Q1131" s="17">
        <f>IF($C1131="","",IF($L1131="","",IF(AND($K1131=1,ISNUMBER($L1131),$L1131&lt;$J1131,COUNTIFS(nrES_PID,$D1131,nrES_Code,$F1131,nrES_Att,2,nrES_Raw,"&gt;=0")=0),"Yes","No")))</f>
        <v/>
      </c>
      <c r="R1131" s="17">
        <f>IF($C1131="","",IF($L1131="","",IF(AND($K1131=2,ISNUMBER($L1131),$L1131&lt;$J1131),"Yes","No")))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OR($C1131="",$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RANGE",IF(COUNTIF(nrES_RecID,$B1131)&gt;1,"DUPLICATE RECORD",IF(AND($K1131=2,COUNTIFS(nrES_PID,$D1131,nrES_Code,$F1131,nrES_Att,1)=0),"ATTEMPT 2 WITHOUT ATTEMPT 1",IF(AND($K1131=2,$L1131=""),"RETEST ROW HAS NO SCORE",IF(AND($H1131="Final",$L1131&lt;&gt;"",IFERROR(INDEX(nrCKfinalExamElig,MATCH($D1131,rngCadetPIDs,0)),"")="No"),"FINAL EXAM AFTER FAILED FINAL PT (500.1.H)","OK")))))))</f>
        <v/>
      </c>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IF($C1132="","",IF($K1132="","",IF(COUNTIFS(nrES_PID,$D1132,nrES_Code,$F1132,nrES_Att,"&gt;"&amp;$K1132,nrES_Raw,"&gt;=0")=0,"Yes","No")))</f>
        <v/>
      </c>
      <c r="Q1132" s="17">
        <f>IF($C1132="","",IF($L1132="","",IF(AND($K1132=1,ISNUMBER($L1132),$L1132&lt;$J1132,COUNTIFS(nrES_PID,$D1132,nrES_Code,$F1132,nrES_Att,2,nrES_Raw,"&gt;=0")=0),"Yes","No")))</f>
        <v/>
      </c>
      <c r="R1132" s="17">
        <f>IF($C1132="","",IF($L1132="","",IF(AND($K1132=2,ISNUMBER($L1132),$L1132&lt;$J1132),"Yes","No")))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OR($C1132="",$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RANGE",IF(COUNTIF(nrES_RecID,$B1132)&gt;1,"DUPLICATE RECORD",IF(AND($K1132=2,COUNTIFS(nrES_PID,$D1132,nrES_Code,$F1132,nrES_Att,1)=0),"ATTEMPT 2 WITHOUT ATTEMPT 1",IF(AND($K1132=2,$L1132=""),"RETEST ROW HAS NO SCORE",IF(AND($H1132="Final",$L1132&lt;&gt;"",IFERROR(INDEX(nrCKfinalExamElig,MATCH($D1132,rngCadetPIDs,0)),"")="No"),"FINAL EXAM AFTER FAILED FINAL PT (500.1.H)","OK")))))))</f>
        <v/>
      </c>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IF($C1133="","",IF($K1133="","",IF(COUNTIFS(nrES_PID,$D1133,nrES_Code,$F1133,nrES_Att,"&gt;"&amp;$K1133,nrES_Raw,"&gt;=0")=0,"Yes","No")))</f>
        <v/>
      </c>
      <c r="Q1133" s="17">
        <f>IF($C1133="","",IF($L1133="","",IF(AND($K1133=1,ISNUMBER($L1133),$L1133&lt;$J1133,COUNTIFS(nrES_PID,$D1133,nrES_Code,$F1133,nrES_Att,2,nrES_Raw,"&gt;=0")=0),"Yes","No")))</f>
        <v/>
      </c>
      <c r="R1133" s="17">
        <f>IF($C1133="","",IF($L1133="","",IF(AND($K1133=2,ISNUMBER($L1133),$L1133&lt;$J1133),"Yes","No")))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OR($C1133="",$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RANGE",IF(COUNTIF(nrES_RecID,$B1133)&gt;1,"DUPLICATE RECORD",IF(AND($K1133=2,COUNTIFS(nrES_PID,$D1133,nrES_Code,$F1133,nrES_Att,1)=0),"ATTEMPT 2 WITHOUT ATTEMPT 1",IF(AND($K1133=2,$L1133=""),"RETEST ROW HAS NO SCORE",IF(AND($H1133="Final",$L1133&lt;&gt;"",IFERROR(INDEX(nrCKfinalExamElig,MATCH($D1133,rngCadetPIDs,0)),"")="No"),"FINAL EXAM AFTER FAILED FINAL PT (500.1.H)","OK")))))))</f>
        <v/>
      </c>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IF($C1134="","",IF($K1134="","",IF(COUNTIFS(nrES_PID,$D1134,nrES_Code,$F1134,nrES_Att,"&gt;"&amp;$K1134,nrES_Raw,"&gt;=0")=0,"Yes","No")))</f>
        <v/>
      </c>
      <c r="Q1134" s="17">
        <f>IF($C1134="","",IF($L1134="","",IF(AND($K1134=1,ISNUMBER($L1134),$L1134&lt;$J1134,COUNTIFS(nrES_PID,$D1134,nrES_Code,$F1134,nrES_Att,2,nrES_Raw,"&gt;=0")=0),"Yes","No")))</f>
        <v/>
      </c>
      <c r="R1134" s="17">
        <f>IF($C1134="","",IF($L1134="","",IF(AND($K1134=2,ISNUMBER($L1134),$L1134&lt;$J1134),"Yes","No")))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OR($C1134="",$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RANGE",IF(COUNTIF(nrES_RecID,$B1134)&gt;1,"DUPLICATE RECORD",IF(AND($K1134=2,COUNTIFS(nrES_PID,$D1134,nrES_Code,$F1134,nrES_Att,1)=0),"ATTEMPT 2 WITHOUT ATTEMPT 1",IF(AND($K1134=2,$L1134=""),"RETEST ROW HAS NO SCORE",IF(AND($H1134="Final",$L1134&lt;&gt;"",IFERROR(INDEX(nrCKfinalExamElig,MATCH($D1134,rngCadetPIDs,0)),"")="No"),"FINAL EXAM AFTER FAILED FINAL PT (500.1.H)","OK")))))))</f>
        <v/>
      </c>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IF($C1135="","",IF($K1135="","",IF(COUNTIFS(nrES_PID,$D1135,nrES_Code,$F1135,nrES_Att,"&gt;"&amp;$K1135,nrES_Raw,"&gt;=0")=0,"Yes","No")))</f>
        <v/>
      </c>
      <c r="Q1135" s="17">
        <f>IF($C1135="","",IF($L1135="","",IF(AND($K1135=1,ISNUMBER($L1135),$L1135&lt;$J1135,COUNTIFS(nrES_PID,$D1135,nrES_Code,$F1135,nrES_Att,2,nrES_Raw,"&gt;=0")=0),"Yes","No")))</f>
        <v/>
      </c>
      <c r="R1135" s="17">
        <f>IF($C1135="","",IF($L1135="","",IF(AND($K1135=2,ISNUMBER($L1135),$L1135&lt;$J1135),"Yes","No")))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OR($C1135="",$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RANGE",IF(COUNTIF(nrES_RecID,$B1135)&gt;1,"DUPLICATE RECORD",IF(AND($K1135=2,COUNTIFS(nrES_PID,$D1135,nrES_Code,$F1135,nrES_Att,1)=0),"ATTEMPT 2 WITHOUT ATTEMPT 1",IF(AND($K1135=2,$L1135=""),"RETEST ROW HAS NO SCORE",IF(AND($H1135="Final",$L1135&lt;&gt;"",IFERROR(INDEX(nrCKfinalExamElig,MATCH($D1135,rngCadetPIDs,0)),"")="No"),"FINAL EXAM AFTER FAILED FINAL PT (500.1.H)","OK")))))))</f>
        <v/>
      </c>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IF($C1136="","",IF($K1136="","",IF(COUNTIFS(nrES_PID,$D1136,nrES_Code,$F1136,nrES_Att,"&gt;"&amp;$K1136,nrES_Raw,"&gt;=0")=0,"Yes","No")))</f>
        <v/>
      </c>
      <c r="Q1136" s="17">
        <f>IF($C1136="","",IF($L1136="","",IF(AND($K1136=1,ISNUMBER($L1136),$L1136&lt;$J1136,COUNTIFS(nrES_PID,$D1136,nrES_Code,$F1136,nrES_Att,2,nrES_Raw,"&gt;=0")=0),"Yes","No")))</f>
        <v/>
      </c>
      <c r="R1136" s="17">
        <f>IF($C1136="","",IF($L1136="","",IF(AND($K1136=2,ISNUMBER($L1136),$L1136&lt;$J1136),"Yes","No")))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OR($C1136="",$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RANGE",IF(COUNTIF(nrES_RecID,$B1136)&gt;1,"DUPLICATE RECORD",IF(AND($K1136=2,COUNTIFS(nrES_PID,$D1136,nrES_Code,$F1136,nrES_Att,1)=0),"ATTEMPT 2 WITHOUT ATTEMPT 1",IF(AND($K1136=2,$L1136=""),"RETEST ROW HAS NO SCORE",IF(AND($H1136="Final",$L1136&lt;&gt;"",IFERROR(INDEX(nrCKfinalExamElig,MATCH($D1136,rngCadetPIDs,0)),"")="No"),"FINAL EXAM AFTER FAILED FINAL PT (500.1.H)","OK")))))))</f>
        <v/>
      </c>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IF($C1137="","",IF($K1137="","",IF(COUNTIFS(nrES_PID,$D1137,nrES_Code,$F1137,nrES_Att,"&gt;"&amp;$K1137,nrES_Raw,"&gt;=0")=0,"Yes","No")))</f>
        <v/>
      </c>
      <c r="Q1137" s="17">
        <f>IF($C1137="","",IF($L1137="","",IF(AND($K1137=1,ISNUMBER($L1137),$L1137&lt;$J1137,COUNTIFS(nrES_PID,$D1137,nrES_Code,$F1137,nrES_Att,2,nrES_Raw,"&gt;=0")=0),"Yes","No")))</f>
        <v/>
      </c>
      <c r="R1137" s="17">
        <f>IF($C1137="","",IF($L1137="","",IF(AND($K1137=2,ISNUMBER($L1137),$L1137&lt;$J1137),"Yes","No")))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OR($C1137="",$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RANGE",IF(COUNTIF(nrES_RecID,$B1137)&gt;1,"DUPLICATE RECORD",IF(AND($K1137=2,COUNTIFS(nrES_PID,$D1137,nrES_Code,$F1137,nrES_Att,1)=0),"ATTEMPT 2 WITHOUT ATTEMPT 1",IF(AND($K1137=2,$L1137=""),"RETEST ROW HAS NO SCORE",IF(AND($H1137="Final",$L1137&lt;&gt;"",IFERROR(INDEX(nrCKfinalExamElig,MATCH($D1137,rngCadetPIDs,0)),"")="No"),"FINAL EXAM AFTER FAILED FINAL PT (500.1.H)","OK")))))))</f>
        <v/>
      </c>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IF($C1138="","",IF($K1138="","",IF(COUNTIFS(nrES_PID,$D1138,nrES_Code,$F1138,nrES_Att,"&gt;"&amp;$K1138,nrES_Raw,"&gt;=0")=0,"Yes","No")))</f>
        <v/>
      </c>
      <c r="Q1138" s="17">
        <f>IF($C1138="","",IF($L1138="","",IF(AND($K1138=1,ISNUMBER($L1138),$L1138&lt;$J1138,COUNTIFS(nrES_PID,$D1138,nrES_Code,$F1138,nrES_Att,2,nrES_Raw,"&gt;=0")=0),"Yes","No")))</f>
        <v/>
      </c>
      <c r="R1138" s="17">
        <f>IF($C1138="","",IF($L1138="","",IF(AND($K1138=2,ISNUMBER($L1138),$L1138&lt;$J1138),"Yes","No")))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OR($C1138="",$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RANGE",IF(COUNTIF(nrES_RecID,$B1138)&gt;1,"DUPLICATE RECORD",IF(AND($K1138=2,COUNTIFS(nrES_PID,$D1138,nrES_Code,$F1138,nrES_Att,1)=0),"ATTEMPT 2 WITHOUT ATTEMPT 1",IF(AND($K1138=2,$L1138=""),"RETEST ROW HAS NO SCORE",IF(AND($H1138="Final",$L1138&lt;&gt;"",IFERROR(INDEX(nrCKfinalExamElig,MATCH($D1138,rngCadetPIDs,0)),"")="No"),"FINAL EXAM AFTER FAILED FINAL PT (500.1.H)","OK")))))))</f>
        <v/>
      </c>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IF($C1139="","",IF($K1139="","",IF(COUNTIFS(nrES_PID,$D1139,nrES_Code,$F1139,nrES_Att,"&gt;"&amp;$K1139,nrES_Raw,"&gt;=0")=0,"Yes","No")))</f>
        <v/>
      </c>
      <c r="Q1139" s="17">
        <f>IF($C1139="","",IF($L1139="","",IF(AND($K1139=1,ISNUMBER($L1139),$L1139&lt;$J1139,COUNTIFS(nrES_PID,$D1139,nrES_Code,$F1139,nrES_Att,2,nrES_Raw,"&gt;=0")=0),"Yes","No")))</f>
        <v/>
      </c>
      <c r="R1139" s="17">
        <f>IF($C1139="","",IF($L1139="","",IF(AND($K1139=2,ISNUMBER($L1139),$L1139&lt;$J1139),"Yes","No")))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OR($C1139="",$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RANGE",IF(COUNTIF(nrES_RecID,$B1139)&gt;1,"DUPLICATE RECORD",IF(AND($K1139=2,COUNTIFS(nrES_PID,$D1139,nrES_Code,$F1139,nrES_Att,1)=0),"ATTEMPT 2 WITHOUT ATTEMPT 1",IF(AND($K1139=2,$L1139=""),"RETEST ROW HAS NO SCORE",IF(AND($H1139="Final",$L1139&lt;&gt;"",IFERROR(INDEX(nrCKfinalExamElig,MATCH($D1139,rngCadetPIDs,0)),"")="No"),"FINAL EXAM AFTER FAILED FINAL PT (500.1.H)","OK")))))))</f>
        <v/>
      </c>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IF($C1140="","",IF($K1140="","",IF(COUNTIFS(nrES_PID,$D1140,nrES_Code,$F1140,nrES_Att,"&gt;"&amp;$K1140,nrES_Raw,"&gt;=0")=0,"Yes","No")))</f>
        <v/>
      </c>
      <c r="Q1140" s="17">
        <f>IF($C1140="","",IF($L1140="","",IF(AND($K1140=1,ISNUMBER($L1140),$L1140&lt;$J1140,COUNTIFS(nrES_PID,$D1140,nrES_Code,$F1140,nrES_Att,2,nrES_Raw,"&gt;=0")=0),"Yes","No")))</f>
        <v/>
      </c>
      <c r="R1140" s="17">
        <f>IF($C1140="","",IF($L1140="","",IF(AND($K1140=2,ISNUMBER($L1140),$L1140&lt;$J1140),"Yes","No")))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OR($C1140="",$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RANGE",IF(COUNTIF(nrES_RecID,$B1140)&gt;1,"DUPLICATE RECORD",IF(AND($K1140=2,COUNTIFS(nrES_PID,$D1140,nrES_Code,$F1140,nrES_Att,1)=0),"ATTEMPT 2 WITHOUT ATTEMPT 1",IF(AND($K1140=2,$L1140=""),"RETEST ROW HAS NO SCORE",IF(AND($H1140="Final",$L1140&lt;&gt;"",IFERROR(INDEX(nrCKfinalExamElig,MATCH($D1140,rngCadetPIDs,0)),"")="No"),"FINAL EXAM AFTER FAILED FINAL PT (500.1.H)","OK")))))))</f>
        <v/>
      </c>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IF($C1141="","",IF($K1141="","",IF(COUNTIFS(nrES_PID,$D1141,nrES_Code,$F1141,nrES_Att,"&gt;"&amp;$K1141,nrES_Raw,"&gt;=0")=0,"Yes","No")))</f>
        <v/>
      </c>
      <c r="Q1141" s="17">
        <f>IF($C1141="","",IF($L1141="","",IF(AND($K1141=1,ISNUMBER($L1141),$L1141&lt;$J1141,COUNTIFS(nrES_PID,$D1141,nrES_Code,$F1141,nrES_Att,2,nrES_Raw,"&gt;=0")=0),"Yes","No")))</f>
        <v/>
      </c>
      <c r="R1141" s="17">
        <f>IF($C1141="","",IF($L1141="","",IF(AND($K1141=2,ISNUMBER($L1141),$L1141&lt;$J1141),"Yes","No")))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OR($C1141="",$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RANGE",IF(COUNTIF(nrES_RecID,$B1141)&gt;1,"DUPLICATE RECORD",IF(AND($K1141=2,COUNTIFS(nrES_PID,$D1141,nrES_Code,$F1141,nrES_Att,1)=0),"ATTEMPT 2 WITHOUT ATTEMPT 1",IF(AND($K1141=2,$L1141=""),"RETEST ROW HAS NO SCORE",IF(AND($H1141="Final",$L1141&lt;&gt;"",IFERROR(INDEX(nrCKfinalExamElig,MATCH($D1141,rngCadetPIDs,0)),"")="No"),"FINAL EXAM AFTER FAILED FINAL PT (500.1.H)","OK")))))))</f>
        <v/>
      </c>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IF($C1142="","",IF($K1142="","",IF(COUNTIFS(nrES_PID,$D1142,nrES_Code,$F1142,nrES_Att,"&gt;"&amp;$K1142,nrES_Raw,"&gt;=0")=0,"Yes","No")))</f>
        <v/>
      </c>
      <c r="Q1142" s="17">
        <f>IF($C1142="","",IF($L1142="","",IF(AND($K1142=1,ISNUMBER($L1142),$L1142&lt;$J1142,COUNTIFS(nrES_PID,$D1142,nrES_Code,$F1142,nrES_Att,2,nrES_Raw,"&gt;=0")=0),"Yes","No")))</f>
        <v/>
      </c>
      <c r="R1142" s="17">
        <f>IF($C1142="","",IF($L1142="","",IF(AND($K1142=2,ISNUMBER($L1142),$L1142&lt;$J1142),"Yes","No")))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OR($C1142="",$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RANGE",IF(COUNTIF(nrES_RecID,$B1142)&gt;1,"DUPLICATE RECORD",IF(AND($K1142=2,COUNTIFS(nrES_PID,$D1142,nrES_Code,$F1142,nrES_Att,1)=0),"ATTEMPT 2 WITHOUT ATTEMPT 1",IF(AND($K1142=2,$L1142=""),"RETEST ROW HAS NO SCORE",IF(AND($H1142="Final",$L1142&lt;&gt;"",IFERROR(INDEX(nrCKfinalExamElig,MATCH($D1142,rngCadetPIDs,0)),"")="No"),"FINAL EXAM AFTER FAILED FINAL PT (500.1.H)","OK")))))))</f>
        <v/>
      </c>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IF($C1143="","",IF($K1143="","",IF(COUNTIFS(nrES_PID,$D1143,nrES_Code,$F1143,nrES_Att,"&gt;"&amp;$K1143,nrES_Raw,"&gt;=0")=0,"Yes","No")))</f>
        <v/>
      </c>
      <c r="Q1143" s="17">
        <f>IF($C1143="","",IF($L1143="","",IF(AND($K1143=1,ISNUMBER($L1143),$L1143&lt;$J1143,COUNTIFS(nrES_PID,$D1143,nrES_Code,$F1143,nrES_Att,2,nrES_Raw,"&gt;=0")=0),"Yes","No")))</f>
        <v/>
      </c>
      <c r="R1143" s="17">
        <f>IF($C1143="","",IF($L1143="","",IF(AND($K1143=2,ISNUMBER($L1143),$L1143&lt;$J1143),"Yes","No")))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OR($C1143="",$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RANGE",IF(COUNTIF(nrES_RecID,$B1143)&gt;1,"DUPLICATE RECORD",IF(AND($K1143=2,COUNTIFS(nrES_PID,$D1143,nrES_Code,$F1143,nrES_Att,1)=0),"ATTEMPT 2 WITHOUT ATTEMPT 1",IF(AND($K1143=2,$L1143=""),"RETEST ROW HAS NO SCORE",IF(AND($H1143="Final",$L1143&lt;&gt;"",IFERROR(INDEX(nrCKfinalExamElig,MATCH($D1143,rngCadetPIDs,0)),"")="No"),"FINAL EXAM AFTER FAILED FINAL PT (500.1.H)","OK")))))))</f>
        <v/>
      </c>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IF($C1144="","",IF($K1144="","",IF(COUNTIFS(nrES_PID,$D1144,nrES_Code,$F1144,nrES_Att,"&gt;"&amp;$K1144,nrES_Raw,"&gt;=0")=0,"Yes","No")))</f>
        <v/>
      </c>
      <c r="Q1144" s="17">
        <f>IF($C1144="","",IF($L1144="","",IF(AND($K1144=1,ISNUMBER($L1144),$L1144&lt;$J1144,COUNTIFS(nrES_PID,$D1144,nrES_Code,$F1144,nrES_Att,2,nrES_Raw,"&gt;=0")=0),"Yes","No")))</f>
        <v/>
      </c>
      <c r="R1144" s="17">
        <f>IF($C1144="","",IF($L1144="","",IF(AND($K1144=2,ISNUMBER($L1144),$L1144&lt;$J1144),"Yes","No")))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OR($C1144="",$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RANGE",IF(COUNTIF(nrES_RecID,$B1144)&gt;1,"DUPLICATE RECORD",IF(AND($K1144=2,COUNTIFS(nrES_PID,$D1144,nrES_Code,$F1144,nrES_Att,1)=0),"ATTEMPT 2 WITHOUT ATTEMPT 1",IF(AND($K1144=2,$L1144=""),"RETEST ROW HAS NO SCORE",IF(AND($H1144="Final",$L1144&lt;&gt;"",IFERROR(INDEX(nrCKfinalExamElig,MATCH($D1144,rngCadetPIDs,0)),"")="No"),"FINAL EXAM AFTER FAILED FINAL PT (500.1.H)","OK")))))))</f>
        <v/>
      </c>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IF($C1145="","",IF($K1145="","",IF(COUNTIFS(nrES_PID,$D1145,nrES_Code,$F1145,nrES_Att,"&gt;"&amp;$K1145,nrES_Raw,"&gt;=0")=0,"Yes","No")))</f>
        <v/>
      </c>
      <c r="Q1145" s="17">
        <f>IF($C1145="","",IF($L1145="","",IF(AND($K1145=1,ISNUMBER($L1145),$L1145&lt;$J1145,COUNTIFS(nrES_PID,$D1145,nrES_Code,$F1145,nrES_Att,2,nrES_Raw,"&gt;=0")=0),"Yes","No")))</f>
        <v/>
      </c>
      <c r="R1145" s="17">
        <f>IF($C1145="","",IF($L1145="","",IF(AND($K1145=2,ISNUMBER($L1145),$L1145&lt;$J1145),"Yes","No")))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OR($C1145="",$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RANGE",IF(COUNTIF(nrES_RecID,$B1145)&gt;1,"DUPLICATE RECORD",IF(AND($K1145=2,COUNTIFS(nrES_PID,$D1145,nrES_Code,$F1145,nrES_Att,1)=0),"ATTEMPT 2 WITHOUT ATTEMPT 1",IF(AND($K1145=2,$L1145=""),"RETEST ROW HAS NO SCORE",IF(AND($H1145="Final",$L1145&lt;&gt;"",IFERROR(INDEX(nrCKfinalExamElig,MATCH($D1145,rngCadetPIDs,0)),"")="No"),"FINAL EXAM AFTER FAILED FINAL PT (500.1.H)","OK")))))))</f>
        <v/>
      </c>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IF($C1146="","",IF($K1146="","",IF(COUNTIFS(nrES_PID,$D1146,nrES_Code,$F1146,nrES_Att,"&gt;"&amp;$K1146,nrES_Raw,"&gt;=0")=0,"Yes","No")))</f>
        <v/>
      </c>
      <c r="Q1146" s="17">
        <f>IF($C1146="","",IF($L1146="","",IF(AND($K1146=1,ISNUMBER($L1146),$L1146&lt;$J1146,COUNTIFS(nrES_PID,$D1146,nrES_Code,$F1146,nrES_Att,2,nrES_Raw,"&gt;=0")=0),"Yes","No")))</f>
        <v/>
      </c>
      <c r="R1146" s="17">
        <f>IF($C1146="","",IF($L1146="","",IF(AND($K1146=2,ISNUMBER($L1146),$L1146&lt;$J1146),"Yes","No")))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OR($C1146="",$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RANGE",IF(COUNTIF(nrES_RecID,$B1146)&gt;1,"DUPLICATE RECORD",IF(AND($K1146=2,COUNTIFS(nrES_PID,$D1146,nrES_Code,$F1146,nrES_Att,1)=0),"ATTEMPT 2 WITHOUT ATTEMPT 1",IF(AND($K1146=2,$L1146=""),"RETEST ROW HAS NO SCORE",IF(AND($H1146="Final",$L1146&lt;&gt;"",IFERROR(INDEX(nrCKfinalExamElig,MATCH($D1146,rngCadetPIDs,0)),"")="No"),"FINAL EXAM AFTER FAILED FINAL PT (500.1.H)","OK")))))))</f>
        <v/>
      </c>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IF($C1147="","",IF($K1147="","",IF(COUNTIFS(nrES_PID,$D1147,nrES_Code,$F1147,nrES_Att,"&gt;"&amp;$K1147,nrES_Raw,"&gt;=0")=0,"Yes","No")))</f>
        <v/>
      </c>
      <c r="Q1147" s="17">
        <f>IF($C1147="","",IF($L1147="","",IF(AND($K1147=1,ISNUMBER($L1147),$L1147&lt;$J1147,COUNTIFS(nrES_PID,$D1147,nrES_Code,$F1147,nrES_Att,2,nrES_Raw,"&gt;=0")=0),"Yes","No")))</f>
        <v/>
      </c>
      <c r="R1147" s="17">
        <f>IF($C1147="","",IF($L1147="","",IF(AND($K1147=2,ISNUMBER($L1147),$L1147&lt;$J1147),"Yes","No")))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OR($C1147="",$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RANGE",IF(COUNTIF(nrES_RecID,$B1147)&gt;1,"DUPLICATE RECORD",IF(AND($K1147=2,COUNTIFS(nrES_PID,$D1147,nrES_Code,$F1147,nrES_Att,1)=0),"ATTEMPT 2 WITHOUT ATTEMPT 1",IF(AND($K1147=2,$L1147=""),"RETEST ROW HAS NO SCORE",IF(AND($H1147="Final",$L1147&lt;&gt;"",IFERROR(INDEX(nrCKfinalExamElig,MATCH($D1147,rngCadetPIDs,0)),"")="No"),"FINAL EXAM AFTER FAILED FINAL PT (500.1.H)","OK")))))))</f>
        <v/>
      </c>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IF($C1148="","",IF($K1148="","",IF(COUNTIFS(nrES_PID,$D1148,nrES_Code,$F1148,nrES_Att,"&gt;"&amp;$K1148,nrES_Raw,"&gt;=0")=0,"Yes","No")))</f>
        <v/>
      </c>
      <c r="Q1148" s="17">
        <f>IF($C1148="","",IF($L1148="","",IF(AND($K1148=1,ISNUMBER($L1148),$L1148&lt;$J1148,COUNTIFS(nrES_PID,$D1148,nrES_Code,$F1148,nrES_Att,2,nrES_Raw,"&gt;=0")=0),"Yes","No")))</f>
        <v/>
      </c>
      <c r="R1148" s="17">
        <f>IF($C1148="","",IF($L1148="","",IF(AND($K1148=2,ISNUMBER($L1148),$L1148&lt;$J1148),"Yes","No")))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OR($C1148="",$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RANGE",IF(COUNTIF(nrES_RecID,$B1148)&gt;1,"DUPLICATE RECORD",IF(AND($K1148=2,COUNTIFS(nrES_PID,$D1148,nrES_Code,$F1148,nrES_Att,1)=0),"ATTEMPT 2 WITHOUT ATTEMPT 1",IF(AND($K1148=2,$L1148=""),"RETEST ROW HAS NO SCORE",IF(AND($H1148="Final",$L1148&lt;&gt;"",IFERROR(INDEX(nrCKfinalExamElig,MATCH($D1148,rngCadetPIDs,0)),"")="No"),"FINAL EXAM AFTER FAILED FINAL PT (500.1.H)","OK")))))))</f>
        <v/>
      </c>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IF($C1149="","",IF($K1149="","",IF(COUNTIFS(nrES_PID,$D1149,nrES_Code,$F1149,nrES_Att,"&gt;"&amp;$K1149,nrES_Raw,"&gt;=0")=0,"Yes","No")))</f>
        <v/>
      </c>
      <c r="Q1149" s="17">
        <f>IF($C1149="","",IF($L1149="","",IF(AND($K1149=1,ISNUMBER($L1149),$L1149&lt;$J1149,COUNTIFS(nrES_PID,$D1149,nrES_Code,$F1149,nrES_Att,2,nrES_Raw,"&gt;=0")=0),"Yes","No")))</f>
        <v/>
      </c>
      <c r="R1149" s="17">
        <f>IF($C1149="","",IF($L1149="","",IF(AND($K1149=2,ISNUMBER($L1149),$L1149&lt;$J1149),"Yes","No")))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OR($C1149="",$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RANGE",IF(COUNTIF(nrES_RecID,$B1149)&gt;1,"DUPLICATE RECORD",IF(AND($K1149=2,COUNTIFS(nrES_PID,$D1149,nrES_Code,$F1149,nrES_Att,1)=0),"ATTEMPT 2 WITHOUT ATTEMPT 1",IF(AND($K1149=2,$L1149=""),"RETEST ROW HAS NO SCORE",IF(AND($H1149="Final",$L1149&lt;&gt;"",IFERROR(INDEX(nrCKfinalExamElig,MATCH($D1149,rngCadetPIDs,0)),"")="No"),"FINAL EXAM AFTER FAILED FINAL PT (500.1.H)","OK")))))))</f>
        <v/>
      </c>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IF($C1150="","",IF($K1150="","",IF(COUNTIFS(nrES_PID,$D1150,nrES_Code,$F1150,nrES_Att,"&gt;"&amp;$K1150,nrES_Raw,"&gt;=0")=0,"Yes","No")))</f>
        <v/>
      </c>
      <c r="Q1150" s="17">
        <f>IF($C1150="","",IF($L1150="","",IF(AND($K1150=1,ISNUMBER($L1150),$L1150&lt;$J1150,COUNTIFS(nrES_PID,$D1150,nrES_Code,$F1150,nrES_Att,2,nrES_Raw,"&gt;=0")=0),"Yes","No")))</f>
        <v/>
      </c>
      <c r="R1150" s="17">
        <f>IF($C1150="","",IF($L1150="","",IF(AND($K1150=2,ISNUMBER($L1150),$L1150&lt;$J1150),"Yes","No")))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OR($C1150="",$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RANGE",IF(COUNTIF(nrES_RecID,$B1150)&gt;1,"DUPLICATE RECORD",IF(AND($K1150=2,COUNTIFS(nrES_PID,$D1150,nrES_Code,$F1150,nrES_Att,1)=0),"ATTEMPT 2 WITHOUT ATTEMPT 1",IF(AND($K1150=2,$L1150=""),"RETEST ROW HAS NO SCORE",IF(AND($H1150="Final",$L1150&lt;&gt;"",IFERROR(INDEX(nrCKfinalExamElig,MATCH($D1150,rngCadetPIDs,0)),"")="No"),"FINAL EXAM AFTER FAILED FINAL PT (500.1.H)","OK")))))))</f>
        <v/>
      </c>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IF($C1151="","",IF($K1151="","",IF(COUNTIFS(nrES_PID,$D1151,nrES_Code,$F1151,nrES_Att,"&gt;"&amp;$K1151,nrES_Raw,"&gt;=0")=0,"Yes","No")))</f>
        <v/>
      </c>
      <c r="Q1151" s="17">
        <f>IF($C1151="","",IF($L1151="","",IF(AND($K1151=1,ISNUMBER($L1151),$L1151&lt;$J1151,COUNTIFS(nrES_PID,$D1151,nrES_Code,$F1151,nrES_Att,2,nrES_Raw,"&gt;=0")=0),"Yes","No")))</f>
        <v/>
      </c>
      <c r="R1151" s="17">
        <f>IF($C1151="","",IF($L1151="","",IF(AND($K1151=2,ISNUMBER($L1151),$L1151&lt;$J1151),"Yes","No")))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OR($C1151="",$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RANGE",IF(COUNTIF(nrES_RecID,$B1151)&gt;1,"DUPLICATE RECORD",IF(AND($K1151=2,COUNTIFS(nrES_PID,$D1151,nrES_Code,$F1151,nrES_Att,1)=0),"ATTEMPT 2 WITHOUT ATTEMPT 1",IF(AND($K1151=2,$L1151=""),"RETEST ROW HAS NO SCORE",IF(AND($H1151="Final",$L1151&lt;&gt;"",IFERROR(INDEX(nrCKfinalExamElig,MATCH($D1151,rngCadetPIDs,0)),"")="No"),"FINAL EXAM AFTER FAILED FINAL PT (500.1.H)","OK")))))))</f>
        <v/>
      </c>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IF($C1152="","",IF($K1152="","",IF(COUNTIFS(nrES_PID,$D1152,nrES_Code,$F1152,nrES_Att,"&gt;"&amp;$K1152,nrES_Raw,"&gt;=0")=0,"Yes","No")))</f>
        <v/>
      </c>
      <c r="Q1152" s="17">
        <f>IF($C1152="","",IF($L1152="","",IF(AND($K1152=1,ISNUMBER($L1152),$L1152&lt;$J1152,COUNTIFS(nrES_PID,$D1152,nrES_Code,$F1152,nrES_Att,2,nrES_Raw,"&gt;=0")=0),"Yes","No")))</f>
        <v/>
      </c>
      <c r="R1152" s="17">
        <f>IF($C1152="","",IF($L1152="","",IF(AND($K1152=2,ISNUMBER($L1152),$L1152&lt;$J1152),"Yes","No")))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OR($C1152="",$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RANGE",IF(COUNTIF(nrES_RecID,$B1152)&gt;1,"DUPLICATE RECORD",IF(AND($K1152=2,COUNTIFS(nrES_PID,$D1152,nrES_Code,$F1152,nrES_Att,1)=0),"ATTEMPT 2 WITHOUT ATTEMPT 1",IF(AND($K1152=2,$L1152=""),"RETEST ROW HAS NO SCORE",IF(AND($H1152="Final",$L1152&lt;&gt;"",IFERROR(INDEX(nrCKfinalExamElig,MATCH($D1152,rngCadetPIDs,0)),"")="No"),"FINAL EXAM AFTER FAILED FINAL PT (500.1.H)","OK")))))))</f>
        <v/>
      </c>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IF($C1153="","",IF($K1153="","",IF(COUNTIFS(nrES_PID,$D1153,nrES_Code,$F1153,nrES_Att,"&gt;"&amp;$K1153,nrES_Raw,"&gt;=0")=0,"Yes","No")))</f>
        <v/>
      </c>
      <c r="Q1153" s="17">
        <f>IF($C1153="","",IF($L1153="","",IF(AND($K1153=1,ISNUMBER($L1153),$L1153&lt;$J1153,COUNTIFS(nrES_PID,$D1153,nrES_Code,$F1153,nrES_Att,2,nrES_Raw,"&gt;=0")=0),"Yes","No")))</f>
        <v/>
      </c>
      <c r="R1153" s="17">
        <f>IF($C1153="","",IF($L1153="","",IF(AND($K1153=2,ISNUMBER($L1153),$L1153&lt;$J1153),"Yes","No")))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OR($C1153="",$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RANGE",IF(COUNTIF(nrES_RecID,$B1153)&gt;1,"DUPLICATE RECORD",IF(AND($K1153=2,COUNTIFS(nrES_PID,$D1153,nrES_Code,$F1153,nrES_Att,1)=0),"ATTEMPT 2 WITHOUT ATTEMPT 1",IF(AND($K1153=2,$L1153=""),"RETEST ROW HAS NO SCORE",IF(AND($H1153="Final",$L1153&lt;&gt;"",IFERROR(INDEX(nrCKfinalExamElig,MATCH($D1153,rngCadetPIDs,0)),"")="No"),"FINAL EXAM AFTER FAILED FINAL PT (500.1.H)","OK")))))))</f>
        <v/>
      </c>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IF($C1154="","",IF($K1154="","",IF(COUNTIFS(nrES_PID,$D1154,nrES_Code,$F1154,nrES_Att,"&gt;"&amp;$K1154,nrES_Raw,"&gt;=0")=0,"Yes","No")))</f>
        <v/>
      </c>
      <c r="Q1154" s="17">
        <f>IF($C1154="","",IF($L1154="","",IF(AND($K1154=1,ISNUMBER($L1154),$L1154&lt;$J1154,COUNTIFS(nrES_PID,$D1154,nrES_Code,$F1154,nrES_Att,2,nrES_Raw,"&gt;=0")=0),"Yes","No")))</f>
        <v/>
      </c>
      <c r="R1154" s="17">
        <f>IF($C1154="","",IF($L1154="","",IF(AND($K1154=2,ISNUMBER($L1154),$L1154&lt;$J1154),"Yes","No")))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OR($C1154="",$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RANGE",IF(COUNTIF(nrES_RecID,$B1154)&gt;1,"DUPLICATE RECORD",IF(AND($K1154=2,COUNTIFS(nrES_PID,$D1154,nrES_Code,$F1154,nrES_Att,1)=0),"ATTEMPT 2 WITHOUT ATTEMPT 1",IF(AND($K1154=2,$L1154=""),"RETEST ROW HAS NO SCORE",IF(AND($H1154="Final",$L1154&lt;&gt;"",IFERROR(INDEX(nrCKfinalExamElig,MATCH($D1154,rngCadetPIDs,0)),"")="No"),"FINAL EXAM AFTER FAILED FINAL PT (500.1.H)","OK")))))))</f>
        <v/>
      </c>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IF($C1155="","",IF($K1155="","",IF(COUNTIFS(nrES_PID,$D1155,nrES_Code,$F1155,nrES_Att,"&gt;"&amp;$K1155,nrES_Raw,"&gt;=0")=0,"Yes","No")))</f>
        <v/>
      </c>
      <c r="Q1155" s="17">
        <f>IF($C1155="","",IF($L1155="","",IF(AND($K1155=1,ISNUMBER($L1155),$L1155&lt;$J1155,COUNTIFS(nrES_PID,$D1155,nrES_Code,$F1155,nrES_Att,2,nrES_Raw,"&gt;=0")=0),"Yes","No")))</f>
        <v/>
      </c>
      <c r="R1155" s="17">
        <f>IF($C1155="","",IF($L1155="","",IF(AND($K1155=2,ISNUMBER($L1155),$L1155&lt;$J1155),"Yes","No")))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OR($C1155="",$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RANGE",IF(COUNTIF(nrES_RecID,$B1155)&gt;1,"DUPLICATE RECORD",IF(AND($K1155=2,COUNTIFS(nrES_PID,$D1155,nrES_Code,$F1155,nrES_Att,1)=0),"ATTEMPT 2 WITHOUT ATTEMPT 1",IF(AND($K1155=2,$L1155=""),"RETEST ROW HAS NO SCORE",IF(AND($H1155="Final",$L1155&lt;&gt;"",IFERROR(INDEX(nrCKfinalExamElig,MATCH($D1155,rngCadetPIDs,0)),"")="No"),"FINAL EXAM AFTER FAILED FINAL PT (500.1.H)","OK")))))))</f>
        <v/>
      </c>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IF($C1156="","",IF($K1156="","",IF(COUNTIFS(nrES_PID,$D1156,nrES_Code,$F1156,nrES_Att,"&gt;"&amp;$K1156,nrES_Raw,"&gt;=0")=0,"Yes","No")))</f>
        <v/>
      </c>
      <c r="Q1156" s="17">
        <f>IF($C1156="","",IF($L1156="","",IF(AND($K1156=1,ISNUMBER($L1156),$L1156&lt;$J1156,COUNTIFS(nrES_PID,$D1156,nrES_Code,$F1156,nrES_Att,2,nrES_Raw,"&gt;=0")=0),"Yes","No")))</f>
        <v/>
      </c>
      <c r="R1156" s="17">
        <f>IF($C1156="","",IF($L1156="","",IF(AND($K1156=2,ISNUMBER($L1156),$L1156&lt;$J1156),"Yes","No")))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OR($C1156="",$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RANGE",IF(COUNTIF(nrES_RecID,$B1156)&gt;1,"DUPLICATE RECORD",IF(AND($K1156=2,COUNTIFS(nrES_PID,$D1156,nrES_Code,$F1156,nrES_Att,1)=0),"ATTEMPT 2 WITHOUT ATTEMPT 1",IF(AND($K1156=2,$L1156=""),"RETEST ROW HAS NO SCORE",IF(AND($H1156="Final",$L1156&lt;&gt;"",IFERROR(INDEX(nrCKfinalExamElig,MATCH($D1156,rngCadetPIDs,0)),"")="No"),"FINAL EXAM AFTER FAILED FINAL PT (500.1.H)","OK")))))))</f>
        <v/>
      </c>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IF($C1157="","",IF($K1157="","",IF(COUNTIFS(nrES_PID,$D1157,nrES_Code,$F1157,nrES_Att,"&gt;"&amp;$K1157,nrES_Raw,"&gt;=0")=0,"Yes","No")))</f>
        <v/>
      </c>
      <c r="Q1157" s="17">
        <f>IF($C1157="","",IF($L1157="","",IF(AND($K1157=1,ISNUMBER($L1157),$L1157&lt;$J1157,COUNTIFS(nrES_PID,$D1157,nrES_Code,$F1157,nrES_Att,2,nrES_Raw,"&gt;=0")=0),"Yes","No")))</f>
        <v/>
      </c>
      <c r="R1157" s="17">
        <f>IF($C1157="","",IF($L1157="","",IF(AND($K1157=2,ISNUMBER($L1157),$L1157&lt;$J1157),"Yes","No")))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OR($C1157="",$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RANGE",IF(COUNTIF(nrES_RecID,$B1157)&gt;1,"DUPLICATE RECORD",IF(AND($K1157=2,COUNTIFS(nrES_PID,$D1157,nrES_Code,$F1157,nrES_Att,1)=0),"ATTEMPT 2 WITHOUT ATTEMPT 1",IF(AND($K1157=2,$L1157=""),"RETEST ROW HAS NO SCORE",IF(AND($H1157="Final",$L1157&lt;&gt;"",IFERROR(INDEX(nrCKfinalExamElig,MATCH($D1157,rngCadetPIDs,0)),"")="No"),"FINAL EXAM AFTER FAILED FINAL PT (500.1.H)","OK")))))))</f>
        <v/>
      </c>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IF($C1158="","",IF($K1158="","",IF(COUNTIFS(nrES_PID,$D1158,nrES_Code,$F1158,nrES_Att,"&gt;"&amp;$K1158,nrES_Raw,"&gt;=0")=0,"Yes","No")))</f>
        <v/>
      </c>
      <c r="Q1158" s="17">
        <f>IF($C1158="","",IF($L1158="","",IF(AND($K1158=1,ISNUMBER($L1158),$L1158&lt;$J1158,COUNTIFS(nrES_PID,$D1158,nrES_Code,$F1158,nrES_Att,2,nrES_Raw,"&gt;=0")=0),"Yes","No")))</f>
        <v/>
      </c>
      <c r="R1158" s="17">
        <f>IF($C1158="","",IF($L1158="","",IF(AND($K1158=2,ISNUMBER($L1158),$L1158&lt;$J1158),"Yes","No")))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OR($C1158="",$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RANGE",IF(COUNTIF(nrES_RecID,$B1158)&gt;1,"DUPLICATE RECORD",IF(AND($K1158=2,COUNTIFS(nrES_PID,$D1158,nrES_Code,$F1158,nrES_Att,1)=0),"ATTEMPT 2 WITHOUT ATTEMPT 1",IF(AND($K1158=2,$L1158=""),"RETEST ROW HAS NO SCORE",IF(AND($H1158="Final",$L1158&lt;&gt;"",IFERROR(INDEX(nrCKfinalExamElig,MATCH($D1158,rngCadetPIDs,0)),"")="No"),"FINAL EXAM AFTER FAILED FINAL PT (500.1.H)","OK")))))))</f>
        <v/>
      </c>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IF($C1159="","",IF($K1159="","",IF(COUNTIFS(nrES_PID,$D1159,nrES_Code,$F1159,nrES_Att,"&gt;"&amp;$K1159,nrES_Raw,"&gt;=0")=0,"Yes","No")))</f>
        <v/>
      </c>
      <c r="Q1159" s="17">
        <f>IF($C1159="","",IF($L1159="","",IF(AND($K1159=1,ISNUMBER($L1159),$L1159&lt;$J1159,COUNTIFS(nrES_PID,$D1159,nrES_Code,$F1159,nrES_Att,2,nrES_Raw,"&gt;=0")=0),"Yes","No")))</f>
        <v/>
      </c>
      <c r="R1159" s="17">
        <f>IF($C1159="","",IF($L1159="","",IF(AND($K1159=2,ISNUMBER($L1159),$L1159&lt;$J1159),"Yes","No")))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OR($C1159="",$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RANGE",IF(COUNTIF(nrES_RecID,$B1159)&gt;1,"DUPLICATE RECORD",IF(AND($K1159=2,COUNTIFS(nrES_PID,$D1159,nrES_Code,$F1159,nrES_Att,1)=0),"ATTEMPT 2 WITHOUT ATTEMPT 1",IF(AND($K1159=2,$L1159=""),"RETEST ROW HAS NO SCORE",IF(AND($H1159="Final",$L1159&lt;&gt;"",IFERROR(INDEX(nrCKfinalExamElig,MATCH($D1159,rngCadetPIDs,0)),"")="No"),"FINAL EXAM AFTER FAILED FINAL PT (500.1.H)","OK")))))))</f>
        <v/>
      </c>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IF($C1160="","",IF($K1160="","",IF(COUNTIFS(nrES_PID,$D1160,nrES_Code,$F1160,nrES_Att,"&gt;"&amp;$K1160,nrES_Raw,"&gt;=0")=0,"Yes","No")))</f>
        <v/>
      </c>
      <c r="Q1160" s="17">
        <f>IF($C1160="","",IF($L1160="","",IF(AND($K1160=1,ISNUMBER($L1160),$L1160&lt;$J1160,COUNTIFS(nrES_PID,$D1160,nrES_Code,$F1160,nrES_Att,2,nrES_Raw,"&gt;=0")=0),"Yes","No")))</f>
        <v/>
      </c>
      <c r="R1160" s="17">
        <f>IF($C1160="","",IF($L1160="","",IF(AND($K1160=2,ISNUMBER($L1160),$L1160&lt;$J1160),"Yes","No")))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OR($C1160="",$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RANGE",IF(COUNTIF(nrES_RecID,$B1160)&gt;1,"DUPLICATE RECORD",IF(AND($K1160=2,COUNTIFS(nrES_PID,$D1160,nrES_Code,$F1160,nrES_Att,1)=0),"ATTEMPT 2 WITHOUT ATTEMPT 1",IF(AND($K1160=2,$L1160=""),"RETEST ROW HAS NO SCORE",IF(AND($H1160="Final",$L1160&lt;&gt;"",IFERROR(INDEX(nrCKfinalExamElig,MATCH($D1160,rngCadetPIDs,0)),"")="No"),"FINAL EXAM AFTER FAILED FINAL PT (500.1.H)","OK")))))))</f>
        <v/>
      </c>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IF($C1161="","",IF($K1161="","",IF(COUNTIFS(nrES_PID,$D1161,nrES_Code,$F1161,nrES_Att,"&gt;"&amp;$K1161,nrES_Raw,"&gt;=0")=0,"Yes","No")))</f>
        <v/>
      </c>
      <c r="Q1161" s="17">
        <f>IF($C1161="","",IF($L1161="","",IF(AND($K1161=1,ISNUMBER($L1161),$L1161&lt;$J1161,COUNTIFS(nrES_PID,$D1161,nrES_Code,$F1161,nrES_Att,2,nrES_Raw,"&gt;=0")=0),"Yes","No")))</f>
        <v/>
      </c>
      <c r="R1161" s="17">
        <f>IF($C1161="","",IF($L1161="","",IF(AND($K1161=2,ISNUMBER($L1161),$L1161&lt;$J1161),"Yes","No")))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OR($C1161="",$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RANGE",IF(COUNTIF(nrES_RecID,$B1161)&gt;1,"DUPLICATE RECORD",IF(AND($K1161=2,COUNTIFS(nrES_PID,$D1161,nrES_Code,$F1161,nrES_Att,1)=0),"ATTEMPT 2 WITHOUT ATTEMPT 1",IF(AND($K1161=2,$L1161=""),"RETEST ROW HAS NO SCORE",IF(AND($H1161="Final",$L1161&lt;&gt;"",IFERROR(INDEX(nrCKfinalExamElig,MATCH($D1161,rngCadetPIDs,0)),"")="No"),"FINAL EXAM AFTER FAILED FINAL PT (500.1.H)","OK")))))))</f>
        <v/>
      </c>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IF($C1162="","",IF($K1162="","",IF(COUNTIFS(nrES_PID,$D1162,nrES_Code,$F1162,nrES_Att,"&gt;"&amp;$K1162,nrES_Raw,"&gt;=0")=0,"Yes","No")))</f>
        <v/>
      </c>
      <c r="Q1162" s="17">
        <f>IF($C1162="","",IF($L1162="","",IF(AND($K1162=1,ISNUMBER($L1162),$L1162&lt;$J1162,COUNTIFS(nrES_PID,$D1162,nrES_Code,$F1162,nrES_Att,2,nrES_Raw,"&gt;=0")=0),"Yes","No")))</f>
        <v/>
      </c>
      <c r="R1162" s="17">
        <f>IF($C1162="","",IF($L1162="","",IF(AND($K1162=2,ISNUMBER($L1162),$L1162&lt;$J1162),"Yes","No")))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OR($C1162="",$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RANGE",IF(COUNTIF(nrES_RecID,$B1162)&gt;1,"DUPLICATE RECORD",IF(AND($K1162=2,COUNTIFS(nrES_PID,$D1162,nrES_Code,$F1162,nrES_Att,1)=0),"ATTEMPT 2 WITHOUT ATTEMPT 1",IF(AND($K1162=2,$L1162=""),"RETEST ROW HAS NO SCORE",IF(AND($H1162="Final",$L1162&lt;&gt;"",IFERROR(INDEX(nrCKfinalExamElig,MATCH($D1162,rngCadetPIDs,0)),"")="No"),"FINAL EXAM AFTER FAILED FINAL PT (500.1.H)","OK")))))))</f>
        <v/>
      </c>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IF($C1163="","",IF($K1163="","",IF(COUNTIFS(nrES_PID,$D1163,nrES_Code,$F1163,nrES_Att,"&gt;"&amp;$K1163,nrES_Raw,"&gt;=0")=0,"Yes","No")))</f>
        <v/>
      </c>
      <c r="Q1163" s="17">
        <f>IF($C1163="","",IF($L1163="","",IF(AND($K1163=1,ISNUMBER($L1163),$L1163&lt;$J1163,COUNTIFS(nrES_PID,$D1163,nrES_Code,$F1163,nrES_Att,2,nrES_Raw,"&gt;=0")=0),"Yes","No")))</f>
        <v/>
      </c>
      <c r="R1163" s="17">
        <f>IF($C1163="","",IF($L1163="","",IF(AND($K1163=2,ISNUMBER($L1163),$L1163&lt;$J1163),"Yes","No")))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OR($C1163="",$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RANGE",IF(COUNTIF(nrES_RecID,$B1163)&gt;1,"DUPLICATE RECORD",IF(AND($K1163=2,COUNTIFS(nrES_PID,$D1163,nrES_Code,$F1163,nrES_Att,1)=0),"ATTEMPT 2 WITHOUT ATTEMPT 1",IF(AND($K1163=2,$L1163=""),"RETEST ROW HAS NO SCORE",IF(AND($H1163="Final",$L1163&lt;&gt;"",IFERROR(INDEX(nrCKfinalExamElig,MATCH($D1163,rngCadetPIDs,0)),"")="No"),"FINAL EXAM AFTER FAILED FINAL PT (500.1.H)","OK")))))))</f>
        <v/>
      </c>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IF($C1164="","",IF($K1164="","",IF(COUNTIFS(nrES_PID,$D1164,nrES_Code,$F1164,nrES_Att,"&gt;"&amp;$K1164,nrES_Raw,"&gt;=0")=0,"Yes","No")))</f>
        <v/>
      </c>
      <c r="Q1164" s="17">
        <f>IF($C1164="","",IF($L1164="","",IF(AND($K1164=1,ISNUMBER($L1164),$L1164&lt;$J1164,COUNTIFS(nrES_PID,$D1164,nrES_Code,$F1164,nrES_Att,2,nrES_Raw,"&gt;=0")=0),"Yes","No")))</f>
        <v/>
      </c>
      <c r="R1164" s="17">
        <f>IF($C1164="","",IF($L1164="","",IF(AND($K1164=2,ISNUMBER($L1164),$L1164&lt;$J1164),"Yes","No")))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OR($C1164="",$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RANGE",IF(COUNTIF(nrES_RecID,$B1164)&gt;1,"DUPLICATE RECORD",IF(AND($K1164=2,COUNTIFS(nrES_PID,$D1164,nrES_Code,$F1164,nrES_Att,1)=0),"ATTEMPT 2 WITHOUT ATTEMPT 1",IF(AND($K1164=2,$L1164=""),"RETEST ROW HAS NO SCORE",IF(AND($H1164="Final",$L1164&lt;&gt;"",IFERROR(INDEX(nrCKfinalExamElig,MATCH($D1164,rngCadetPIDs,0)),"")="No"),"FINAL EXAM AFTER FAILED FINAL PT (500.1.H)","OK")))))))</f>
        <v/>
      </c>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IF($C1165="","",IF($K1165="","",IF(COUNTIFS(nrES_PID,$D1165,nrES_Code,$F1165,nrES_Att,"&gt;"&amp;$K1165,nrES_Raw,"&gt;=0")=0,"Yes","No")))</f>
        <v/>
      </c>
      <c r="Q1165" s="17">
        <f>IF($C1165="","",IF($L1165="","",IF(AND($K1165=1,ISNUMBER($L1165),$L1165&lt;$J1165,COUNTIFS(nrES_PID,$D1165,nrES_Code,$F1165,nrES_Att,2,nrES_Raw,"&gt;=0")=0),"Yes","No")))</f>
        <v/>
      </c>
      <c r="R1165" s="17">
        <f>IF($C1165="","",IF($L1165="","",IF(AND($K1165=2,ISNUMBER($L1165),$L1165&lt;$J1165),"Yes","No")))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OR($C1165="",$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RANGE",IF(COUNTIF(nrES_RecID,$B1165)&gt;1,"DUPLICATE RECORD",IF(AND($K1165=2,COUNTIFS(nrES_PID,$D1165,nrES_Code,$F1165,nrES_Att,1)=0),"ATTEMPT 2 WITHOUT ATTEMPT 1",IF(AND($K1165=2,$L1165=""),"RETEST ROW HAS NO SCORE",IF(AND($H1165="Final",$L1165&lt;&gt;"",IFERROR(INDEX(nrCKfinalExamElig,MATCH($D1165,rngCadetPIDs,0)),"")="No"),"FINAL EXAM AFTER FAILED FINAL PT (500.1.H)","OK")))))))</f>
        <v/>
      </c>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IF($C1166="","",IF($K1166="","",IF(COUNTIFS(nrES_PID,$D1166,nrES_Code,$F1166,nrES_Att,"&gt;"&amp;$K1166,nrES_Raw,"&gt;=0")=0,"Yes","No")))</f>
        <v/>
      </c>
      <c r="Q1166" s="17">
        <f>IF($C1166="","",IF($L1166="","",IF(AND($K1166=1,ISNUMBER($L1166),$L1166&lt;$J1166,COUNTIFS(nrES_PID,$D1166,nrES_Code,$F1166,nrES_Att,2,nrES_Raw,"&gt;=0")=0),"Yes","No")))</f>
        <v/>
      </c>
      <c r="R1166" s="17">
        <f>IF($C1166="","",IF($L1166="","",IF(AND($K1166=2,ISNUMBER($L1166),$L1166&lt;$J1166),"Yes","No")))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OR($C1166="",$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RANGE",IF(COUNTIF(nrES_RecID,$B1166)&gt;1,"DUPLICATE RECORD",IF(AND($K1166=2,COUNTIFS(nrES_PID,$D1166,nrES_Code,$F1166,nrES_Att,1)=0),"ATTEMPT 2 WITHOUT ATTEMPT 1",IF(AND($K1166=2,$L1166=""),"RETEST ROW HAS NO SCORE",IF(AND($H1166="Final",$L1166&lt;&gt;"",IFERROR(INDEX(nrCKfinalExamElig,MATCH($D1166,rngCadetPIDs,0)),"")="No"),"FINAL EXAM AFTER FAILED FINAL PT (500.1.H)","OK")))))))</f>
        <v/>
      </c>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IF($C1167="","",IF($K1167="","",IF(COUNTIFS(nrES_PID,$D1167,nrES_Code,$F1167,nrES_Att,"&gt;"&amp;$K1167,nrES_Raw,"&gt;=0")=0,"Yes","No")))</f>
        <v/>
      </c>
      <c r="Q1167" s="17">
        <f>IF($C1167="","",IF($L1167="","",IF(AND($K1167=1,ISNUMBER($L1167),$L1167&lt;$J1167,COUNTIFS(nrES_PID,$D1167,nrES_Code,$F1167,nrES_Att,2,nrES_Raw,"&gt;=0")=0),"Yes","No")))</f>
        <v/>
      </c>
      <c r="R1167" s="17">
        <f>IF($C1167="","",IF($L1167="","",IF(AND($K1167=2,ISNUMBER($L1167),$L1167&lt;$J1167),"Yes","No")))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OR($C1167="",$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RANGE",IF(COUNTIF(nrES_RecID,$B1167)&gt;1,"DUPLICATE RECORD",IF(AND($K1167=2,COUNTIFS(nrES_PID,$D1167,nrES_Code,$F1167,nrES_Att,1)=0),"ATTEMPT 2 WITHOUT ATTEMPT 1",IF(AND($K1167=2,$L1167=""),"RETEST ROW HAS NO SCORE",IF(AND($H1167="Final",$L1167&lt;&gt;"",IFERROR(INDEX(nrCKfinalExamElig,MATCH($D1167,rngCadetPIDs,0)),"")="No"),"FINAL EXAM AFTER FAILED FINAL PT (500.1.H)","OK")))))))</f>
        <v/>
      </c>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IF($C1168="","",IF($K1168="","",IF(COUNTIFS(nrES_PID,$D1168,nrES_Code,$F1168,nrES_Att,"&gt;"&amp;$K1168,nrES_Raw,"&gt;=0")=0,"Yes","No")))</f>
        <v/>
      </c>
      <c r="Q1168" s="17">
        <f>IF($C1168="","",IF($L1168="","",IF(AND($K1168=1,ISNUMBER($L1168),$L1168&lt;$J1168,COUNTIFS(nrES_PID,$D1168,nrES_Code,$F1168,nrES_Att,2,nrES_Raw,"&gt;=0")=0),"Yes","No")))</f>
        <v/>
      </c>
      <c r="R1168" s="17">
        <f>IF($C1168="","",IF($L1168="","",IF(AND($K1168=2,ISNUMBER($L1168),$L1168&lt;$J1168),"Yes","No")))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OR($C1168="",$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RANGE",IF(COUNTIF(nrES_RecID,$B1168)&gt;1,"DUPLICATE RECORD",IF(AND($K1168=2,COUNTIFS(nrES_PID,$D1168,nrES_Code,$F1168,nrES_Att,1)=0),"ATTEMPT 2 WITHOUT ATTEMPT 1",IF(AND($K1168=2,$L1168=""),"RETEST ROW HAS NO SCORE",IF(AND($H1168="Final",$L1168&lt;&gt;"",IFERROR(INDEX(nrCKfinalExamElig,MATCH($D1168,rngCadetPIDs,0)),"")="No"),"FINAL EXAM AFTER FAILED FINAL PT (500.1.H)","OK")))))))</f>
        <v/>
      </c>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IF($C1169="","",IF($K1169="","",IF(COUNTIFS(nrES_PID,$D1169,nrES_Code,$F1169,nrES_Att,"&gt;"&amp;$K1169,nrES_Raw,"&gt;=0")=0,"Yes","No")))</f>
        <v/>
      </c>
      <c r="Q1169" s="17">
        <f>IF($C1169="","",IF($L1169="","",IF(AND($K1169=1,ISNUMBER($L1169),$L1169&lt;$J1169,COUNTIFS(nrES_PID,$D1169,nrES_Code,$F1169,nrES_Att,2,nrES_Raw,"&gt;=0")=0),"Yes","No")))</f>
        <v/>
      </c>
      <c r="R1169" s="17">
        <f>IF($C1169="","",IF($L1169="","",IF(AND($K1169=2,ISNUMBER($L1169),$L1169&lt;$J1169),"Yes","No")))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OR($C1169="",$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RANGE",IF(COUNTIF(nrES_RecID,$B1169)&gt;1,"DUPLICATE RECORD",IF(AND($K1169=2,COUNTIFS(nrES_PID,$D1169,nrES_Code,$F1169,nrES_Att,1)=0),"ATTEMPT 2 WITHOUT ATTEMPT 1",IF(AND($K1169=2,$L1169=""),"RETEST ROW HAS NO SCORE",IF(AND($H1169="Final",$L1169&lt;&gt;"",IFERROR(INDEX(nrCKfinalExamElig,MATCH($D1169,rngCadetPIDs,0)),"")="No"),"FINAL EXAM AFTER FAILED FINAL PT (500.1.H)","OK")))))))</f>
        <v/>
      </c>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IF($C1170="","",IF($K1170="","",IF(COUNTIFS(nrES_PID,$D1170,nrES_Code,$F1170,nrES_Att,"&gt;"&amp;$K1170,nrES_Raw,"&gt;=0")=0,"Yes","No")))</f>
        <v/>
      </c>
      <c r="Q1170" s="17">
        <f>IF($C1170="","",IF($L1170="","",IF(AND($K1170=1,ISNUMBER($L1170),$L1170&lt;$J1170,COUNTIFS(nrES_PID,$D1170,nrES_Code,$F1170,nrES_Att,2,nrES_Raw,"&gt;=0")=0),"Yes","No")))</f>
        <v/>
      </c>
      <c r="R1170" s="17">
        <f>IF($C1170="","",IF($L1170="","",IF(AND($K1170=2,ISNUMBER($L1170),$L1170&lt;$J1170),"Yes","No")))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OR($C1170="",$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RANGE",IF(COUNTIF(nrES_RecID,$B1170)&gt;1,"DUPLICATE RECORD",IF(AND($K1170=2,COUNTIFS(nrES_PID,$D1170,nrES_Code,$F1170,nrES_Att,1)=0),"ATTEMPT 2 WITHOUT ATTEMPT 1",IF(AND($K1170=2,$L1170=""),"RETEST ROW HAS NO SCORE",IF(AND($H1170="Final",$L1170&lt;&gt;"",IFERROR(INDEX(nrCKfinalExamElig,MATCH($D1170,rngCadetPIDs,0)),"")="No"),"FINAL EXAM AFTER FAILED FINAL PT (500.1.H)","OK")))))))</f>
        <v/>
      </c>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IF($C1171="","",IF($K1171="","",IF(COUNTIFS(nrES_PID,$D1171,nrES_Code,$F1171,nrES_Att,"&gt;"&amp;$K1171,nrES_Raw,"&gt;=0")=0,"Yes","No")))</f>
        <v/>
      </c>
      <c r="Q1171" s="17">
        <f>IF($C1171="","",IF($L1171="","",IF(AND($K1171=1,ISNUMBER($L1171),$L1171&lt;$J1171,COUNTIFS(nrES_PID,$D1171,nrES_Code,$F1171,nrES_Att,2,nrES_Raw,"&gt;=0")=0),"Yes","No")))</f>
        <v/>
      </c>
      <c r="R1171" s="17">
        <f>IF($C1171="","",IF($L1171="","",IF(AND($K1171=2,ISNUMBER($L1171),$L1171&lt;$J1171),"Yes","No")))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OR($C1171="",$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RANGE",IF(COUNTIF(nrES_RecID,$B1171)&gt;1,"DUPLICATE RECORD",IF(AND($K1171=2,COUNTIFS(nrES_PID,$D1171,nrES_Code,$F1171,nrES_Att,1)=0),"ATTEMPT 2 WITHOUT ATTEMPT 1",IF(AND($K1171=2,$L1171=""),"RETEST ROW HAS NO SCORE",IF(AND($H1171="Final",$L1171&lt;&gt;"",IFERROR(INDEX(nrCKfinalExamElig,MATCH($D1171,rngCadetPIDs,0)),"")="No"),"FINAL EXAM AFTER FAILED FINAL PT (500.1.H)","OK")))))))</f>
        <v/>
      </c>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IF($C1172="","",IF($K1172="","",IF(COUNTIFS(nrES_PID,$D1172,nrES_Code,$F1172,nrES_Att,"&gt;"&amp;$K1172,nrES_Raw,"&gt;=0")=0,"Yes","No")))</f>
        <v/>
      </c>
      <c r="Q1172" s="17">
        <f>IF($C1172="","",IF($L1172="","",IF(AND($K1172=1,ISNUMBER($L1172),$L1172&lt;$J1172,COUNTIFS(nrES_PID,$D1172,nrES_Code,$F1172,nrES_Att,2,nrES_Raw,"&gt;=0")=0),"Yes","No")))</f>
        <v/>
      </c>
      <c r="R1172" s="17">
        <f>IF($C1172="","",IF($L1172="","",IF(AND($K1172=2,ISNUMBER($L1172),$L1172&lt;$J1172),"Yes","No")))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OR($C1172="",$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RANGE",IF(COUNTIF(nrES_RecID,$B1172)&gt;1,"DUPLICATE RECORD",IF(AND($K1172=2,COUNTIFS(nrES_PID,$D1172,nrES_Code,$F1172,nrES_Att,1)=0),"ATTEMPT 2 WITHOUT ATTEMPT 1",IF(AND($K1172=2,$L1172=""),"RETEST ROW HAS NO SCORE",IF(AND($H1172="Final",$L1172&lt;&gt;"",IFERROR(INDEX(nrCKfinalExamElig,MATCH($D1172,rngCadetPIDs,0)),"")="No"),"FINAL EXAM AFTER FAILED FINAL PT (500.1.H)","OK")))))))</f>
        <v/>
      </c>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IF($C1173="","",IF($K1173="","",IF(COUNTIFS(nrES_PID,$D1173,nrES_Code,$F1173,nrES_Att,"&gt;"&amp;$K1173,nrES_Raw,"&gt;=0")=0,"Yes","No")))</f>
        <v/>
      </c>
      <c r="Q1173" s="17">
        <f>IF($C1173="","",IF($L1173="","",IF(AND($K1173=1,ISNUMBER($L1173),$L1173&lt;$J1173,COUNTIFS(nrES_PID,$D1173,nrES_Code,$F1173,nrES_Att,2,nrES_Raw,"&gt;=0")=0),"Yes","No")))</f>
        <v/>
      </c>
      <c r="R1173" s="17">
        <f>IF($C1173="","",IF($L1173="","",IF(AND($K1173=2,ISNUMBER($L1173),$L1173&lt;$J1173),"Yes","No")))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OR($C1173="",$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RANGE",IF(COUNTIF(nrES_RecID,$B1173)&gt;1,"DUPLICATE RECORD",IF(AND($K1173=2,COUNTIFS(nrES_PID,$D1173,nrES_Code,$F1173,nrES_Att,1)=0),"ATTEMPT 2 WITHOUT ATTEMPT 1",IF(AND($K1173=2,$L1173=""),"RETEST ROW HAS NO SCORE",IF(AND($H1173="Final",$L1173&lt;&gt;"",IFERROR(INDEX(nrCKfinalExamElig,MATCH($D1173,rngCadetPIDs,0)),"")="No"),"FINAL EXAM AFTER FAILED FINAL PT (500.1.H)","OK")))))))</f>
        <v/>
      </c>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IF($C1174="","",IF($K1174="","",IF(COUNTIFS(nrES_PID,$D1174,nrES_Code,$F1174,nrES_Att,"&gt;"&amp;$K1174,nrES_Raw,"&gt;=0")=0,"Yes","No")))</f>
        <v/>
      </c>
      <c r="Q1174" s="17">
        <f>IF($C1174="","",IF($L1174="","",IF(AND($K1174=1,ISNUMBER($L1174),$L1174&lt;$J1174,COUNTIFS(nrES_PID,$D1174,nrES_Code,$F1174,nrES_Att,2,nrES_Raw,"&gt;=0")=0),"Yes","No")))</f>
        <v/>
      </c>
      <c r="R1174" s="17">
        <f>IF($C1174="","",IF($L1174="","",IF(AND($K1174=2,ISNUMBER($L1174),$L1174&lt;$J1174),"Yes","No")))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OR($C1174="",$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RANGE",IF(COUNTIF(nrES_RecID,$B1174)&gt;1,"DUPLICATE RECORD",IF(AND($K1174=2,COUNTIFS(nrES_PID,$D1174,nrES_Code,$F1174,nrES_Att,1)=0),"ATTEMPT 2 WITHOUT ATTEMPT 1",IF(AND($K1174=2,$L1174=""),"RETEST ROW HAS NO SCORE",IF(AND($H1174="Final",$L1174&lt;&gt;"",IFERROR(INDEX(nrCKfinalExamElig,MATCH($D1174,rngCadetPIDs,0)),"")="No"),"FINAL EXAM AFTER FAILED FINAL PT (500.1.H)","OK")))))))</f>
        <v/>
      </c>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IF($C1175="","",IF($K1175="","",IF(COUNTIFS(nrES_PID,$D1175,nrES_Code,$F1175,nrES_Att,"&gt;"&amp;$K1175,nrES_Raw,"&gt;=0")=0,"Yes","No")))</f>
        <v/>
      </c>
      <c r="Q1175" s="17">
        <f>IF($C1175="","",IF($L1175="","",IF(AND($K1175=1,ISNUMBER($L1175),$L1175&lt;$J1175,COUNTIFS(nrES_PID,$D1175,nrES_Code,$F1175,nrES_Att,2,nrES_Raw,"&gt;=0")=0),"Yes","No")))</f>
        <v/>
      </c>
      <c r="R1175" s="17">
        <f>IF($C1175="","",IF($L1175="","",IF(AND($K1175=2,ISNUMBER($L1175),$L1175&lt;$J1175),"Yes","No")))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OR($C1175="",$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RANGE",IF(COUNTIF(nrES_RecID,$B1175)&gt;1,"DUPLICATE RECORD",IF(AND($K1175=2,COUNTIFS(nrES_PID,$D1175,nrES_Code,$F1175,nrES_Att,1)=0),"ATTEMPT 2 WITHOUT ATTEMPT 1",IF(AND($K1175=2,$L1175=""),"RETEST ROW HAS NO SCORE",IF(AND($H1175="Final",$L1175&lt;&gt;"",IFERROR(INDEX(nrCKfinalExamElig,MATCH($D1175,rngCadetPIDs,0)),"")="No"),"FINAL EXAM AFTER FAILED FINAL PT (500.1.H)","OK")))))))</f>
        <v/>
      </c>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IF($C1176="","",IF($K1176="","",IF(COUNTIFS(nrES_PID,$D1176,nrES_Code,$F1176,nrES_Att,"&gt;"&amp;$K1176,nrES_Raw,"&gt;=0")=0,"Yes","No")))</f>
        <v/>
      </c>
      <c r="Q1176" s="17">
        <f>IF($C1176="","",IF($L1176="","",IF(AND($K1176=1,ISNUMBER($L1176),$L1176&lt;$J1176,COUNTIFS(nrES_PID,$D1176,nrES_Code,$F1176,nrES_Att,2,nrES_Raw,"&gt;=0")=0),"Yes","No")))</f>
        <v/>
      </c>
      <c r="R1176" s="17">
        <f>IF($C1176="","",IF($L1176="","",IF(AND($K1176=2,ISNUMBER($L1176),$L1176&lt;$J1176),"Yes","No")))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OR($C1176="",$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RANGE",IF(COUNTIF(nrES_RecID,$B1176)&gt;1,"DUPLICATE RECORD",IF(AND($K1176=2,COUNTIFS(nrES_PID,$D1176,nrES_Code,$F1176,nrES_Att,1)=0),"ATTEMPT 2 WITHOUT ATTEMPT 1",IF(AND($K1176=2,$L1176=""),"RETEST ROW HAS NO SCORE",IF(AND($H1176="Final",$L1176&lt;&gt;"",IFERROR(INDEX(nrCKfinalExamElig,MATCH($D1176,rngCadetPIDs,0)),"")="No"),"FINAL EXAM AFTER FAILED FINAL PT (500.1.H)","OK")))))))</f>
        <v/>
      </c>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IF($C1177="","",IF($K1177="","",IF(COUNTIFS(nrES_PID,$D1177,nrES_Code,$F1177,nrES_Att,"&gt;"&amp;$K1177,nrES_Raw,"&gt;=0")=0,"Yes","No")))</f>
        <v/>
      </c>
      <c r="Q1177" s="17">
        <f>IF($C1177="","",IF($L1177="","",IF(AND($K1177=1,ISNUMBER($L1177),$L1177&lt;$J1177,COUNTIFS(nrES_PID,$D1177,nrES_Code,$F1177,nrES_Att,2,nrES_Raw,"&gt;=0")=0),"Yes","No")))</f>
        <v/>
      </c>
      <c r="R1177" s="17">
        <f>IF($C1177="","",IF($L1177="","",IF(AND($K1177=2,ISNUMBER($L1177),$L1177&lt;$J1177),"Yes","No")))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OR($C1177="",$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RANGE",IF(COUNTIF(nrES_RecID,$B1177)&gt;1,"DUPLICATE RECORD",IF(AND($K1177=2,COUNTIFS(nrES_PID,$D1177,nrES_Code,$F1177,nrES_Att,1)=0),"ATTEMPT 2 WITHOUT ATTEMPT 1",IF(AND($K1177=2,$L1177=""),"RETEST ROW HAS NO SCORE",IF(AND($H1177="Final",$L1177&lt;&gt;"",IFERROR(INDEX(nrCKfinalExamElig,MATCH($D1177,rngCadetPIDs,0)),"")="No"),"FINAL EXAM AFTER FAILED FINAL PT (500.1.H)","OK")))))))</f>
        <v/>
      </c>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IF($C1178="","",IF($K1178="","",IF(COUNTIFS(nrES_PID,$D1178,nrES_Code,$F1178,nrES_Att,"&gt;"&amp;$K1178,nrES_Raw,"&gt;=0")=0,"Yes","No")))</f>
        <v/>
      </c>
      <c r="Q1178" s="17">
        <f>IF($C1178="","",IF($L1178="","",IF(AND($K1178=1,ISNUMBER($L1178),$L1178&lt;$J1178,COUNTIFS(nrES_PID,$D1178,nrES_Code,$F1178,nrES_Att,2,nrES_Raw,"&gt;=0")=0),"Yes","No")))</f>
        <v/>
      </c>
      <c r="R1178" s="17">
        <f>IF($C1178="","",IF($L1178="","",IF(AND($K1178=2,ISNUMBER($L1178),$L1178&lt;$J1178),"Yes","No")))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OR($C1178="",$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RANGE",IF(COUNTIF(nrES_RecID,$B1178)&gt;1,"DUPLICATE RECORD",IF(AND($K1178=2,COUNTIFS(nrES_PID,$D1178,nrES_Code,$F1178,nrES_Att,1)=0),"ATTEMPT 2 WITHOUT ATTEMPT 1",IF(AND($K1178=2,$L1178=""),"RETEST ROW HAS NO SCORE",IF(AND($H1178="Final",$L1178&lt;&gt;"",IFERROR(INDEX(nrCKfinalExamElig,MATCH($D1178,rngCadetPIDs,0)),"")="No"),"FINAL EXAM AFTER FAILED FINAL PT (500.1.H)","OK")))))))</f>
        <v/>
      </c>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IF($C1179="","",IF($K1179="","",IF(COUNTIFS(nrES_PID,$D1179,nrES_Code,$F1179,nrES_Att,"&gt;"&amp;$K1179,nrES_Raw,"&gt;=0")=0,"Yes","No")))</f>
        <v/>
      </c>
      <c r="Q1179" s="17">
        <f>IF($C1179="","",IF($L1179="","",IF(AND($K1179=1,ISNUMBER($L1179),$L1179&lt;$J1179,COUNTIFS(nrES_PID,$D1179,nrES_Code,$F1179,nrES_Att,2,nrES_Raw,"&gt;=0")=0),"Yes","No")))</f>
        <v/>
      </c>
      <c r="R1179" s="17">
        <f>IF($C1179="","",IF($L1179="","",IF(AND($K1179=2,ISNUMBER($L1179),$L1179&lt;$J1179),"Yes","No")))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OR($C1179="",$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RANGE",IF(COUNTIF(nrES_RecID,$B1179)&gt;1,"DUPLICATE RECORD",IF(AND($K1179=2,COUNTIFS(nrES_PID,$D1179,nrES_Code,$F1179,nrES_Att,1)=0),"ATTEMPT 2 WITHOUT ATTEMPT 1",IF(AND($K1179=2,$L1179=""),"RETEST ROW HAS NO SCORE",IF(AND($H1179="Final",$L1179&lt;&gt;"",IFERROR(INDEX(nrCKfinalExamElig,MATCH($D1179,rngCadetPIDs,0)),"")="No"),"FINAL EXAM AFTER FAILED FINAL PT (500.1.H)","OK")))))))</f>
        <v/>
      </c>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IF($C1180="","",IF($K1180="","",IF(COUNTIFS(nrES_PID,$D1180,nrES_Code,$F1180,nrES_Att,"&gt;"&amp;$K1180,nrES_Raw,"&gt;=0")=0,"Yes","No")))</f>
        <v/>
      </c>
      <c r="Q1180" s="17">
        <f>IF($C1180="","",IF($L1180="","",IF(AND($K1180=1,ISNUMBER($L1180),$L1180&lt;$J1180,COUNTIFS(nrES_PID,$D1180,nrES_Code,$F1180,nrES_Att,2,nrES_Raw,"&gt;=0")=0),"Yes","No")))</f>
        <v/>
      </c>
      <c r="R1180" s="17">
        <f>IF($C1180="","",IF($L1180="","",IF(AND($K1180=2,ISNUMBER($L1180),$L1180&lt;$J1180),"Yes","No")))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OR($C1180="",$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RANGE",IF(COUNTIF(nrES_RecID,$B1180)&gt;1,"DUPLICATE RECORD",IF(AND($K1180=2,COUNTIFS(nrES_PID,$D1180,nrES_Code,$F1180,nrES_Att,1)=0),"ATTEMPT 2 WITHOUT ATTEMPT 1",IF(AND($K1180=2,$L1180=""),"RETEST ROW HAS NO SCORE",IF(AND($H1180="Final",$L1180&lt;&gt;"",IFERROR(INDEX(nrCKfinalExamElig,MATCH($D1180,rngCadetPIDs,0)),"")="No"),"FINAL EXAM AFTER FAILED FINAL PT (500.1.H)","OK")))))))</f>
        <v/>
      </c>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IF($C1181="","",IF($K1181="","",IF(COUNTIFS(nrES_PID,$D1181,nrES_Code,$F1181,nrES_Att,"&gt;"&amp;$K1181,nrES_Raw,"&gt;=0")=0,"Yes","No")))</f>
        <v/>
      </c>
      <c r="Q1181" s="17">
        <f>IF($C1181="","",IF($L1181="","",IF(AND($K1181=1,ISNUMBER($L1181),$L1181&lt;$J1181,COUNTIFS(nrES_PID,$D1181,nrES_Code,$F1181,nrES_Att,2,nrES_Raw,"&gt;=0")=0),"Yes","No")))</f>
        <v/>
      </c>
      <c r="R1181" s="17">
        <f>IF($C1181="","",IF($L1181="","",IF(AND($K1181=2,ISNUMBER($L1181),$L1181&lt;$J1181),"Yes","No")))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OR($C1181="",$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RANGE",IF(COUNTIF(nrES_RecID,$B1181)&gt;1,"DUPLICATE RECORD",IF(AND($K1181=2,COUNTIFS(nrES_PID,$D1181,nrES_Code,$F1181,nrES_Att,1)=0),"ATTEMPT 2 WITHOUT ATTEMPT 1",IF(AND($K1181=2,$L1181=""),"RETEST ROW HAS NO SCORE",IF(AND($H1181="Final",$L1181&lt;&gt;"",IFERROR(INDEX(nrCKfinalExamElig,MATCH($D1181,rngCadetPIDs,0)),"")="No"),"FINAL EXAM AFTER FAILED FINAL PT (500.1.H)","OK")))))))</f>
        <v/>
      </c>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IF($C1182="","",IF($K1182="","",IF(COUNTIFS(nrES_PID,$D1182,nrES_Code,$F1182,nrES_Att,"&gt;"&amp;$K1182,nrES_Raw,"&gt;=0")=0,"Yes","No")))</f>
        <v/>
      </c>
      <c r="Q1182" s="17">
        <f>IF($C1182="","",IF($L1182="","",IF(AND($K1182=1,ISNUMBER($L1182),$L1182&lt;$J1182,COUNTIFS(nrES_PID,$D1182,nrES_Code,$F1182,nrES_Att,2,nrES_Raw,"&gt;=0")=0),"Yes","No")))</f>
        <v/>
      </c>
      <c r="R1182" s="17">
        <f>IF($C1182="","",IF($L1182="","",IF(AND($K1182=2,ISNUMBER($L1182),$L1182&lt;$J1182),"Yes","No")))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OR($C1182="",$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RANGE",IF(COUNTIF(nrES_RecID,$B1182)&gt;1,"DUPLICATE RECORD",IF(AND($K1182=2,COUNTIFS(nrES_PID,$D1182,nrES_Code,$F1182,nrES_Att,1)=0),"ATTEMPT 2 WITHOUT ATTEMPT 1",IF(AND($K1182=2,$L1182=""),"RETEST ROW HAS NO SCORE",IF(AND($H1182="Final",$L1182&lt;&gt;"",IFERROR(INDEX(nrCKfinalExamElig,MATCH($D1182,rngCadetPIDs,0)),"")="No"),"FINAL EXAM AFTER FAILED FINAL PT (500.1.H)","OK")))))))</f>
        <v/>
      </c>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IF($C1183="","",IF($K1183="","",IF(COUNTIFS(nrES_PID,$D1183,nrES_Code,$F1183,nrES_Att,"&gt;"&amp;$K1183,nrES_Raw,"&gt;=0")=0,"Yes","No")))</f>
        <v/>
      </c>
      <c r="Q1183" s="17">
        <f>IF($C1183="","",IF($L1183="","",IF(AND($K1183=1,ISNUMBER($L1183),$L1183&lt;$J1183,COUNTIFS(nrES_PID,$D1183,nrES_Code,$F1183,nrES_Att,2,nrES_Raw,"&gt;=0")=0),"Yes","No")))</f>
        <v/>
      </c>
      <c r="R1183" s="17">
        <f>IF($C1183="","",IF($L1183="","",IF(AND($K1183=2,ISNUMBER($L1183),$L1183&lt;$J1183),"Yes","No")))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OR($C1183="",$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RANGE",IF(COUNTIF(nrES_RecID,$B1183)&gt;1,"DUPLICATE RECORD",IF(AND($K1183=2,COUNTIFS(nrES_PID,$D1183,nrES_Code,$F1183,nrES_Att,1)=0),"ATTEMPT 2 WITHOUT ATTEMPT 1",IF(AND($K1183=2,$L1183=""),"RETEST ROW HAS NO SCORE",IF(AND($H1183="Final",$L1183&lt;&gt;"",IFERROR(INDEX(nrCKfinalExamElig,MATCH($D1183,rngCadetPIDs,0)),"")="No"),"FINAL EXAM AFTER FAILED FINAL PT (500.1.H)","OK")))))))</f>
        <v/>
      </c>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IF($C1184="","",IF($K1184="","",IF(COUNTIFS(nrES_PID,$D1184,nrES_Code,$F1184,nrES_Att,"&gt;"&amp;$K1184,nrES_Raw,"&gt;=0")=0,"Yes","No")))</f>
        <v/>
      </c>
      <c r="Q1184" s="17">
        <f>IF($C1184="","",IF($L1184="","",IF(AND($K1184=1,ISNUMBER($L1184),$L1184&lt;$J1184,COUNTIFS(nrES_PID,$D1184,nrES_Code,$F1184,nrES_Att,2,nrES_Raw,"&gt;=0")=0),"Yes","No")))</f>
        <v/>
      </c>
      <c r="R1184" s="17">
        <f>IF($C1184="","",IF($L1184="","",IF(AND($K1184=2,ISNUMBER($L1184),$L1184&lt;$J1184),"Yes","No")))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OR($C1184="",$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RANGE",IF(COUNTIF(nrES_RecID,$B1184)&gt;1,"DUPLICATE RECORD",IF(AND($K1184=2,COUNTIFS(nrES_PID,$D1184,nrES_Code,$F1184,nrES_Att,1)=0),"ATTEMPT 2 WITHOUT ATTEMPT 1",IF(AND($K1184=2,$L1184=""),"RETEST ROW HAS NO SCORE",IF(AND($H1184="Final",$L1184&lt;&gt;"",IFERROR(INDEX(nrCKfinalExamElig,MATCH($D1184,rngCadetPIDs,0)),"")="No"),"FINAL EXAM AFTER FAILED FINAL PT (500.1.H)","OK")))))))</f>
        <v/>
      </c>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IF($C1185="","",IF($K1185="","",IF(COUNTIFS(nrES_PID,$D1185,nrES_Code,$F1185,nrES_Att,"&gt;"&amp;$K1185,nrES_Raw,"&gt;=0")=0,"Yes","No")))</f>
        <v/>
      </c>
      <c r="Q1185" s="17">
        <f>IF($C1185="","",IF($L1185="","",IF(AND($K1185=1,ISNUMBER($L1185),$L1185&lt;$J1185,COUNTIFS(nrES_PID,$D1185,nrES_Code,$F1185,nrES_Att,2,nrES_Raw,"&gt;=0")=0),"Yes","No")))</f>
        <v/>
      </c>
      <c r="R1185" s="17">
        <f>IF($C1185="","",IF($L1185="","",IF(AND($K1185=2,ISNUMBER($L1185),$L1185&lt;$J1185),"Yes","No")))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OR($C1185="",$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RANGE",IF(COUNTIF(nrES_RecID,$B1185)&gt;1,"DUPLICATE RECORD",IF(AND($K1185=2,COUNTIFS(nrES_PID,$D1185,nrES_Code,$F1185,nrES_Att,1)=0),"ATTEMPT 2 WITHOUT ATTEMPT 1",IF(AND($K1185=2,$L1185=""),"RETEST ROW HAS NO SCORE",IF(AND($H1185="Final",$L1185&lt;&gt;"",IFERROR(INDEX(nrCKfinalExamElig,MATCH($D1185,rngCadetPIDs,0)),"")="No"),"FINAL EXAM AFTER FAILED FINAL PT (500.1.H)","OK")))))))</f>
        <v/>
      </c>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IF($C1186="","",IF($K1186="","",IF(COUNTIFS(nrES_PID,$D1186,nrES_Code,$F1186,nrES_Att,"&gt;"&amp;$K1186,nrES_Raw,"&gt;=0")=0,"Yes","No")))</f>
        <v/>
      </c>
      <c r="Q1186" s="17">
        <f>IF($C1186="","",IF($L1186="","",IF(AND($K1186=1,ISNUMBER($L1186),$L1186&lt;$J1186,COUNTIFS(nrES_PID,$D1186,nrES_Code,$F1186,nrES_Att,2,nrES_Raw,"&gt;=0")=0),"Yes","No")))</f>
        <v/>
      </c>
      <c r="R1186" s="17">
        <f>IF($C1186="","",IF($L1186="","",IF(AND($K1186=2,ISNUMBER($L1186),$L1186&lt;$J1186),"Yes","No")))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OR($C1186="",$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RANGE",IF(COUNTIF(nrES_RecID,$B1186)&gt;1,"DUPLICATE RECORD",IF(AND($K1186=2,COUNTIFS(nrES_PID,$D1186,nrES_Code,$F1186,nrES_Att,1)=0),"ATTEMPT 2 WITHOUT ATTEMPT 1",IF(AND($K1186=2,$L1186=""),"RETEST ROW HAS NO SCORE",IF(AND($H1186="Final",$L1186&lt;&gt;"",IFERROR(INDEX(nrCKfinalExamElig,MATCH($D1186,rngCadetPIDs,0)),"")="No"),"FINAL EXAM AFTER FAILED FINAL PT (500.1.H)","OK")))))))</f>
        <v/>
      </c>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IF($C1187="","",IF($K1187="","",IF(COUNTIFS(nrES_PID,$D1187,nrES_Code,$F1187,nrES_Att,"&gt;"&amp;$K1187,nrES_Raw,"&gt;=0")=0,"Yes","No")))</f>
        <v/>
      </c>
      <c r="Q1187" s="17">
        <f>IF($C1187="","",IF($L1187="","",IF(AND($K1187=1,ISNUMBER($L1187),$L1187&lt;$J1187,COUNTIFS(nrES_PID,$D1187,nrES_Code,$F1187,nrES_Att,2,nrES_Raw,"&gt;=0")=0),"Yes","No")))</f>
        <v/>
      </c>
      <c r="R1187" s="17">
        <f>IF($C1187="","",IF($L1187="","",IF(AND($K1187=2,ISNUMBER($L1187),$L1187&lt;$J1187),"Yes","No")))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OR($C1187="",$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RANGE",IF(COUNTIF(nrES_RecID,$B1187)&gt;1,"DUPLICATE RECORD",IF(AND($K1187=2,COUNTIFS(nrES_PID,$D1187,nrES_Code,$F1187,nrES_Att,1)=0),"ATTEMPT 2 WITHOUT ATTEMPT 1",IF(AND($K1187=2,$L1187=""),"RETEST ROW HAS NO SCORE",IF(AND($H1187="Final",$L1187&lt;&gt;"",IFERROR(INDEX(nrCKfinalExamElig,MATCH($D1187,rngCadetPIDs,0)),"")="No"),"FINAL EXAM AFTER FAILED FINAL PT (500.1.H)","OK")))))))</f>
        <v/>
      </c>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IF($C1188="","",IF($K1188="","",IF(COUNTIFS(nrES_PID,$D1188,nrES_Code,$F1188,nrES_Att,"&gt;"&amp;$K1188,nrES_Raw,"&gt;=0")=0,"Yes","No")))</f>
        <v/>
      </c>
      <c r="Q1188" s="17">
        <f>IF($C1188="","",IF($L1188="","",IF(AND($K1188=1,ISNUMBER($L1188),$L1188&lt;$J1188,COUNTIFS(nrES_PID,$D1188,nrES_Code,$F1188,nrES_Att,2,nrES_Raw,"&gt;=0")=0),"Yes","No")))</f>
        <v/>
      </c>
      <c r="R1188" s="17">
        <f>IF($C1188="","",IF($L1188="","",IF(AND($K1188=2,ISNUMBER($L1188),$L1188&lt;$J1188),"Yes","No")))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OR($C1188="",$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RANGE",IF(COUNTIF(nrES_RecID,$B1188)&gt;1,"DUPLICATE RECORD",IF(AND($K1188=2,COUNTIFS(nrES_PID,$D1188,nrES_Code,$F1188,nrES_Att,1)=0),"ATTEMPT 2 WITHOUT ATTEMPT 1",IF(AND($K1188=2,$L1188=""),"RETEST ROW HAS NO SCORE",IF(AND($H1188="Final",$L1188&lt;&gt;"",IFERROR(INDEX(nrCKfinalExamElig,MATCH($D1188,rngCadetPIDs,0)),"")="No"),"FINAL EXAM AFTER FAILED FINAL PT (500.1.H)","OK")))))))</f>
        <v/>
      </c>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IF($C1189="","",IF($K1189="","",IF(COUNTIFS(nrES_PID,$D1189,nrES_Code,$F1189,nrES_Att,"&gt;"&amp;$K1189,nrES_Raw,"&gt;=0")=0,"Yes","No")))</f>
        <v/>
      </c>
      <c r="Q1189" s="17">
        <f>IF($C1189="","",IF($L1189="","",IF(AND($K1189=1,ISNUMBER($L1189),$L1189&lt;$J1189,COUNTIFS(nrES_PID,$D1189,nrES_Code,$F1189,nrES_Att,2,nrES_Raw,"&gt;=0")=0),"Yes","No")))</f>
        <v/>
      </c>
      <c r="R1189" s="17">
        <f>IF($C1189="","",IF($L1189="","",IF(AND($K1189=2,ISNUMBER($L1189),$L1189&lt;$J1189),"Yes","No")))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OR($C1189="",$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RANGE",IF(COUNTIF(nrES_RecID,$B1189)&gt;1,"DUPLICATE RECORD",IF(AND($K1189=2,COUNTIFS(nrES_PID,$D1189,nrES_Code,$F1189,nrES_Att,1)=0),"ATTEMPT 2 WITHOUT ATTEMPT 1",IF(AND($K1189=2,$L1189=""),"RETEST ROW HAS NO SCORE",IF(AND($H1189="Final",$L1189&lt;&gt;"",IFERROR(INDEX(nrCKfinalExamElig,MATCH($D1189,rngCadetPIDs,0)),"")="No"),"FINAL EXAM AFTER FAILED FINAL PT (500.1.H)","OK")))))))</f>
        <v/>
      </c>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IF($C1190="","",IF($K1190="","",IF(COUNTIFS(nrES_PID,$D1190,nrES_Code,$F1190,nrES_Att,"&gt;"&amp;$K1190,nrES_Raw,"&gt;=0")=0,"Yes","No")))</f>
        <v/>
      </c>
      <c r="Q1190" s="17">
        <f>IF($C1190="","",IF($L1190="","",IF(AND($K1190=1,ISNUMBER($L1190),$L1190&lt;$J1190,COUNTIFS(nrES_PID,$D1190,nrES_Code,$F1190,nrES_Att,2,nrES_Raw,"&gt;=0")=0),"Yes","No")))</f>
        <v/>
      </c>
      <c r="R1190" s="17">
        <f>IF($C1190="","",IF($L1190="","",IF(AND($K1190=2,ISNUMBER($L1190),$L1190&lt;$J1190),"Yes","No")))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OR($C1190="",$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RANGE",IF(COUNTIF(nrES_RecID,$B1190)&gt;1,"DUPLICATE RECORD",IF(AND($K1190=2,COUNTIFS(nrES_PID,$D1190,nrES_Code,$F1190,nrES_Att,1)=0),"ATTEMPT 2 WITHOUT ATTEMPT 1",IF(AND($K1190=2,$L1190=""),"RETEST ROW HAS NO SCORE",IF(AND($H1190="Final",$L1190&lt;&gt;"",IFERROR(INDEX(nrCKfinalExamElig,MATCH($D1190,rngCadetPIDs,0)),"")="No"),"FINAL EXAM AFTER FAILED FINAL PT (500.1.H)","OK")))))))</f>
        <v/>
      </c>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IF($C1191="","",IF($K1191="","",IF(COUNTIFS(nrES_PID,$D1191,nrES_Code,$F1191,nrES_Att,"&gt;"&amp;$K1191,nrES_Raw,"&gt;=0")=0,"Yes","No")))</f>
        <v/>
      </c>
      <c r="Q1191" s="17">
        <f>IF($C1191="","",IF($L1191="","",IF(AND($K1191=1,ISNUMBER($L1191),$L1191&lt;$J1191,COUNTIFS(nrES_PID,$D1191,nrES_Code,$F1191,nrES_Att,2,nrES_Raw,"&gt;=0")=0),"Yes","No")))</f>
        <v/>
      </c>
      <c r="R1191" s="17">
        <f>IF($C1191="","",IF($L1191="","",IF(AND($K1191=2,ISNUMBER($L1191),$L1191&lt;$J1191),"Yes","No")))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OR($C1191="",$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RANGE",IF(COUNTIF(nrES_RecID,$B1191)&gt;1,"DUPLICATE RECORD",IF(AND($K1191=2,COUNTIFS(nrES_PID,$D1191,nrES_Code,$F1191,nrES_Att,1)=0),"ATTEMPT 2 WITHOUT ATTEMPT 1",IF(AND($K1191=2,$L1191=""),"RETEST ROW HAS NO SCORE",IF(AND($H1191="Final",$L1191&lt;&gt;"",IFERROR(INDEX(nrCKfinalExamElig,MATCH($D1191,rngCadetPIDs,0)),"")="No"),"FINAL EXAM AFTER FAILED FINAL PT (500.1.H)","OK")))))))</f>
        <v/>
      </c>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IF($C1192="","",IF($K1192="","",IF(COUNTIFS(nrES_PID,$D1192,nrES_Code,$F1192,nrES_Att,"&gt;"&amp;$K1192,nrES_Raw,"&gt;=0")=0,"Yes","No")))</f>
        <v/>
      </c>
      <c r="Q1192" s="17">
        <f>IF($C1192="","",IF($L1192="","",IF(AND($K1192=1,ISNUMBER($L1192),$L1192&lt;$J1192,COUNTIFS(nrES_PID,$D1192,nrES_Code,$F1192,nrES_Att,2,nrES_Raw,"&gt;=0")=0),"Yes","No")))</f>
        <v/>
      </c>
      <c r="R1192" s="17">
        <f>IF($C1192="","",IF($L1192="","",IF(AND($K1192=2,ISNUMBER($L1192),$L1192&lt;$J1192),"Yes","No")))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OR($C1192="",$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RANGE",IF(COUNTIF(nrES_RecID,$B1192)&gt;1,"DUPLICATE RECORD",IF(AND($K1192=2,COUNTIFS(nrES_PID,$D1192,nrES_Code,$F1192,nrES_Att,1)=0),"ATTEMPT 2 WITHOUT ATTEMPT 1",IF(AND($K1192=2,$L1192=""),"RETEST ROW HAS NO SCORE",IF(AND($H1192="Final",$L1192&lt;&gt;"",IFERROR(INDEX(nrCKfinalExamElig,MATCH($D1192,rngCadetPIDs,0)),"")="No"),"FINAL EXAM AFTER FAILED FINAL PT (500.1.H)","OK")))))))</f>
        <v/>
      </c>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IF($C1193="","",IF($K1193="","",IF(COUNTIFS(nrES_PID,$D1193,nrES_Code,$F1193,nrES_Att,"&gt;"&amp;$K1193,nrES_Raw,"&gt;=0")=0,"Yes","No")))</f>
        <v/>
      </c>
      <c r="Q1193" s="17">
        <f>IF($C1193="","",IF($L1193="","",IF(AND($K1193=1,ISNUMBER($L1193),$L1193&lt;$J1193,COUNTIFS(nrES_PID,$D1193,nrES_Code,$F1193,nrES_Att,2,nrES_Raw,"&gt;=0")=0),"Yes","No")))</f>
        <v/>
      </c>
      <c r="R1193" s="17">
        <f>IF($C1193="","",IF($L1193="","",IF(AND($K1193=2,ISNUMBER($L1193),$L1193&lt;$J1193),"Yes","No")))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OR($C1193="",$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RANGE",IF(COUNTIF(nrES_RecID,$B1193)&gt;1,"DUPLICATE RECORD",IF(AND($K1193=2,COUNTIFS(nrES_PID,$D1193,nrES_Code,$F1193,nrES_Att,1)=0),"ATTEMPT 2 WITHOUT ATTEMPT 1",IF(AND($K1193=2,$L1193=""),"RETEST ROW HAS NO SCORE",IF(AND($H1193="Final",$L1193&lt;&gt;"",IFERROR(INDEX(nrCKfinalExamElig,MATCH($D1193,rngCadetPIDs,0)),"")="No"),"FINAL EXAM AFTER FAILED FINAL PT (500.1.H)","OK")))))))</f>
        <v/>
      </c>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IF($C1194="","",IF($K1194="","",IF(COUNTIFS(nrES_PID,$D1194,nrES_Code,$F1194,nrES_Att,"&gt;"&amp;$K1194,nrES_Raw,"&gt;=0")=0,"Yes","No")))</f>
        <v/>
      </c>
      <c r="Q1194" s="17">
        <f>IF($C1194="","",IF($L1194="","",IF(AND($K1194=1,ISNUMBER($L1194),$L1194&lt;$J1194,COUNTIFS(nrES_PID,$D1194,nrES_Code,$F1194,nrES_Att,2,nrES_Raw,"&gt;=0")=0),"Yes","No")))</f>
        <v/>
      </c>
      <c r="R1194" s="17">
        <f>IF($C1194="","",IF($L1194="","",IF(AND($K1194=2,ISNUMBER($L1194),$L1194&lt;$J1194),"Yes","No")))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OR($C1194="",$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RANGE",IF(COUNTIF(nrES_RecID,$B1194)&gt;1,"DUPLICATE RECORD",IF(AND($K1194=2,COUNTIFS(nrES_PID,$D1194,nrES_Code,$F1194,nrES_Att,1)=0),"ATTEMPT 2 WITHOUT ATTEMPT 1",IF(AND($K1194=2,$L1194=""),"RETEST ROW HAS NO SCORE",IF(AND($H1194="Final",$L1194&lt;&gt;"",IFERROR(INDEX(nrCKfinalExamElig,MATCH($D1194,rngCadetPIDs,0)),"")="No"),"FINAL EXAM AFTER FAILED FINAL PT (500.1.H)","OK")))))))</f>
        <v/>
      </c>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IF($C1195="","",IF($K1195="","",IF(COUNTIFS(nrES_PID,$D1195,nrES_Code,$F1195,nrES_Att,"&gt;"&amp;$K1195,nrES_Raw,"&gt;=0")=0,"Yes","No")))</f>
        <v/>
      </c>
      <c r="Q1195" s="17">
        <f>IF($C1195="","",IF($L1195="","",IF(AND($K1195=1,ISNUMBER($L1195),$L1195&lt;$J1195,COUNTIFS(nrES_PID,$D1195,nrES_Code,$F1195,nrES_Att,2,nrES_Raw,"&gt;=0")=0),"Yes","No")))</f>
        <v/>
      </c>
      <c r="R1195" s="17">
        <f>IF($C1195="","",IF($L1195="","",IF(AND($K1195=2,ISNUMBER($L1195),$L1195&lt;$J1195),"Yes","No")))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OR($C1195="",$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RANGE",IF(COUNTIF(nrES_RecID,$B1195)&gt;1,"DUPLICATE RECORD",IF(AND($K1195=2,COUNTIFS(nrES_PID,$D1195,nrES_Code,$F1195,nrES_Att,1)=0),"ATTEMPT 2 WITHOUT ATTEMPT 1",IF(AND($K1195=2,$L1195=""),"RETEST ROW HAS NO SCORE",IF(AND($H1195="Final",$L1195&lt;&gt;"",IFERROR(INDEX(nrCKfinalExamElig,MATCH($D1195,rngCadetPIDs,0)),"")="No"),"FINAL EXAM AFTER FAILED FINAL PT (500.1.H)","OK")))))))</f>
        <v/>
      </c>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IF($C1196="","",IF($K1196="","",IF(COUNTIFS(nrES_PID,$D1196,nrES_Code,$F1196,nrES_Att,"&gt;"&amp;$K1196,nrES_Raw,"&gt;=0")=0,"Yes","No")))</f>
        <v/>
      </c>
      <c r="Q1196" s="17">
        <f>IF($C1196="","",IF($L1196="","",IF(AND($K1196=1,ISNUMBER($L1196),$L1196&lt;$J1196,COUNTIFS(nrES_PID,$D1196,nrES_Code,$F1196,nrES_Att,2,nrES_Raw,"&gt;=0")=0),"Yes","No")))</f>
        <v/>
      </c>
      <c r="R1196" s="17">
        <f>IF($C1196="","",IF($L1196="","",IF(AND($K1196=2,ISNUMBER($L1196),$L1196&lt;$J1196),"Yes","No")))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OR($C1196="",$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RANGE",IF(COUNTIF(nrES_RecID,$B1196)&gt;1,"DUPLICATE RECORD",IF(AND($K1196=2,COUNTIFS(nrES_PID,$D1196,nrES_Code,$F1196,nrES_Att,1)=0),"ATTEMPT 2 WITHOUT ATTEMPT 1",IF(AND($K1196=2,$L1196=""),"RETEST ROW HAS NO SCORE",IF(AND($H1196="Final",$L1196&lt;&gt;"",IFERROR(INDEX(nrCKfinalExamElig,MATCH($D1196,rngCadetPIDs,0)),"")="No"),"FINAL EXAM AFTER FAILED FINAL PT (500.1.H)","OK")))))))</f>
        <v/>
      </c>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IF($C1197="","",IF($K1197="","",IF(COUNTIFS(nrES_PID,$D1197,nrES_Code,$F1197,nrES_Att,"&gt;"&amp;$K1197,nrES_Raw,"&gt;=0")=0,"Yes","No")))</f>
        <v/>
      </c>
      <c r="Q1197" s="17">
        <f>IF($C1197="","",IF($L1197="","",IF(AND($K1197=1,ISNUMBER($L1197),$L1197&lt;$J1197,COUNTIFS(nrES_PID,$D1197,nrES_Code,$F1197,nrES_Att,2,nrES_Raw,"&gt;=0")=0),"Yes","No")))</f>
        <v/>
      </c>
      <c r="R1197" s="17">
        <f>IF($C1197="","",IF($L1197="","",IF(AND($K1197=2,ISNUMBER($L1197),$L1197&lt;$J1197),"Yes","No")))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OR($C1197="",$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RANGE",IF(COUNTIF(nrES_RecID,$B1197)&gt;1,"DUPLICATE RECORD",IF(AND($K1197=2,COUNTIFS(nrES_PID,$D1197,nrES_Code,$F1197,nrES_Att,1)=0),"ATTEMPT 2 WITHOUT ATTEMPT 1",IF(AND($K1197=2,$L1197=""),"RETEST ROW HAS NO SCORE",IF(AND($H1197="Final",$L1197&lt;&gt;"",IFERROR(INDEX(nrCKfinalExamElig,MATCH($D1197,rngCadetPIDs,0)),"")="No"),"FINAL EXAM AFTER FAILED FINAL PT (500.1.H)","OK")))))))</f>
        <v/>
      </c>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IF($C1198="","",IF($K1198="","",IF(COUNTIFS(nrES_PID,$D1198,nrES_Code,$F1198,nrES_Att,"&gt;"&amp;$K1198,nrES_Raw,"&gt;=0")=0,"Yes","No")))</f>
        <v/>
      </c>
      <c r="Q1198" s="17">
        <f>IF($C1198="","",IF($L1198="","",IF(AND($K1198=1,ISNUMBER($L1198),$L1198&lt;$J1198,COUNTIFS(nrES_PID,$D1198,nrES_Code,$F1198,nrES_Att,2,nrES_Raw,"&gt;=0")=0),"Yes","No")))</f>
        <v/>
      </c>
      <c r="R1198" s="17">
        <f>IF($C1198="","",IF($L1198="","",IF(AND($K1198=2,ISNUMBER($L1198),$L1198&lt;$J1198),"Yes","No")))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OR($C1198="",$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RANGE",IF(COUNTIF(nrES_RecID,$B1198)&gt;1,"DUPLICATE RECORD",IF(AND($K1198=2,COUNTIFS(nrES_PID,$D1198,nrES_Code,$F1198,nrES_Att,1)=0),"ATTEMPT 2 WITHOUT ATTEMPT 1",IF(AND($K1198=2,$L1198=""),"RETEST ROW HAS NO SCORE",IF(AND($H1198="Final",$L1198&lt;&gt;"",IFERROR(INDEX(nrCKfinalExamElig,MATCH($D1198,rngCadetPIDs,0)),"")="No"),"FINAL EXAM AFTER FAILED FINAL PT (500.1.H)","OK")))))))</f>
        <v/>
      </c>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IF($C1199="","",IF($K1199="","",IF(COUNTIFS(nrES_PID,$D1199,nrES_Code,$F1199,nrES_Att,"&gt;"&amp;$K1199,nrES_Raw,"&gt;=0")=0,"Yes","No")))</f>
        <v/>
      </c>
      <c r="Q1199" s="17">
        <f>IF($C1199="","",IF($L1199="","",IF(AND($K1199=1,ISNUMBER($L1199),$L1199&lt;$J1199,COUNTIFS(nrES_PID,$D1199,nrES_Code,$F1199,nrES_Att,2,nrES_Raw,"&gt;=0")=0),"Yes","No")))</f>
        <v/>
      </c>
      <c r="R1199" s="17">
        <f>IF($C1199="","",IF($L1199="","",IF(AND($K1199=2,ISNUMBER($L1199),$L1199&lt;$J1199),"Yes","No")))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OR($C1199="",$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RANGE",IF(COUNTIF(nrES_RecID,$B1199)&gt;1,"DUPLICATE RECORD",IF(AND($K1199=2,COUNTIFS(nrES_PID,$D1199,nrES_Code,$F1199,nrES_Att,1)=0),"ATTEMPT 2 WITHOUT ATTEMPT 1",IF(AND($K1199=2,$L1199=""),"RETEST ROW HAS NO SCORE",IF(AND($H1199="Final",$L1199&lt;&gt;"",IFERROR(INDEX(nrCKfinalExamElig,MATCH($D1199,rngCadetPIDs,0)),"")="No"),"FINAL EXAM AFTER FAILED FINAL PT (500.1.H)","OK")))))))</f>
        <v/>
      </c>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IF($C1200="","",IF($K1200="","",IF(COUNTIFS(nrES_PID,$D1200,nrES_Code,$F1200,nrES_Att,"&gt;"&amp;$K1200,nrES_Raw,"&gt;=0")=0,"Yes","No")))</f>
        <v/>
      </c>
      <c r="Q1200" s="17">
        <f>IF($C1200="","",IF($L1200="","",IF(AND($K1200=1,ISNUMBER($L1200),$L1200&lt;$J1200,COUNTIFS(nrES_PID,$D1200,nrES_Code,$F1200,nrES_Att,2,nrES_Raw,"&gt;=0")=0),"Yes","No")))</f>
        <v/>
      </c>
      <c r="R1200" s="17">
        <f>IF($C1200="","",IF($L1200="","",IF(AND($K1200=2,ISNUMBER($L1200),$L1200&lt;$J1200),"Yes","No")))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OR($C1200="",$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RANGE",IF(COUNTIF(nrES_RecID,$B1200)&gt;1,"DUPLICATE RECORD",IF(AND($K1200=2,COUNTIFS(nrES_PID,$D1200,nrES_Code,$F1200,nrES_Att,1)=0),"ATTEMPT 2 WITHOUT ATTEMPT 1",IF(AND($K1200=2,$L1200=""),"RETEST ROW HAS NO SCORE",IF(AND($H1200="Final",$L1200&lt;&gt;"",IFERROR(INDEX(nrCKfinalExamElig,MATCH($D1200,rngCadetPIDs,0)),"")="No"),"FINAL EXAM AFTER FAILED FINAL PT (500.1.H)","OK")))))))</f>
        <v/>
      </c>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IF($C1201="","",IF($K1201="","",IF(COUNTIFS(nrES_PID,$D1201,nrES_Code,$F1201,nrES_Att,"&gt;"&amp;$K1201,nrES_Raw,"&gt;=0")=0,"Yes","No")))</f>
        <v/>
      </c>
      <c r="Q1201" s="17">
        <f>IF($C1201="","",IF($L1201="","",IF(AND($K1201=1,ISNUMBER($L1201),$L1201&lt;$J1201,COUNTIFS(nrES_PID,$D1201,nrES_Code,$F1201,nrES_Att,2,nrES_Raw,"&gt;=0")=0),"Yes","No")))</f>
        <v/>
      </c>
      <c r="R1201" s="17">
        <f>IF($C1201="","",IF($L1201="","",IF(AND($K1201=2,ISNUMBER($L1201),$L1201&lt;$J1201),"Yes","No")))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OR($C1201="",$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RANGE",IF(COUNTIF(nrES_RecID,$B1201)&gt;1,"DUPLICATE RECORD",IF(AND($K1201=2,COUNTIFS(nrES_PID,$D1201,nrES_Code,$F1201,nrES_Att,1)=0),"ATTEMPT 2 WITHOUT ATTEMPT 1",IF(AND($K1201=2,$L1201=""),"RETEST ROW HAS NO SCORE",IF(AND($H1201="Final",$L1201&lt;&gt;"",IFERROR(INDEX(nrCKfinalExamElig,MATCH($D1201,rngCadetPIDs,0)),"")="No"),"FINAL EXAM AFTER FAILED FINAL PT (500.1.H)","OK")))))))</f>
        <v/>
      </c>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IF($C1202="","",IF($K1202="","",IF(COUNTIFS(nrES_PID,$D1202,nrES_Code,$F1202,nrES_Att,"&gt;"&amp;$K1202,nrES_Raw,"&gt;=0")=0,"Yes","No")))</f>
        <v/>
      </c>
      <c r="Q1202" s="17">
        <f>IF($C1202="","",IF($L1202="","",IF(AND($K1202=1,ISNUMBER($L1202),$L1202&lt;$J1202,COUNTIFS(nrES_PID,$D1202,nrES_Code,$F1202,nrES_Att,2,nrES_Raw,"&gt;=0")=0),"Yes","No")))</f>
        <v/>
      </c>
      <c r="R1202" s="17">
        <f>IF($C1202="","",IF($L1202="","",IF(AND($K1202=2,ISNUMBER($L1202),$L1202&lt;$J1202),"Yes","No")))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OR($C1202="",$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RANGE",IF(COUNTIF(nrES_RecID,$B1202)&gt;1,"DUPLICATE RECORD",IF(AND($K1202=2,COUNTIFS(nrES_PID,$D1202,nrES_Code,$F1202,nrES_Att,1)=0),"ATTEMPT 2 WITHOUT ATTEMPT 1",IF(AND($K1202=2,$L1202=""),"RETEST ROW HAS NO SCORE",IF(AND($H1202="Final",$L1202&lt;&gt;"",IFERROR(INDEX(nrCKfinalExamElig,MATCH($D1202,rngCadetPIDs,0)),"")="No"),"FINAL EXAM AFTER FAILED FINAL PT (500.1.H)","OK")))))))</f>
        <v/>
      </c>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IF($C1203="","",IF($K1203="","",IF(COUNTIFS(nrES_PID,$D1203,nrES_Code,$F1203,nrES_Att,"&gt;"&amp;$K1203,nrES_Raw,"&gt;=0")=0,"Yes","No")))</f>
        <v/>
      </c>
      <c r="Q1203" s="17">
        <f>IF($C1203="","",IF($L1203="","",IF(AND($K1203=1,ISNUMBER($L1203),$L1203&lt;$J1203,COUNTIFS(nrES_PID,$D1203,nrES_Code,$F1203,nrES_Att,2,nrES_Raw,"&gt;=0")=0),"Yes","No")))</f>
        <v/>
      </c>
      <c r="R1203" s="17">
        <f>IF($C1203="","",IF($L1203="","",IF(AND($K1203=2,ISNUMBER($L1203),$L1203&lt;$J1203),"Yes","No")))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OR($C1203="",$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RANGE",IF(COUNTIF(nrES_RecID,$B1203)&gt;1,"DUPLICATE RECORD",IF(AND($K1203=2,COUNTIFS(nrES_PID,$D1203,nrES_Code,$F1203,nrES_Att,1)=0),"ATTEMPT 2 WITHOUT ATTEMPT 1",IF(AND($K1203=2,$L1203=""),"RETEST ROW HAS NO SCORE",IF(AND($H1203="Final",$L1203&lt;&gt;"",IFERROR(INDEX(nrCKfinalExamElig,MATCH($D1203,rngCadetPIDs,0)),"")="No"),"FINAL EXAM AFTER FAILED FINAL PT (500.1.H)","OK")))))))</f>
        <v/>
      </c>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IF($C1204="","",IF($K1204="","",IF(COUNTIFS(nrES_PID,$D1204,nrES_Code,$F1204,nrES_Att,"&gt;"&amp;$K1204,nrES_Raw,"&gt;=0")=0,"Yes","No")))</f>
        <v/>
      </c>
      <c r="Q1204" s="17">
        <f>IF($C1204="","",IF($L1204="","",IF(AND($K1204=1,ISNUMBER($L1204),$L1204&lt;$J1204,COUNTIFS(nrES_PID,$D1204,nrES_Code,$F1204,nrES_Att,2,nrES_Raw,"&gt;=0")=0),"Yes","No")))</f>
        <v/>
      </c>
      <c r="R1204" s="17">
        <f>IF($C1204="","",IF($L1204="","",IF(AND($K1204=2,ISNUMBER($L1204),$L1204&lt;$J1204),"Yes","No")))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OR($C1204="",$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RANGE",IF(COUNTIF(nrES_RecID,$B1204)&gt;1,"DUPLICATE RECORD",IF(AND($K1204=2,COUNTIFS(nrES_PID,$D1204,nrES_Code,$F1204,nrES_Att,1)=0),"ATTEMPT 2 WITHOUT ATTEMPT 1",IF(AND($K1204=2,$L1204=""),"RETEST ROW HAS NO SCORE",IF(AND($H1204="Final",$L1204&lt;&gt;"",IFERROR(INDEX(nrCKfinalExamElig,MATCH($D1204,rngCadetPIDs,0)),"")="No"),"FINAL EXAM AFTER FAILED FINAL PT (500.1.H)","OK")))))))</f>
        <v/>
      </c>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IF($C1205="","",IF($K1205="","",IF(COUNTIFS(nrES_PID,$D1205,nrES_Code,$F1205,nrES_Att,"&gt;"&amp;$K1205,nrES_Raw,"&gt;=0")=0,"Yes","No")))</f>
        <v/>
      </c>
      <c r="Q1205" s="17">
        <f>IF($C1205="","",IF($L1205="","",IF(AND($K1205=1,ISNUMBER($L1205),$L1205&lt;$J1205,COUNTIFS(nrES_PID,$D1205,nrES_Code,$F1205,nrES_Att,2,nrES_Raw,"&gt;=0")=0),"Yes","No")))</f>
        <v/>
      </c>
      <c r="R1205" s="17">
        <f>IF($C1205="","",IF($L1205="","",IF(AND($K1205=2,ISNUMBER($L1205),$L1205&lt;$J1205),"Yes","No")))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OR($C1205="",$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RANGE",IF(COUNTIF(nrES_RecID,$B1205)&gt;1,"DUPLICATE RECORD",IF(AND($K1205=2,COUNTIFS(nrES_PID,$D1205,nrES_Code,$F1205,nrES_Att,1)=0),"ATTEMPT 2 WITHOUT ATTEMPT 1",IF(AND($K1205=2,$L1205=""),"RETEST ROW HAS NO SCORE",IF(AND($H1205="Final",$L1205&lt;&gt;"",IFERROR(INDEX(nrCKfinalExamElig,MATCH($D1205,rngCadetPIDs,0)),"")="No"),"FINAL EXAM AFTER FAILED FINAL PT (500.1.H)","OK")))))))</f>
        <v/>
      </c>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IF($C1206="","",IF($K1206="","",IF(COUNTIFS(nrES_PID,$D1206,nrES_Code,$F1206,nrES_Att,"&gt;"&amp;$K1206,nrES_Raw,"&gt;=0")=0,"Yes","No")))</f>
        <v/>
      </c>
      <c r="Q1206" s="17">
        <f>IF($C1206="","",IF($L1206="","",IF(AND($K1206=1,ISNUMBER($L1206),$L1206&lt;$J1206,COUNTIFS(nrES_PID,$D1206,nrES_Code,$F1206,nrES_Att,2,nrES_Raw,"&gt;=0")=0),"Yes","No")))</f>
        <v/>
      </c>
      <c r="R1206" s="17">
        <f>IF($C1206="","",IF($L1206="","",IF(AND($K1206=2,ISNUMBER($L1206),$L1206&lt;$J1206),"Yes","No")))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OR($C1206="",$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RANGE",IF(COUNTIF(nrES_RecID,$B1206)&gt;1,"DUPLICATE RECORD",IF(AND($K1206=2,COUNTIFS(nrES_PID,$D1206,nrES_Code,$F1206,nrES_Att,1)=0),"ATTEMPT 2 WITHOUT ATTEMPT 1",IF(AND($K1206=2,$L1206=""),"RETEST ROW HAS NO SCORE",IF(AND($H1206="Final",$L1206&lt;&gt;"",IFERROR(INDEX(nrCKfinalExamElig,MATCH($D1206,rngCadetPIDs,0)),"")="No"),"FINAL EXAM AFTER FAILED FINAL PT (500.1.H)","OK")))))))</f>
        <v/>
      </c>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IF($C1207="","",IF($K1207="","",IF(COUNTIFS(nrES_PID,$D1207,nrES_Code,$F1207,nrES_Att,"&gt;"&amp;$K1207,nrES_Raw,"&gt;=0")=0,"Yes","No")))</f>
        <v/>
      </c>
      <c r="Q1207" s="17">
        <f>IF($C1207="","",IF($L1207="","",IF(AND($K1207=1,ISNUMBER($L1207),$L1207&lt;$J1207,COUNTIFS(nrES_PID,$D1207,nrES_Code,$F1207,nrES_Att,2,nrES_Raw,"&gt;=0")=0),"Yes","No")))</f>
        <v/>
      </c>
      <c r="R1207" s="17">
        <f>IF($C1207="","",IF($L1207="","",IF(AND($K1207=2,ISNUMBER($L1207),$L1207&lt;$J1207),"Yes","No")))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OR($C1207="",$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RANGE",IF(COUNTIF(nrES_RecID,$B1207)&gt;1,"DUPLICATE RECORD",IF(AND($K1207=2,COUNTIFS(nrES_PID,$D1207,nrES_Code,$F1207,nrES_Att,1)=0),"ATTEMPT 2 WITHOUT ATTEMPT 1",IF(AND($K1207=2,$L1207=""),"RETEST ROW HAS NO SCORE",IF(AND($H1207="Final",$L1207&lt;&gt;"",IFERROR(INDEX(nrCKfinalExamElig,MATCH($D1207,rngCadetPIDs,0)),"")="No"),"FINAL EXAM AFTER FAILED FINAL PT (500.1.H)","OK")))))))</f>
        <v/>
      </c>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IF($C1208="","",IF($K1208="","",IF(COUNTIFS(nrES_PID,$D1208,nrES_Code,$F1208,nrES_Att,"&gt;"&amp;$K1208,nrES_Raw,"&gt;=0")=0,"Yes","No")))</f>
        <v/>
      </c>
      <c r="Q1208" s="17">
        <f>IF($C1208="","",IF($L1208="","",IF(AND($K1208=1,ISNUMBER($L1208),$L1208&lt;$J1208,COUNTIFS(nrES_PID,$D1208,nrES_Code,$F1208,nrES_Att,2,nrES_Raw,"&gt;=0")=0),"Yes","No")))</f>
        <v/>
      </c>
      <c r="R1208" s="17">
        <f>IF($C1208="","",IF($L1208="","",IF(AND($K1208=2,ISNUMBER($L1208),$L1208&lt;$J1208),"Yes","No")))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OR($C1208="",$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RANGE",IF(COUNTIF(nrES_RecID,$B1208)&gt;1,"DUPLICATE RECORD",IF(AND($K1208=2,COUNTIFS(nrES_PID,$D1208,nrES_Code,$F1208,nrES_Att,1)=0),"ATTEMPT 2 WITHOUT ATTEMPT 1",IF(AND($K1208=2,$L1208=""),"RETEST ROW HAS NO SCORE",IF(AND($H1208="Final",$L1208&lt;&gt;"",IFERROR(INDEX(nrCKfinalExamElig,MATCH($D1208,rngCadetPIDs,0)),"")="No"),"FINAL EXAM AFTER FAILED FINAL PT (500.1.H)","OK")))))))</f>
        <v/>
      </c>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IF($C1209="","",IF($K1209="","",IF(COUNTIFS(nrES_PID,$D1209,nrES_Code,$F1209,nrES_Att,"&gt;"&amp;$K1209,nrES_Raw,"&gt;=0")=0,"Yes","No")))</f>
        <v/>
      </c>
      <c r="Q1209" s="17">
        <f>IF($C1209="","",IF($L1209="","",IF(AND($K1209=1,ISNUMBER($L1209),$L1209&lt;$J1209,COUNTIFS(nrES_PID,$D1209,nrES_Code,$F1209,nrES_Att,2,nrES_Raw,"&gt;=0")=0),"Yes","No")))</f>
        <v/>
      </c>
      <c r="R1209" s="17">
        <f>IF($C1209="","",IF($L1209="","",IF(AND($K1209=2,ISNUMBER($L1209),$L1209&lt;$J1209),"Yes","No")))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OR($C1209="",$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RANGE",IF(COUNTIF(nrES_RecID,$B1209)&gt;1,"DUPLICATE RECORD",IF(AND($K1209=2,COUNTIFS(nrES_PID,$D1209,nrES_Code,$F1209,nrES_Att,1)=0),"ATTEMPT 2 WITHOUT ATTEMPT 1",IF(AND($K1209=2,$L1209=""),"RETEST ROW HAS NO SCORE",IF(AND($H1209="Final",$L1209&lt;&gt;"",IFERROR(INDEX(nrCKfinalExamElig,MATCH($D1209,rngCadetPIDs,0)),"")="No"),"FINAL EXAM AFTER FAILED FINAL PT (500.1.H)","OK")))))))</f>
        <v/>
      </c>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IF($C1210="","",IF($K1210="","",IF(COUNTIFS(nrES_PID,$D1210,nrES_Code,$F1210,nrES_Att,"&gt;"&amp;$K1210,nrES_Raw,"&gt;=0")=0,"Yes","No")))</f>
        <v/>
      </c>
      <c r="Q1210" s="17">
        <f>IF($C1210="","",IF($L1210="","",IF(AND($K1210=1,ISNUMBER($L1210),$L1210&lt;$J1210,COUNTIFS(nrES_PID,$D1210,nrES_Code,$F1210,nrES_Att,2,nrES_Raw,"&gt;=0")=0),"Yes","No")))</f>
        <v/>
      </c>
      <c r="R1210" s="17">
        <f>IF($C1210="","",IF($L1210="","",IF(AND($K1210=2,ISNUMBER($L1210),$L1210&lt;$J1210),"Yes","No")))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OR($C1210="",$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RANGE",IF(COUNTIF(nrES_RecID,$B1210)&gt;1,"DUPLICATE RECORD",IF(AND($K1210=2,COUNTIFS(nrES_PID,$D1210,nrES_Code,$F1210,nrES_Att,1)=0),"ATTEMPT 2 WITHOUT ATTEMPT 1",IF(AND($K1210=2,$L1210=""),"RETEST ROW HAS NO SCORE",IF(AND($H1210="Final",$L1210&lt;&gt;"",IFERROR(INDEX(nrCKfinalExamElig,MATCH($D1210,rngCadetPIDs,0)),"")="No"),"FINAL EXAM AFTER FAILED FINAL PT (500.1.H)","OK")))))))</f>
        <v/>
      </c>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IF($C1211="","",IF($K1211="","",IF(COUNTIFS(nrES_PID,$D1211,nrES_Code,$F1211,nrES_Att,"&gt;"&amp;$K1211,nrES_Raw,"&gt;=0")=0,"Yes","No")))</f>
        <v/>
      </c>
      <c r="Q1211" s="17">
        <f>IF($C1211="","",IF($L1211="","",IF(AND($K1211=1,ISNUMBER($L1211),$L1211&lt;$J1211,COUNTIFS(nrES_PID,$D1211,nrES_Code,$F1211,nrES_Att,2,nrES_Raw,"&gt;=0")=0),"Yes","No")))</f>
        <v/>
      </c>
      <c r="R1211" s="17">
        <f>IF($C1211="","",IF($L1211="","",IF(AND($K1211=2,ISNUMBER($L1211),$L1211&lt;$J1211),"Yes","No")))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OR($C1211="",$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RANGE",IF(COUNTIF(nrES_RecID,$B1211)&gt;1,"DUPLICATE RECORD",IF(AND($K1211=2,COUNTIFS(nrES_PID,$D1211,nrES_Code,$F1211,nrES_Att,1)=0),"ATTEMPT 2 WITHOUT ATTEMPT 1",IF(AND($K1211=2,$L1211=""),"RETEST ROW HAS NO SCORE",IF(AND($H1211="Final",$L1211&lt;&gt;"",IFERROR(INDEX(nrCKfinalExamElig,MATCH($D1211,rngCadetPIDs,0)),"")="No"),"FINAL EXAM AFTER FAILED FINAL PT (500.1.H)","OK")))))))</f>
        <v/>
      </c>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IF($C1212="","",IF($K1212="","",IF(COUNTIFS(nrES_PID,$D1212,nrES_Code,$F1212,nrES_Att,"&gt;"&amp;$K1212,nrES_Raw,"&gt;=0")=0,"Yes","No")))</f>
        <v/>
      </c>
      <c r="Q1212" s="17">
        <f>IF($C1212="","",IF($L1212="","",IF(AND($K1212=1,ISNUMBER($L1212),$L1212&lt;$J1212,COUNTIFS(nrES_PID,$D1212,nrES_Code,$F1212,nrES_Att,2,nrES_Raw,"&gt;=0")=0),"Yes","No")))</f>
        <v/>
      </c>
      <c r="R1212" s="17">
        <f>IF($C1212="","",IF($L1212="","",IF(AND($K1212=2,ISNUMBER($L1212),$L1212&lt;$J1212),"Yes","No")))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OR($C1212="",$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RANGE",IF(COUNTIF(nrES_RecID,$B1212)&gt;1,"DUPLICATE RECORD",IF(AND($K1212=2,COUNTIFS(nrES_PID,$D1212,nrES_Code,$F1212,nrES_Att,1)=0),"ATTEMPT 2 WITHOUT ATTEMPT 1",IF(AND($K1212=2,$L1212=""),"RETEST ROW HAS NO SCORE",IF(AND($H1212="Final",$L1212&lt;&gt;"",IFERROR(INDEX(nrCKfinalExamElig,MATCH($D1212,rngCadetPIDs,0)),"")="No"),"FINAL EXAM AFTER FAILED FINAL PT (500.1.H)","OK")))))))</f>
        <v/>
      </c>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IF($C1213="","",IF($K1213="","",IF(COUNTIFS(nrES_PID,$D1213,nrES_Code,$F1213,nrES_Att,"&gt;"&amp;$K1213,nrES_Raw,"&gt;=0")=0,"Yes","No")))</f>
        <v/>
      </c>
      <c r="Q1213" s="17">
        <f>IF($C1213="","",IF($L1213="","",IF(AND($K1213=1,ISNUMBER($L1213),$L1213&lt;$J1213,COUNTIFS(nrES_PID,$D1213,nrES_Code,$F1213,nrES_Att,2,nrES_Raw,"&gt;=0")=0),"Yes","No")))</f>
        <v/>
      </c>
      <c r="R1213" s="17">
        <f>IF($C1213="","",IF($L1213="","",IF(AND($K1213=2,ISNUMBER($L1213),$L1213&lt;$J1213),"Yes","No")))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OR($C1213="",$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RANGE",IF(COUNTIF(nrES_RecID,$B1213)&gt;1,"DUPLICATE RECORD",IF(AND($K1213=2,COUNTIFS(nrES_PID,$D1213,nrES_Code,$F1213,nrES_Att,1)=0),"ATTEMPT 2 WITHOUT ATTEMPT 1",IF(AND($K1213=2,$L1213=""),"RETEST ROW HAS NO SCORE",IF(AND($H1213="Final",$L1213&lt;&gt;"",IFERROR(INDEX(nrCKfinalExamElig,MATCH($D1213,rngCadetPIDs,0)),"")="No"),"FINAL EXAM AFTER FAILED FINAL PT (500.1.H)","OK")))))))</f>
        <v/>
      </c>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IF($C1214="","",IF($K1214="","",IF(COUNTIFS(nrES_PID,$D1214,nrES_Code,$F1214,nrES_Att,"&gt;"&amp;$K1214,nrES_Raw,"&gt;=0")=0,"Yes","No")))</f>
        <v/>
      </c>
      <c r="Q1214" s="17">
        <f>IF($C1214="","",IF($L1214="","",IF(AND($K1214=1,ISNUMBER($L1214),$L1214&lt;$J1214,COUNTIFS(nrES_PID,$D1214,nrES_Code,$F1214,nrES_Att,2,nrES_Raw,"&gt;=0")=0),"Yes","No")))</f>
        <v/>
      </c>
      <c r="R1214" s="17">
        <f>IF($C1214="","",IF($L1214="","",IF(AND($K1214=2,ISNUMBER($L1214),$L1214&lt;$J1214),"Yes","No")))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OR($C1214="",$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RANGE",IF(COUNTIF(nrES_RecID,$B1214)&gt;1,"DUPLICATE RECORD",IF(AND($K1214=2,COUNTIFS(nrES_PID,$D1214,nrES_Code,$F1214,nrES_Att,1)=0),"ATTEMPT 2 WITHOUT ATTEMPT 1",IF(AND($K1214=2,$L1214=""),"RETEST ROW HAS NO SCORE",IF(AND($H1214="Final",$L1214&lt;&gt;"",IFERROR(INDEX(nrCKfinalExamElig,MATCH($D1214,rngCadetPIDs,0)),"")="No"),"FINAL EXAM AFTER FAILED FINAL PT (500.1.H)","OK")))))))</f>
        <v/>
      </c>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IF($C1215="","",IF($K1215="","",IF(COUNTIFS(nrES_PID,$D1215,nrES_Code,$F1215,nrES_Att,"&gt;"&amp;$K1215,nrES_Raw,"&gt;=0")=0,"Yes","No")))</f>
        <v/>
      </c>
      <c r="Q1215" s="17">
        <f>IF($C1215="","",IF($L1215="","",IF(AND($K1215=1,ISNUMBER($L1215),$L1215&lt;$J1215,COUNTIFS(nrES_PID,$D1215,nrES_Code,$F1215,nrES_Att,2,nrES_Raw,"&gt;=0")=0),"Yes","No")))</f>
        <v/>
      </c>
      <c r="R1215" s="17">
        <f>IF($C1215="","",IF($L1215="","",IF(AND($K1215=2,ISNUMBER($L1215),$L1215&lt;$J1215),"Yes","No")))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OR($C1215="",$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RANGE",IF(COUNTIF(nrES_RecID,$B1215)&gt;1,"DUPLICATE RECORD",IF(AND($K1215=2,COUNTIFS(nrES_PID,$D1215,nrES_Code,$F1215,nrES_Att,1)=0),"ATTEMPT 2 WITHOUT ATTEMPT 1",IF(AND($K1215=2,$L1215=""),"RETEST ROW HAS NO SCORE",IF(AND($H1215="Final",$L1215&lt;&gt;"",IFERROR(INDEX(nrCKfinalExamElig,MATCH($D1215,rngCadetPIDs,0)),"")="No"),"FINAL EXAM AFTER FAILED FINAL PT (500.1.H)","OK")))))))</f>
        <v/>
      </c>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IF($C1216="","",IF($K1216="","",IF(COUNTIFS(nrES_PID,$D1216,nrES_Code,$F1216,nrES_Att,"&gt;"&amp;$K1216,nrES_Raw,"&gt;=0")=0,"Yes","No")))</f>
        <v/>
      </c>
      <c r="Q1216" s="17">
        <f>IF($C1216="","",IF($L1216="","",IF(AND($K1216=1,ISNUMBER($L1216),$L1216&lt;$J1216,COUNTIFS(nrES_PID,$D1216,nrES_Code,$F1216,nrES_Att,2,nrES_Raw,"&gt;=0")=0),"Yes","No")))</f>
        <v/>
      </c>
      <c r="R1216" s="17">
        <f>IF($C1216="","",IF($L1216="","",IF(AND($K1216=2,ISNUMBER($L1216),$L1216&lt;$J1216),"Yes","No")))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OR($C1216="",$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RANGE",IF(COUNTIF(nrES_RecID,$B1216)&gt;1,"DUPLICATE RECORD",IF(AND($K1216=2,COUNTIFS(nrES_PID,$D1216,nrES_Code,$F1216,nrES_Att,1)=0),"ATTEMPT 2 WITHOUT ATTEMPT 1",IF(AND($K1216=2,$L1216=""),"RETEST ROW HAS NO SCORE",IF(AND($H1216="Final",$L1216&lt;&gt;"",IFERROR(INDEX(nrCKfinalExamElig,MATCH($D1216,rngCadetPIDs,0)),"")="No"),"FINAL EXAM AFTER FAILED FINAL PT (500.1.H)","OK")))))))</f>
        <v/>
      </c>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IF($C1217="","",IF($K1217="","",IF(COUNTIFS(nrES_PID,$D1217,nrES_Code,$F1217,nrES_Att,"&gt;"&amp;$K1217,nrES_Raw,"&gt;=0")=0,"Yes","No")))</f>
        <v/>
      </c>
      <c r="Q1217" s="17">
        <f>IF($C1217="","",IF($L1217="","",IF(AND($K1217=1,ISNUMBER($L1217),$L1217&lt;$J1217,COUNTIFS(nrES_PID,$D1217,nrES_Code,$F1217,nrES_Att,2,nrES_Raw,"&gt;=0")=0),"Yes","No")))</f>
        <v/>
      </c>
      <c r="R1217" s="17">
        <f>IF($C1217="","",IF($L1217="","",IF(AND($K1217=2,ISNUMBER($L1217),$L1217&lt;$J1217),"Yes","No")))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OR($C1217="",$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RANGE",IF(COUNTIF(nrES_RecID,$B1217)&gt;1,"DUPLICATE RECORD",IF(AND($K1217=2,COUNTIFS(nrES_PID,$D1217,nrES_Code,$F1217,nrES_Att,1)=0),"ATTEMPT 2 WITHOUT ATTEMPT 1",IF(AND($K1217=2,$L1217=""),"RETEST ROW HAS NO SCORE",IF(AND($H1217="Final",$L1217&lt;&gt;"",IFERROR(INDEX(nrCKfinalExamElig,MATCH($D1217,rngCadetPIDs,0)),"")="No"),"FINAL EXAM AFTER FAILED FINAL PT (500.1.H)","OK")))))))</f>
        <v/>
      </c>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IF($C1218="","",IF($K1218="","",IF(COUNTIFS(nrES_PID,$D1218,nrES_Code,$F1218,nrES_Att,"&gt;"&amp;$K1218,nrES_Raw,"&gt;=0")=0,"Yes","No")))</f>
        <v/>
      </c>
      <c r="Q1218" s="17">
        <f>IF($C1218="","",IF($L1218="","",IF(AND($K1218=1,ISNUMBER($L1218),$L1218&lt;$J1218,COUNTIFS(nrES_PID,$D1218,nrES_Code,$F1218,nrES_Att,2,nrES_Raw,"&gt;=0")=0),"Yes","No")))</f>
        <v/>
      </c>
      <c r="R1218" s="17">
        <f>IF($C1218="","",IF($L1218="","",IF(AND($K1218=2,ISNUMBER($L1218),$L1218&lt;$J1218),"Yes","No")))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OR($C1218="",$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RANGE",IF(COUNTIF(nrES_RecID,$B1218)&gt;1,"DUPLICATE RECORD",IF(AND($K1218=2,COUNTIFS(nrES_PID,$D1218,nrES_Code,$F1218,nrES_Att,1)=0),"ATTEMPT 2 WITHOUT ATTEMPT 1",IF(AND($K1218=2,$L1218=""),"RETEST ROW HAS NO SCORE",IF(AND($H1218="Final",$L1218&lt;&gt;"",IFERROR(INDEX(nrCKfinalExamElig,MATCH($D1218,rngCadetPIDs,0)),"")="No"),"FINAL EXAM AFTER FAILED FINAL PT (500.1.H)","OK")))))))</f>
        <v/>
      </c>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IF($C1219="","",IF($K1219="","",IF(COUNTIFS(nrES_PID,$D1219,nrES_Code,$F1219,nrES_Att,"&gt;"&amp;$K1219,nrES_Raw,"&gt;=0")=0,"Yes","No")))</f>
        <v/>
      </c>
      <c r="Q1219" s="17">
        <f>IF($C1219="","",IF($L1219="","",IF(AND($K1219=1,ISNUMBER($L1219),$L1219&lt;$J1219,COUNTIFS(nrES_PID,$D1219,nrES_Code,$F1219,nrES_Att,2,nrES_Raw,"&gt;=0")=0),"Yes","No")))</f>
        <v/>
      </c>
      <c r="R1219" s="17">
        <f>IF($C1219="","",IF($L1219="","",IF(AND($K1219=2,ISNUMBER($L1219),$L1219&lt;$J1219),"Yes","No")))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OR($C1219="",$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RANGE",IF(COUNTIF(nrES_RecID,$B1219)&gt;1,"DUPLICATE RECORD",IF(AND($K1219=2,COUNTIFS(nrES_PID,$D1219,nrES_Code,$F1219,nrES_Att,1)=0),"ATTEMPT 2 WITHOUT ATTEMPT 1",IF(AND($K1219=2,$L1219=""),"RETEST ROW HAS NO SCORE",IF(AND($H1219="Final",$L1219&lt;&gt;"",IFERROR(INDEX(nrCKfinalExamElig,MATCH($D1219,rngCadetPIDs,0)),"")="No"),"FINAL EXAM AFTER FAILED FINAL PT (500.1.H)","OK")))))))</f>
        <v/>
      </c>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IF($C1220="","",IF($K1220="","",IF(COUNTIFS(nrES_PID,$D1220,nrES_Code,$F1220,nrES_Att,"&gt;"&amp;$K1220,nrES_Raw,"&gt;=0")=0,"Yes","No")))</f>
        <v/>
      </c>
      <c r="Q1220" s="17">
        <f>IF($C1220="","",IF($L1220="","",IF(AND($K1220=1,ISNUMBER($L1220),$L1220&lt;$J1220,COUNTIFS(nrES_PID,$D1220,nrES_Code,$F1220,nrES_Att,2,nrES_Raw,"&gt;=0")=0),"Yes","No")))</f>
        <v/>
      </c>
      <c r="R1220" s="17">
        <f>IF($C1220="","",IF($L1220="","",IF(AND($K1220=2,ISNUMBER($L1220),$L1220&lt;$J1220),"Yes","No")))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OR($C1220="",$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RANGE",IF(COUNTIF(nrES_RecID,$B1220)&gt;1,"DUPLICATE RECORD",IF(AND($K1220=2,COUNTIFS(nrES_PID,$D1220,nrES_Code,$F1220,nrES_Att,1)=0),"ATTEMPT 2 WITHOUT ATTEMPT 1",IF(AND($K1220=2,$L1220=""),"RETEST ROW HAS NO SCORE",IF(AND($H1220="Final",$L1220&lt;&gt;"",IFERROR(INDEX(nrCKfinalExamElig,MATCH($D1220,rngCadetPIDs,0)),"")="No"),"FINAL EXAM AFTER FAILED FINAL PT (500.1.H)","OK")))))))</f>
        <v/>
      </c>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IF($C1221="","",IF($K1221="","",IF(COUNTIFS(nrES_PID,$D1221,nrES_Code,$F1221,nrES_Att,"&gt;"&amp;$K1221,nrES_Raw,"&gt;=0")=0,"Yes","No")))</f>
        <v/>
      </c>
      <c r="Q1221" s="17">
        <f>IF($C1221="","",IF($L1221="","",IF(AND($K1221=1,ISNUMBER($L1221),$L1221&lt;$J1221,COUNTIFS(nrES_PID,$D1221,nrES_Code,$F1221,nrES_Att,2,nrES_Raw,"&gt;=0")=0),"Yes","No")))</f>
        <v/>
      </c>
      <c r="R1221" s="17">
        <f>IF($C1221="","",IF($L1221="","",IF(AND($K1221=2,ISNUMBER($L1221),$L1221&lt;$J1221),"Yes","No")))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OR($C1221="",$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RANGE",IF(COUNTIF(nrES_RecID,$B1221)&gt;1,"DUPLICATE RECORD",IF(AND($K1221=2,COUNTIFS(nrES_PID,$D1221,nrES_Code,$F1221,nrES_Att,1)=0),"ATTEMPT 2 WITHOUT ATTEMPT 1",IF(AND($K1221=2,$L1221=""),"RETEST ROW HAS NO SCORE",IF(AND($H1221="Final",$L1221&lt;&gt;"",IFERROR(INDEX(nrCKfinalExamElig,MATCH($D1221,rngCadetPIDs,0)),"")="No"),"FINAL EXAM AFTER FAILED FINAL PT (500.1.H)","OK")))))))</f>
        <v/>
      </c>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IF($C1222="","",IF($K1222="","",IF(COUNTIFS(nrES_PID,$D1222,nrES_Code,$F1222,nrES_Att,"&gt;"&amp;$K1222,nrES_Raw,"&gt;=0")=0,"Yes","No")))</f>
        <v/>
      </c>
      <c r="Q1222" s="17">
        <f>IF($C1222="","",IF($L1222="","",IF(AND($K1222=1,ISNUMBER($L1222),$L1222&lt;$J1222,COUNTIFS(nrES_PID,$D1222,nrES_Code,$F1222,nrES_Att,2,nrES_Raw,"&gt;=0")=0),"Yes","No")))</f>
        <v/>
      </c>
      <c r="R1222" s="17">
        <f>IF($C1222="","",IF($L1222="","",IF(AND($K1222=2,ISNUMBER($L1222),$L1222&lt;$J1222),"Yes","No")))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OR($C1222="",$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RANGE",IF(COUNTIF(nrES_RecID,$B1222)&gt;1,"DUPLICATE RECORD",IF(AND($K1222=2,COUNTIFS(nrES_PID,$D1222,nrES_Code,$F1222,nrES_Att,1)=0),"ATTEMPT 2 WITHOUT ATTEMPT 1",IF(AND($K1222=2,$L1222=""),"RETEST ROW HAS NO SCORE",IF(AND($H1222="Final",$L1222&lt;&gt;"",IFERROR(INDEX(nrCKfinalExamElig,MATCH($D1222,rngCadetPIDs,0)),"")="No"),"FINAL EXAM AFTER FAILED FINAL PT (500.1.H)","OK")))))))</f>
        <v/>
      </c>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IF($C1223="","",IF($K1223="","",IF(COUNTIFS(nrES_PID,$D1223,nrES_Code,$F1223,nrES_Att,"&gt;"&amp;$K1223,nrES_Raw,"&gt;=0")=0,"Yes","No")))</f>
        <v/>
      </c>
      <c r="Q1223" s="17">
        <f>IF($C1223="","",IF($L1223="","",IF(AND($K1223=1,ISNUMBER($L1223),$L1223&lt;$J1223,COUNTIFS(nrES_PID,$D1223,nrES_Code,$F1223,nrES_Att,2,nrES_Raw,"&gt;=0")=0),"Yes","No")))</f>
        <v/>
      </c>
      <c r="R1223" s="17">
        <f>IF($C1223="","",IF($L1223="","",IF(AND($K1223=2,ISNUMBER($L1223),$L1223&lt;$J1223),"Yes","No")))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OR($C1223="",$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RANGE",IF(COUNTIF(nrES_RecID,$B1223)&gt;1,"DUPLICATE RECORD",IF(AND($K1223=2,COUNTIFS(nrES_PID,$D1223,nrES_Code,$F1223,nrES_Att,1)=0),"ATTEMPT 2 WITHOUT ATTEMPT 1",IF(AND($K1223=2,$L1223=""),"RETEST ROW HAS NO SCORE",IF(AND($H1223="Final",$L1223&lt;&gt;"",IFERROR(INDEX(nrCKfinalExamElig,MATCH($D1223,rngCadetPIDs,0)),"")="No"),"FINAL EXAM AFTER FAILED FINAL PT (500.1.H)","OK")))))))</f>
        <v/>
      </c>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IF($C1224="","",IF($K1224="","",IF(COUNTIFS(nrES_PID,$D1224,nrES_Code,$F1224,nrES_Att,"&gt;"&amp;$K1224,nrES_Raw,"&gt;=0")=0,"Yes","No")))</f>
        <v/>
      </c>
      <c r="Q1224" s="17">
        <f>IF($C1224="","",IF($L1224="","",IF(AND($K1224=1,ISNUMBER($L1224),$L1224&lt;$J1224,COUNTIFS(nrES_PID,$D1224,nrES_Code,$F1224,nrES_Att,2,nrES_Raw,"&gt;=0")=0),"Yes","No")))</f>
        <v/>
      </c>
      <c r="R1224" s="17">
        <f>IF($C1224="","",IF($L1224="","",IF(AND($K1224=2,ISNUMBER($L1224),$L1224&lt;$J1224),"Yes","No")))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OR($C1224="",$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RANGE",IF(COUNTIF(nrES_RecID,$B1224)&gt;1,"DUPLICATE RECORD",IF(AND($K1224=2,COUNTIFS(nrES_PID,$D1224,nrES_Code,$F1224,nrES_Att,1)=0),"ATTEMPT 2 WITHOUT ATTEMPT 1",IF(AND($K1224=2,$L1224=""),"RETEST ROW HAS NO SCORE",IF(AND($H1224="Final",$L1224&lt;&gt;"",IFERROR(INDEX(nrCKfinalExamElig,MATCH($D1224,rngCadetPIDs,0)),"")="No"),"FINAL EXAM AFTER FAILED FINAL PT (500.1.H)","OK")))))))</f>
        <v/>
      </c>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IF($C1225="","",IF($K1225="","",IF(COUNTIFS(nrES_PID,$D1225,nrES_Code,$F1225,nrES_Att,"&gt;"&amp;$K1225,nrES_Raw,"&gt;=0")=0,"Yes","No")))</f>
        <v/>
      </c>
      <c r="Q1225" s="17">
        <f>IF($C1225="","",IF($L1225="","",IF(AND($K1225=1,ISNUMBER($L1225),$L1225&lt;$J1225,COUNTIFS(nrES_PID,$D1225,nrES_Code,$F1225,nrES_Att,2,nrES_Raw,"&gt;=0")=0),"Yes","No")))</f>
        <v/>
      </c>
      <c r="R1225" s="17">
        <f>IF($C1225="","",IF($L1225="","",IF(AND($K1225=2,ISNUMBER($L1225),$L1225&lt;$J1225),"Yes","No")))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OR($C1225="",$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RANGE",IF(COUNTIF(nrES_RecID,$B1225)&gt;1,"DUPLICATE RECORD",IF(AND($K1225=2,COUNTIFS(nrES_PID,$D1225,nrES_Code,$F1225,nrES_Att,1)=0),"ATTEMPT 2 WITHOUT ATTEMPT 1",IF(AND($K1225=2,$L1225=""),"RETEST ROW HAS NO SCORE",IF(AND($H1225="Final",$L1225&lt;&gt;"",IFERROR(INDEX(nrCKfinalExamElig,MATCH($D1225,rngCadetPIDs,0)),"")="No"),"FINAL EXAM AFTER FAILED FINAL PT (500.1.H)","OK")))))))</f>
        <v/>
      </c>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IF($C1226="","",IF($K1226="","",IF(COUNTIFS(nrES_PID,$D1226,nrES_Code,$F1226,nrES_Att,"&gt;"&amp;$K1226,nrES_Raw,"&gt;=0")=0,"Yes","No")))</f>
        <v/>
      </c>
      <c r="Q1226" s="17">
        <f>IF($C1226="","",IF($L1226="","",IF(AND($K1226=1,ISNUMBER($L1226),$L1226&lt;$J1226,COUNTIFS(nrES_PID,$D1226,nrES_Code,$F1226,nrES_Att,2,nrES_Raw,"&gt;=0")=0),"Yes","No")))</f>
        <v/>
      </c>
      <c r="R1226" s="17">
        <f>IF($C1226="","",IF($L1226="","",IF(AND($K1226=2,ISNUMBER($L1226),$L1226&lt;$J1226),"Yes","No")))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OR($C1226="",$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RANGE",IF(COUNTIF(nrES_RecID,$B1226)&gt;1,"DUPLICATE RECORD",IF(AND($K1226=2,COUNTIFS(nrES_PID,$D1226,nrES_Code,$F1226,nrES_Att,1)=0),"ATTEMPT 2 WITHOUT ATTEMPT 1",IF(AND($K1226=2,$L1226=""),"RETEST ROW HAS NO SCORE",IF(AND($H1226="Final",$L1226&lt;&gt;"",IFERROR(INDEX(nrCKfinalExamElig,MATCH($D1226,rngCadetPIDs,0)),"")="No"),"FINAL EXAM AFTER FAILED FINAL PT (500.1.H)","OK")))))))</f>
        <v/>
      </c>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IF($C1227="","",IF($K1227="","",IF(COUNTIFS(nrES_PID,$D1227,nrES_Code,$F1227,nrES_Att,"&gt;"&amp;$K1227,nrES_Raw,"&gt;=0")=0,"Yes","No")))</f>
        <v/>
      </c>
      <c r="Q1227" s="17">
        <f>IF($C1227="","",IF($L1227="","",IF(AND($K1227=1,ISNUMBER($L1227),$L1227&lt;$J1227,COUNTIFS(nrES_PID,$D1227,nrES_Code,$F1227,nrES_Att,2,nrES_Raw,"&gt;=0")=0),"Yes","No")))</f>
        <v/>
      </c>
      <c r="R1227" s="17">
        <f>IF($C1227="","",IF($L1227="","",IF(AND($K1227=2,ISNUMBER($L1227),$L1227&lt;$J1227),"Yes","No")))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OR($C1227="",$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RANGE",IF(COUNTIF(nrES_RecID,$B1227)&gt;1,"DUPLICATE RECORD",IF(AND($K1227=2,COUNTIFS(nrES_PID,$D1227,nrES_Code,$F1227,nrES_Att,1)=0),"ATTEMPT 2 WITHOUT ATTEMPT 1",IF(AND($K1227=2,$L1227=""),"RETEST ROW HAS NO SCORE",IF(AND($H1227="Final",$L1227&lt;&gt;"",IFERROR(INDEX(nrCKfinalExamElig,MATCH($D1227,rngCadetPIDs,0)),"")="No"),"FINAL EXAM AFTER FAILED FINAL PT (500.1.H)","OK")))))))</f>
        <v/>
      </c>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IF($C1228="","",IF($K1228="","",IF(COUNTIFS(nrES_PID,$D1228,nrES_Code,$F1228,nrES_Att,"&gt;"&amp;$K1228,nrES_Raw,"&gt;=0")=0,"Yes","No")))</f>
        <v/>
      </c>
      <c r="Q1228" s="17">
        <f>IF($C1228="","",IF($L1228="","",IF(AND($K1228=1,ISNUMBER($L1228),$L1228&lt;$J1228,COUNTIFS(nrES_PID,$D1228,nrES_Code,$F1228,nrES_Att,2,nrES_Raw,"&gt;=0")=0),"Yes","No")))</f>
        <v/>
      </c>
      <c r="R1228" s="17">
        <f>IF($C1228="","",IF($L1228="","",IF(AND($K1228=2,ISNUMBER($L1228),$L1228&lt;$J1228),"Yes","No")))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OR($C1228="",$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RANGE",IF(COUNTIF(nrES_RecID,$B1228)&gt;1,"DUPLICATE RECORD",IF(AND($K1228=2,COUNTIFS(nrES_PID,$D1228,nrES_Code,$F1228,nrES_Att,1)=0),"ATTEMPT 2 WITHOUT ATTEMPT 1",IF(AND($K1228=2,$L1228=""),"RETEST ROW HAS NO SCORE",IF(AND($H1228="Final",$L1228&lt;&gt;"",IFERROR(INDEX(nrCKfinalExamElig,MATCH($D1228,rngCadetPIDs,0)),"")="No"),"FINAL EXAM AFTER FAILED FINAL PT (500.1.H)","OK")))))))</f>
        <v/>
      </c>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IF($C1229="","",IF($K1229="","",IF(COUNTIFS(nrES_PID,$D1229,nrES_Code,$F1229,nrES_Att,"&gt;"&amp;$K1229,nrES_Raw,"&gt;=0")=0,"Yes","No")))</f>
        <v/>
      </c>
      <c r="Q1229" s="17">
        <f>IF($C1229="","",IF($L1229="","",IF(AND($K1229=1,ISNUMBER($L1229),$L1229&lt;$J1229,COUNTIFS(nrES_PID,$D1229,nrES_Code,$F1229,nrES_Att,2,nrES_Raw,"&gt;=0")=0),"Yes","No")))</f>
        <v/>
      </c>
      <c r="R1229" s="17">
        <f>IF($C1229="","",IF($L1229="","",IF(AND($K1229=2,ISNUMBER($L1229),$L1229&lt;$J1229),"Yes","No")))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OR($C1229="",$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RANGE",IF(COUNTIF(nrES_RecID,$B1229)&gt;1,"DUPLICATE RECORD",IF(AND($K1229=2,COUNTIFS(nrES_PID,$D1229,nrES_Code,$F1229,nrES_Att,1)=0),"ATTEMPT 2 WITHOUT ATTEMPT 1",IF(AND($K1229=2,$L1229=""),"RETEST ROW HAS NO SCORE",IF(AND($H1229="Final",$L1229&lt;&gt;"",IFERROR(INDEX(nrCKfinalExamElig,MATCH($D1229,rngCadetPIDs,0)),"")="No"),"FINAL EXAM AFTER FAILED FINAL PT (500.1.H)","OK")))))))</f>
        <v/>
      </c>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IF($C1230="","",IF($K1230="","",IF(COUNTIFS(nrES_PID,$D1230,nrES_Code,$F1230,nrES_Att,"&gt;"&amp;$K1230,nrES_Raw,"&gt;=0")=0,"Yes","No")))</f>
        <v/>
      </c>
      <c r="Q1230" s="17">
        <f>IF($C1230="","",IF($L1230="","",IF(AND($K1230=1,ISNUMBER($L1230),$L1230&lt;$J1230,COUNTIFS(nrES_PID,$D1230,nrES_Code,$F1230,nrES_Att,2,nrES_Raw,"&gt;=0")=0),"Yes","No")))</f>
        <v/>
      </c>
      <c r="R1230" s="17">
        <f>IF($C1230="","",IF($L1230="","",IF(AND($K1230=2,ISNUMBER($L1230),$L1230&lt;$J1230),"Yes","No")))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OR($C1230="",$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RANGE",IF(COUNTIF(nrES_RecID,$B1230)&gt;1,"DUPLICATE RECORD",IF(AND($K1230=2,COUNTIFS(nrES_PID,$D1230,nrES_Code,$F1230,nrES_Att,1)=0),"ATTEMPT 2 WITHOUT ATTEMPT 1",IF(AND($K1230=2,$L1230=""),"RETEST ROW HAS NO SCORE",IF(AND($H1230="Final",$L1230&lt;&gt;"",IFERROR(INDEX(nrCKfinalExamElig,MATCH($D1230,rngCadetPIDs,0)),"")="No"),"FINAL EXAM AFTER FAILED FINAL PT (500.1.H)","OK")))))))</f>
        <v/>
      </c>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IF($C1231="","",IF($K1231="","",IF(COUNTIFS(nrES_PID,$D1231,nrES_Code,$F1231,nrES_Att,"&gt;"&amp;$K1231,nrES_Raw,"&gt;=0")=0,"Yes","No")))</f>
        <v/>
      </c>
      <c r="Q1231" s="17">
        <f>IF($C1231="","",IF($L1231="","",IF(AND($K1231=1,ISNUMBER($L1231),$L1231&lt;$J1231,COUNTIFS(nrES_PID,$D1231,nrES_Code,$F1231,nrES_Att,2,nrES_Raw,"&gt;=0")=0),"Yes","No")))</f>
        <v/>
      </c>
      <c r="R1231" s="17">
        <f>IF($C1231="","",IF($L1231="","",IF(AND($K1231=2,ISNUMBER($L1231),$L1231&lt;$J1231),"Yes","No")))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OR($C1231="",$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RANGE",IF(COUNTIF(nrES_RecID,$B1231)&gt;1,"DUPLICATE RECORD",IF(AND($K1231=2,COUNTIFS(nrES_PID,$D1231,nrES_Code,$F1231,nrES_Att,1)=0),"ATTEMPT 2 WITHOUT ATTEMPT 1",IF(AND($K1231=2,$L1231=""),"RETEST ROW HAS NO SCORE",IF(AND($H1231="Final",$L1231&lt;&gt;"",IFERROR(INDEX(nrCKfinalExamElig,MATCH($D1231,rngCadetPIDs,0)),"")="No"),"FINAL EXAM AFTER FAILED FINAL PT (500.1.H)","OK")))))))</f>
        <v/>
      </c>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IF($C1232="","",IF($K1232="","",IF(COUNTIFS(nrES_PID,$D1232,nrES_Code,$F1232,nrES_Att,"&gt;"&amp;$K1232,nrES_Raw,"&gt;=0")=0,"Yes","No")))</f>
        <v/>
      </c>
      <c r="Q1232" s="17">
        <f>IF($C1232="","",IF($L1232="","",IF(AND($K1232=1,ISNUMBER($L1232),$L1232&lt;$J1232,COUNTIFS(nrES_PID,$D1232,nrES_Code,$F1232,nrES_Att,2,nrES_Raw,"&gt;=0")=0),"Yes","No")))</f>
        <v/>
      </c>
      <c r="R1232" s="17">
        <f>IF($C1232="","",IF($L1232="","",IF(AND($K1232=2,ISNUMBER($L1232),$L1232&lt;$J1232),"Yes","No")))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OR($C1232="",$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RANGE",IF(COUNTIF(nrES_RecID,$B1232)&gt;1,"DUPLICATE RECORD",IF(AND($K1232=2,COUNTIFS(nrES_PID,$D1232,nrES_Code,$F1232,nrES_Att,1)=0),"ATTEMPT 2 WITHOUT ATTEMPT 1",IF(AND($K1232=2,$L1232=""),"RETEST ROW HAS NO SCORE",IF(AND($H1232="Final",$L1232&lt;&gt;"",IFERROR(INDEX(nrCKfinalExamElig,MATCH($D1232,rngCadetPIDs,0)),"")="No"),"FINAL EXAM AFTER FAILED FINAL PT (500.1.H)","OK")))))))</f>
        <v/>
      </c>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IF($C1233="","",IF($K1233="","",IF(COUNTIFS(nrES_PID,$D1233,nrES_Code,$F1233,nrES_Att,"&gt;"&amp;$K1233,nrES_Raw,"&gt;=0")=0,"Yes","No")))</f>
        <v/>
      </c>
      <c r="Q1233" s="17">
        <f>IF($C1233="","",IF($L1233="","",IF(AND($K1233=1,ISNUMBER($L1233),$L1233&lt;$J1233,COUNTIFS(nrES_PID,$D1233,nrES_Code,$F1233,nrES_Att,2,nrES_Raw,"&gt;=0")=0),"Yes","No")))</f>
        <v/>
      </c>
      <c r="R1233" s="17">
        <f>IF($C1233="","",IF($L1233="","",IF(AND($K1233=2,ISNUMBER($L1233),$L1233&lt;$J1233),"Yes","No")))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OR($C1233="",$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RANGE",IF(COUNTIF(nrES_RecID,$B1233)&gt;1,"DUPLICATE RECORD",IF(AND($K1233=2,COUNTIFS(nrES_PID,$D1233,nrES_Code,$F1233,nrES_Att,1)=0),"ATTEMPT 2 WITHOUT ATTEMPT 1",IF(AND($K1233=2,$L1233=""),"RETEST ROW HAS NO SCORE",IF(AND($H1233="Final",$L1233&lt;&gt;"",IFERROR(INDEX(nrCKfinalExamElig,MATCH($D1233,rngCadetPIDs,0)),"")="No"),"FINAL EXAM AFTER FAILED FINAL PT (500.1.H)","OK")))))))</f>
        <v/>
      </c>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IF($C1234="","",IF($K1234="","",IF(COUNTIFS(nrES_PID,$D1234,nrES_Code,$F1234,nrES_Att,"&gt;"&amp;$K1234,nrES_Raw,"&gt;=0")=0,"Yes","No")))</f>
        <v/>
      </c>
      <c r="Q1234" s="17">
        <f>IF($C1234="","",IF($L1234="","",IF(AND($K1234=1,ISNUMBER($L1234),$L1234&lt;$J1234,COUNTIFS(nrES_PID,$D1234,nrES_Code,$F1234,nrES_Att,2,nrES_Raw,"&gt;=0")=0),"Yes","No")))</f>
        <v/>
      </c>
      <c r="R1234" s="17">
        <f>IF($C1234="","",IF($L1234="","",IF(AND($K1234=2,ISNUMBER($L1234),$L1234&lt;$J1234),"Yes","No")))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OR($C1234="",$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RANGE",IF(COUNTIF(nrES_RecID,$B1234)&gt;1,"DUPLICATE RECORD",IF(AND($K1234=2,COUNTIFS(nrES_PID,$D1234,nrES_Code,$F1234,nrES_Att,1)=0),"ATTEMPT 2 WITHOUT ATTEMPT 1",IF(AND($K1234=2,$L1234=""),"RETEST ROW HAS NO SCORE",IF(AND($H1234="Final",$L1234&lt;&gt;"",IFERROR(INDEX(nrCKfinalExamElig,MATCH($D1234,rngCadetPIDs,0)),"")="No"),"FINAL EXAM AFTER FAILED FINAL PT (500.1.H)","OK")))))))</f>
        <v/>
      </c>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IF($C1235="","",IF($K1235="","",IF(COUNTIFS(nrES_PID,$D1235,nrES_Code,$F1235,nrES_Att,"&gt;"&amp;$K1235,nrES_Raw,"&gt;=0")=0,"Yes","No")))</f>
        <v/>
      </c>
      <c r="Q1235" s="17">
        <f>IF($C1235="","",IF($L1235="","",IF(AND($K1235=1,ISNUMBER($L1235),$L1235&lt;$J1235,COUNTIFS(nrES_PID,$D1235,nrES_Code,$F1235,nrES_Att,2,nrES_Raw,"&gt;=0")=0),"Yes","No")))</f>
        <v/>
      </c>
      <c r="R1235" s="17">
        <f>IF($C1235="","",IF($L1235="","",IF(AND($K1235=2,ISNUMBER($L1235),$L1235&lt;$J1235),"Yes","No")))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OR($C1235="",$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RANGE",IF(COUNTIF(nrES_RecID,$B1235)&gt;1,"DUPLICATE RECORD",IF(AND($K1235=2,COUNTIFS(nrES_PID,$D1235,nrES_Code,$F1235,nrES_Att,1)=0),"ATTEMPT 2 WITHOUT ATTEMPT 1",IF(AND($K1235=2,$L1235=""),"RETEST ROW HAS NO SCORE",IF(AND($H1235="Final",$L1235&lt;&gt;"",IFERROR(INDEX(nrCKfinalExamElig,MATCH($D1235,rngCadetPIDs,0)),"")="No"),"FINAL EXAM AFTER FAILED FINAL PT (500.1.H)","OK")))))))</f>
        <v/>
      </c>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IF($C1236="","",IF($K1236="","",IF(COUNTIFS(nrES_PID,$D1236,nrES_Code,$F1236,nrES_Att,"&gt;"&amp;$K1236,nrES_Raw,"&gt;=0")=0,"Yes","No")))</f>
        <v/>
      </c>
      <c r="Q1236" s="17">
        <f>IF($C1236="","",IF($L1236="","",IF(AND($K1236=1,ISNUMBER($L1236),$L1236&lt;$J1236,COUNTIFS(nrES_PID,$D1236,nrES_Code,$F1236,nrES_Att,2,nrES_Raw,"&gt;=0")=0),"Yes","No")))</f>
        <v/>
      </c>
      <c r="R1236" s="17">
        <f>IF($C1236="","",IF($L1236="","",IF(AND($K1236=2,ISNUMBER($L1236),$L1236&lt;$J1236),"Yes","No")))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OR($C1236="",$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RANGE",IF(COUNTIF(nrES_RecID,$B1236)&gt;1,"DUPLICATE RECORD",IF(AND($K1236=2,COUNTIFS(nrES_PID,$D1236,nrES_Code,$F1236,nrES_Att,1)=0),"ATTEMPT 2 WITHOUT ATTEMPT 1",IF(AND($K1236=2,$L1236=""),"RETEST ROW HAS NO SCORE",IF(AND($H1236="Final",$L1236&lt;&gt;"",IFERROR(INDEX(nrCKfinalExamElig,MATCH($D1236,rngCadetPIDs,0)),"")="No"),"FINAL EXAM AFTER FAILED FINAL PT (500.1.H)","OK")))))))</f>
        <v/>
      </c>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IF($C1237="","",IF($K1237="","",IF(COUNTIFS(nrES_PID,$D1237,nrES_Code,$F1237,nrES_Att,"&gt;"&amp;$K1237,nrES_Raw,"&gt;=0")=0,"Yes","No")))</f>
        <v/>
      </c>
      <c r="Q1237" s="17">
        <f>IF($C1237="","",IF($L1237="","",IF(AND($K1237=1,ISNUMBER($L1237),$L1237&lt;$J1237,COUNTIFS(nrES_PID,$D1237,nrES_Code,$F1237,nrES_Att,2,nrES_Raw,"&gt;=0")=0),"Yes","No")))</f>
        <v/>
      </c>
      <c r="R1237" s="17">
        <f>IF($C1237="","",IF($L1237="","",IF(AND($K1237=2,ISNUMBER($L1237),$L1237&lt;$J1237),"Yes","No")))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OR($C1237="",$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RANGE",IF(COUNTIF(nrES_RecID,$B1237)&gt;1,"DUPLICATE RECORD",IF(AND($K1237=2,COUNTIFS(nrES_PID,$D1237,nrES_Code,$F1237,nrES_Att,1)=0),"ATTEMPT 2 WITHOUT ATTEMPT 1",IF(AND($K1237=2,$L1237=""),"RETEST ROW HAS NO SCORE",IF(AND($H1237="Final",$L1237&lt;&gt;"",IFERROR(INDEX(nrCKfinalExamElig,MATCH($D1237,rngCadetPIDs,0)),"")="No"),"FINAL EXAM AFTER FAILED FINAL PT (500.1.H)","OK")))))))</f>
        <v/>
      </c>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IF($C1238="","",IF($K1238="","",IF(COUNTIFS(nrES_PID,$D1238,nrES_Code,$F1238,nrES_Att,"&gt;"&amp;$K1238,nrES_Raw,"&gt;=0")=0,"Yes","No")))</f>
        <v/>
      </c>
      <c r="Q1238" s="17">
        <f>IF($C1238="","",IF($L1238="","",IF(AND($K1238=1,ISNUMBER($L1238),$L1238&lt;$J1238,COUNTIFS(nrES_PID,$D1238,nrES_Code,$F1238,nrES_Att,2,nrES_Raw,"&gt;=0")=0),"Yes","No")))</f>
        <v/>
      </c>
      <c r="R1238" s="17">
        <f>IF($C1238="","",IF($L1238="","",IF(AND($K1238=2,ISNUMBER($L1238),$L1238&lt;$J1238),"Yes","No")))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OR($C1238="",$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RANGE",IF(COUNTIF(nrES_RecID,$B1238)&gt;1,"DUPLICATE RECORD",IF(AND($K1238=2,COUNTIFS(nrES_PID,$D1238,nrES_Code,$F1238,nrES_Att,1)=0),"ATTEMPT 2 WITHOUT ATTEMPT 1",IF(AND($K1238=2,$L1238=""),"RETEST ROW HAS NO SCORE",IF(AND($H1238="Final",$L1238&lt;&gt;"",IFERROR(INDEX(nrCKfinalExamElig,MATCH($D1238,rngCadetPIDs,0)),"")="No"),"FINAL EXAM AFTER FAILED FINAL PT (500.1.H)","OK")))))))</f>
        <v/>
      </c>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IF($C1239="","",IF($K1239="","",IF(COUNTIFS(nrES_PID,$D1239,nrES_Code,$F1239,nrES_Att,"&gt;"&amp;$K1239,nrES_Raw,"&gt;=0")=0,"Yes","No")))</f>
        <v/>
      </c>
      <c r="Q1239" s="17">
        <f>IF($C1239="","",IF($L1239="","",IF(AND($K1239=1,ISNUMBER($L1239),$L1239&lt;$J1239,COUNTIFS(nrES_PID,$D1239,nrES_Code,$F1239,nrES_Att,2,nrES_Raw,"&gt;=0")=0),"Yes","No")))</f>
        <v/>
      </c>
      <c r="R1239" s="17">
        <f>IF($C1239="","",IF($L1239="","",IF(AND($K1239=2,ISNUMBER($L1239),$L1239&lt;$J1239),"Yes","No")))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OR($C1239="",$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RANGE",IF(COUNTIF(nrES_RecID,$B1239)&gt;1,"DUPLICATE RECORD",IF(AND($K1239=2,COUNTIFS(nrES_PID,$D1239,nrES_Code,$F1239,nrES_Att,1)=0),"ATTEMPT 2 WITHOUT ATTEMPT 1",IF(AND($K1239=2,$L1239=""),"RETEST ROW HAS NO SCORE",IF(AND($H1239="Final",$L1239&lt;&gt;"",IFERROR(INDEX(nrCKfinalExamElig,MATCH($D1239,rngCadetPIDs,0)),"")="No"),"FINAL EXAM AFTER FAILED FINAL PT (500.1.H)","OK")))))))</f>
        <v/>
      </c>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IF($C1240="","",IF($K1240="","",IF(COUNTIFS(nrES_PID,$D1240,nrES_Code,$F1240,nrES_Att,"&gt;"&amp;$K1240,nrES_Raw,"&gt;=0")=0,"Yes","No")))</f>
        <v/>
      </c>
      <c r="Q1240" s="17">
        <f>IF($C1240="","",IF($L1240="","",IF(AND($K1240=1,ISNUMBER($L1240),$L1240&lt;$J1240,COUNTIFS(nrES_PID,$D1240,nrES_Code,$F1240,nrES_Att,2,nrES_Raw,"&gt;=0")=0),"Yes","No")))</f>
        <v/>
      </c>
      <c r="R1240" s="17">
        <f>IF($C1240="","",IF($L1240="","",IF(AND($K1240=2,ISNUMBER($L1240),$L1240&lt;$J1240),"Yes","No")))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OR($C1240="",$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RANGE",IF(COUNTIF(nrES_RecID,$B1240)&gt;1,"DUPLICATE RECORD",IF(AND($K1240=2,COUNTIFS(nrES_PID,$D1240,nrES_Code,$F1240,nrES_Att,1)=0),"ATTEMPT 2 WITHOUT ATTEMPT 1",IF(AND($K1240=2,$L1240=""),"RETEST ROW HAS NO SCORE",IF(AND($H1240="Final",$L1240&lt;&gt;"",IFERROR(INDEX(nrCKfinalExamElig,MATCH($D1240,rngCadetPIDs,0)),"")="No"),"FINAL EXAM AFTER FAILED FINAL PT (500.1.H)","OK")))))))</f>
        <v/>
      </c>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IF($C1241="","",IF($K1241="","",IF(COUNTIFS(nrES_PID,$D1241,nrES_Code,$F1241,nrES_Att,"&gt;"&amp;$K1241,nrES_Raw,"&gt;=0")=0,"Yes","No")))</f>
        <v/>
      </c>
      <c r="Q1241" s="17">
        <f>IF($C1241="","",IF($L1241="","",IF(AND($K1241=1,ISNUMBER($L1241),$L1241&lt;$J1241,COUNTIFS(nrES_PID,$D1241,nrES_Code,$F1241,nrES_Att,2,nrES_Raw,"&gt;=0")=0),"Yes","No")))</f>
        <v/>
      </c>
      <c r="R1241" s="17">
        <f>IF($C1241="","",IF($L1241="","",IF(AND($K1241=2,ISNUMBER($L1241),$L1241&lt;$J1241),"Yes","No")))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OR($C1241="",$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RANGE",IF(COUNTIF(nrES_RecID,$B1241)&gt;1,"DUPLICATE RECORD",IF(AND($K1241=2,COUNTIFS(nrES_PID,$D1241,nrES_Code,$F1241,nrES_Att,1)=0),"ATTEMPT 2 WITHOUT ATTEMPT 1",IF(AND($K1241=2,$L1241=""),"RETEST ROW HAS NO SCORE",IF(AND($H1241="Final",$L1241&lt;&gt;"",IFERROR(INDEX(nrCKfinalExamElig,MATCH($D1241,rngCadetPIDs,0)),"")="No"),"FINAL EXAM AFTER FAILED FINAL PT (500.1.H)","OK")))))))</f>
        <v/>
      </c>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IF($C1242="","",IF($K1242="","",IF(COUNTIFS(nrES_PID,$D1242,nrES_Code,$F1242,nrES_Att,"&gt;"&amp;$K1242,nrES_Raw,"&gt;=0")=0,"Yes","No")))</f>
        <v/>
      </c>
      <c r="Q1242" s="17">
        <f>IF($C1242="","",IF($L1242="","",IF(AND($K1242=1,ISNUMBER($L1242),$L1242&lt;$J1242,COUNTIFS(nrES_PID,$D1242,nrES_Code,$F1242,nrES_Att,2,nrES_Raw,"&gt;=0")=0),"Yes","No")))</f>
        <v/>
      </c>
      <c r="R1242" s="17">
        <f>IF($C1242="","",IF($L1242="","",IF(AND($K1242=2,ISNUMBER($L1242),$L1242&lt;$J1242),"Yes","No")))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OR($C1242="",$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RANGE",IF(COUNTIF(nrES_RecID,$B1242)&gt;1,"DUPLICATE RECORD",IF(AND($K1242=2,COUNTIFS(nrES_PID,$D1242,nrES_Code,$F1242,nrES_Att,1)=0),"ATTEMPT 2 WITHOUT ATTEMPT 1",IF(AND($K1242=2,$L1242=""),"RETEST ROW HAS NO SCORE",IF(AND($H1242="Final",$L1242&lt;&gt;"",IFERROR(INDEX(nrCKfinalExamElig,MATCH($D1242,rngCadetPIDs,0)),"")="No"),"FINAL EXAM AFTER FAILED FINAL PT (500.1.H)","OK")))))))</f>
        <v/>
      </c>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IF($C1243="","",IF($K1243="","",IF(COUNTIFS(nrES_PID,$D1243,nrES_Code,$F1243,nrES_Att,"&gt;"&amp;$K1243,nrES_Raw,"&gt;=0")=0,"Yes","No")))</f>
        <v/>
      </c>
      <c r="Q1243" s="17">
        <f>IF($C1243="","",IF($L1243="","",IF(AND($K1243=1,ISNUMBER($L1243),$L1243&lt;$J1243,COUNTIFS(nrES_PID,$D1243,nrES_Code,$F1243,nrES_Att,2,nrES_Raw,"&gt;=0")=0),"Yes","No")))</f>
        <v/>
      </c>
      <c r="R1243" s="17">
        <f>IF($C1243="","",IF($L1243="","",IF(AND($K1243=2,ISNUMBER($L1243),$L1243&lt;$J1243),"Yes","No")))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OR($C1243="",$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RANGE",IF(COUNTIF(nrES_RecID,$B1243)&gt;1,"DUPLICATE RECORD",IF(AND($K1243=2,COUNTIFS(nrES_PID,$D1243,nrES_Code,$F1243,nrES_Att,1)=0),"ATTEMPT 2 WITHOUT ATTEMPT 1",IF(AND($K1243=2,$L1243=""),"RETEST ROW HAS NO SCORE",IF(AND($H1243="Final",$L1243&lt;&gt;"",IFERROR(INDEX(nrCKfinalExamElig,MATCH($D1243,rngCadetPIDs,0)),"")="No"),"FINAL EXAM AFTER FAILED FINAL PT (500.1.H)","OK")))))))</f>
        <v/>
      </c>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IF($C1244="","",IF($K1244="","",IF(COUNTIFS(nrES_PID,$D1244,nrES_Code,$F1244,nrES_Att,"&gt;"&amp;$K1244,nrES_Raw,"&gt;=0")=0,"Yes","No")))</f>
        <v/>
      </c>
      <c r="Q1244" s="17">
        <f>IF($C1244="","",IF($L1244="","",IF(AND($K1244=1,ISNUMBER($L1244),$L1244&lt;$J1244,COUNTIFS(nrES_PID,$D1244,nrES_Code,$F1244,nrES_Att,2,nrES_Raw,"&gt;=0")=0),"Yes","No")))</f>
        <v/>
      </c>
      <c r="R1244" s="17">
        <f>IF($C1244="","",IF($L1244="","",IF(AND($K1244=2,ISNUMBER($L1244),$L1244&lt;$J1244),"Yes","No")))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OR($C1244="",$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RANGE",IF(COUNTIF(nrES_RecID,$B1244)&gt;1,"DUPLICATE RECORD",IF(AND($K1244=2,COUNTIFS(nrES_PID,$D1244,nrES_Code,$F1244,nrES_Att,1)=0),"ATTEMPT 2 WITHOUT ATTEMPT 1",IF(AND($K1244=2,$L1244=""),"RETEST ROW HAS NO SCORE",IF(AND($H1244="Final",$L1244&lt;&gt;"",IFERROR(INDEX(nrCKfinalExamElig,MATCH($D1244,rngCadetPIDs,0)),"")="No"),"FINAL EXAM AFTER FAILED FINAL PT (500.1.H)","OK")))))))</f>
        <v/>
      </c>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IF($C1245="","",IF($K1245="","",IF(COUNTIFS(nrES_PID,$D1245,nrES_Code,$F1245,nrES_Att,"&gt;"&amp;$K1245,nrES_Raw,"&gt;=0")=0,"Yes","No")))</f>
        <v/>
      </c>
      <c r="Q1245" s="17">
        <f>IF($C1245="","",IF($L1245="","",IF(AND($K1245=1,ISNUMBER($L1245),$L1245&lt;$J1245,COUNTIFS(nrES_PID,$D1245,nrES_Code,$F1245,nrES_Att,2,nrES_Raw,"&gt;=0")=0),"Yes","No")))</f>
        <v/>
      </c>
      <c r="R1245" s="17">
        <f>IF($C1245="","",IF($L1245="","",IF(AND($K1245=2,ISNUMBER($L1245),$L1245&lt;$J1245),"Yes","No")))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OR($C1245="",$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RANGE",IF(COUNTIF(nrES_RecID,$B1245)&gt;1,"DUPLICATE RECORD",IF(AND($K1245=2,COUNTIFS(nrES_PID,$D1245,nrES_Code,$F1245,nrES_Att,1)=0),"ATTEMPT 2 WITHOUT ATTEMPT 1",IF(AND($K1245=2,$L1245=""),"RETEST ROW HAS NO SCORE",IF(AND($H1245="Final",$L1245&lt;&gt;"",IFERROR(INDEX(nrCKfinalExamElig,MATCH($D1245,rngCadetPIDs,0)),"")="No"),"FINAL EXAM AFTER FAILED FINAL PT (500.1.H)","OK")))))))</f>
        <v/>
      </c>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IF($C1246="","",IF($K1246="","",IF(COUNTIFS(nrES_PID,$D1246,nrES_Code,$F1246,nrES_Att,"&gt;"&amp;$K1246,nrES_Raw,"&gt;=0")=0,"Yes","No")))</f>
        <v/>
      </c>
      <c r="Q1246" s="17">
        <f>IF($C1246="","",IF($L1246="","",IF(AND($K1246=1,ISNUMBER($L1246),$L1246&lt;$J1246,COUNTIFS(nrES_PID,$D1246,nrES_Code,$F1246,nrES_Att,2,nrES_Raw,"&gt;=0")=0),"Yes","No")))</f>
        <v/>
      </c>
      <c r="R1246" s="17">
        <f>IF($C1246="","",IF($L1246="","",IF(AND($K1246=2,ISNUMBER($L1246),$L1246&lt;$J1246),"Yes","No")))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OR($C1246="",$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RANGE",IF(COUNTIF(nrES_RecID,$B1246)&gt;1,"DUPLICATE RECORD",IF(AND($K1246=2,COUNTIFS(nrES_PID,$D1246,nrES_Code,$F1246,nrES_Att,1)=0),"ATTEMPT 2 WITHOUT ATTEMPT 1",IF(AND($K1246=2,$L1246=""),"RETEST ROW HAS NO SCORE",IF(AND($H1246="Final",$L1246&lt;&gt;"",IFERROR(INDEX(nrCKfinalExamElig,MATCH($D1246,rngCadetPIDs,0)),"")="No"),"FINAL EXAM AFTER FAILED FINAL PT (500.1.H)","OK")))))))</f>
        <v/>
      </c>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IF($C1247="","",IF($K1247="","",IF(COUNTIFS(nrES_PID,$D1247,nrES_Code,$F1247,nrES_Att,"&gt;"&amp;$K1247,nrES_Raw,"&gt;=0")=0,"Yes","No")))</f>
        <v/>
      </c>
      <c r="Q1247" s="17">
        <f>IF($C1247="","",IF($L1247="","",IF(AND($K1247=1,ISNUMBER($L1247),$L1247&lt;$J1247,COUNTIFS(nrES_PID,$D1247,nrES_Code,$F1247,nrES_Att,2,nrES_Raw,"&gt;=0")=0),"Yes","No")))</f>
        <v/>
      </c>
      <c r="R1247" s="17">
        <f>IF($C1247="","",IF($L1247="","",IF(AND($K1247=2,ISNUMBER($L1247),$L1247&lt;$J1247),"Yes","No")))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OR($C1247="",$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RANGE",IF(COUNTIF(nrES_RecID,$B1247)&gt;1,"DUPLICATE RECORD",IF(AND($K1247=2,COUNTIFS(nrES_PID,$D1247,nrES_Code,$F1247,nrES_Att,1)=0),"ATTEMPT 2 WITHOUT ATTEMPT 1",IF(AND($K1247=2,$L1247=""),"RETEST ROW HAS NO SCORE",IF(AND($H1247="Final",$L1247&lt;&gt;"",IFERROR(INDEX(nrCKfinalExamElig,MATCH($D1247,rngCadetPIDs,0)),"")="No"),"FINAL EXAM AFTER FAILED FINAL PT (500.1.H)","OK")))))))</f>
        <v/>
      </c>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IF($C1248="","",IF($K1248="","",IF(COUNTIFS(nrES_PID,$D1248,nrES_Code,$F1248,nrES_Att,"&gt;"&amp;$K1248,nrES_Raw,"&gt;=0")=0,"Yes","No")))</f>
        <v/>
      </c>
      <c r="Q1248" s="17">
        <f>IF($C1248="","",IF($L1248="","",IF(AND($K1248=1,ISNUMBER($L1248),$L1248&lt;$J1248,COUNTIFS(nrES_PID,$D1248,nrES_Code,$F1248,nrES_Att,2,nrES_Raw,"&gt;=0")=0),"Yes","No")))</f>
        <v/>
      </c>
      <c r="R1248" s="17">
        <f>IF($C1248="","",IF($L1248="","",IF(AND($K1248=2,ISNUMBER($L1248),$L1248&lt;$J1248),"Yes","No")))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OR($C1248="",$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RANGE",IF(COUNTIF(nrES_RecID,$B1248)&gt;1,"DUPLICATE RECORD",IF(AND($K1248=2,COUNTIFS(nrES_PID,$D1248,nrES_Code,$F1248,nrES_Att,1)=0),"ATTEMPT 2 WITHOUT ATTEMPT 1",IF(AND($K1248=2,$L1248=""),"RETEST ROW HAS NO SCORE",IF(AND($H1248="Final",$L1248&lt;&gt;"",IFERROR(INDEX(nrCKfinalExamElig,MATCH($D1248,rngCadetPIDs,0)),"")="No"),"FINAL EXAM AFTER FAILED FINAL PT (500.1.H)","OK")))))))</f>
        <v/>
      </c>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IF($C1249="","",IF($K1249="","",IF(COUNTIFS(nrES_PID,$D1249,nrES_Code,$F1249,nrES_Att,"&gt;"&amp;$K1249,nrES_Raw,"&gt;=0")=0,"Yes","No")))</f>
        <v/>
      </c>
      <c r="Q1249" s="17">
        <f>IF($C1249="","",IF($L1249="","",IF(AND($K1249=1,ISNUMBER($L1249),$L1249&lt;$J1249,COUNTIFS(nrES_PID,$D1249,nrES_Code,$F1249,nrES_Att,2,nrES_Raw,"&gt;=0")=0),"Yes","No")))</f>
        <v/>
      </c>
      <c r="R1249" s="17">
        <f>IF($C1249="","",IF($L1249="","",IF(AND($K1249=2,ISNUMBER($L1249),$L1249&lt;$J1249),"Yes","No")))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OR($C1249="",$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RANGE",IF(COUNTIF(nrES_RecID,$B1249)&gt;1,"DUPLICATE RECORD",IF(AND($K1249=2,COUNTIFS(nrES_PID,$D1249,nrES_Code,$F1249,nrES_Att,1)=0),"ATTEMPT 2 WITHOUT ATTEMPT 1",IF(AND($K1249=2,$L1249=""),"RETEST ROW HAS NO SCORE",IF(AND($H1249="Final",$L1249&lt;&gt;"",IFERROR(INDEX(nrCKfinalExamElig,MATCH($D1249,rngCadetPIDs,0)),"")="No"),"FINAL EXAM AFTER FAILED FINAL PT (500.1.H)","OK")))))))</f>
        <v/>
      </c>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IF($C1250="","",IF($K1250="","",IF(COUNTIFS(nrES_PID,$D1250,nrES_Code,$F1250,nrES_Att,"&gt;"&amp;$K1250,nrES_Raw,"&gt;=0")=0,"Yes","No")))</f>
        <v/>
      </c>
      <c r="Q1250" s="17">
        <f>IF($C1250="","",IF($L1250="","",IF(AND($K1250=1,ISNUMBER($L1250),$L1250&lt;$J1250,COUNTIFS(nrES_PID,$D1250,nrES_Code,$F1250,nrES_Att,2,nrES_Raw,"&gt;=0")=0),"Yes","No")))</f>
        <v/>
      </c>
      <c r="R1250" s="17">
        <f>IF($C1250="","",IF($L1250="","",IF(AND($K1250=2,ISNUMBER($L1250),$L1250&lt;$J1250),"Yes","No")))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OR($C1250="",$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RANGE",IF(COUNTIF(nrES_RecID,$B1250)&gt;1,"DUPLICATE RECORD",IF(AND($K1250=2,COUNTIFS(nrES_PID,$D1250,nrES_Code,$F1250,nrES_Att,1)=0),"ATTEMPT 2 WITHOUT ATTEMPT 1",IF(AND($K1250=2,$L1250=""),"RETEST ROW HAS NO SCORE",IF(AND($H1250="Final",$L1250&lt;&gt;"",IFERROR(INDEX(nrCKfinalExamElig,MATCH($D1250,rngCadetPIDs,0)),"")="No"),"FINAL EXAM AFTER FAILED FINAL PT (500.1.H)","OK")))))))</f>
        <v/>
      </c>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IF($C1251="","",IF($K1251="","",IF(COUNTIFS(nrES_PID,$D1251,nrES_Code,$F1251,nrES_Att,"&gt;"&amp;$K1251,nrES_Raw,"&gt;=0")=0,"Yes","No")))</f>
        <v/>
      </c>
      <c r="Q1251" s="17">
        <f>IF($C1251="","",IF($L1251="","",IF(AND($K1251=1,ISNUMBER($L1251),$L1251&lt;$J1251,COUNTIFS(nrES_PID,$D1251,nrES_Code,$F1251,nrES_Att,2,nrES_Raw,"&gt;=0")=0),"Yes","No")))</f>
        <v/>
      </c>
      <c r="R1251" s="17">
        <f>IF($C1251="","",IF($L1251="","",IF(AND($K1251=2,ISNUMBER($L1251),$L1251&lt;$J1251),"Yes","No")))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OR($C1251="",$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RANGE",IF(COUNTIF(nrES_RecID,$B1251)&gt;1,"DUPLICATE RECORD",IF(AND($K1251=2,COUNTIFS(nrES_PID,$D1251,nrES_Code,$F1251,nrES_Att,1)=0),"ATTEMPT 2 WITHOUT ATTEMPT 1",IF(AND($K1251=2,$L1251=""),"RETEST ROW HAS NO SCORE",IF(AND($H1251="Final",$L1251&lt;&gt;"",IFERROR(INDEX(nrCKfinalExamElig,MATCH($D1251,rngCadetPIDs,0)),"")="No"),"FINAL EXAM AFTER FAILED FINAL PT (500.1.H)","OK")))))))</f>
        <v/>
      </c>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IF($C1252="","",IF($K1252="","",IF(COUNTIFS(nrES_PID,$D1252,nrES_Code,$F1252,nrES_Att,"&gt;"&amp;$K1252,nrES_Raw,"&gt;=0")=0,"Yes","No")))</f>
        <v/>
      </c>
      <c r="Q1252" s="17">
        <f>IF($C1252="","",IF($L1252="","",IF(AND($K1252=1,ISNUMBER($L1252),$L1252&lt;$J1252,COUNTIFS(nrES_PID,$D1252,nrES_Code,$F1252,nrES_Att,2,nrES_Raw,"&gt;=0")=0),"Yes","No")))</f>
        <v/>
      </c>
      <c r="R1252" s="17">
        <f>IF($C1252="","",IF($L1252="","",IF(AND($K1252=2,ISNUMBER($L1252),$L1252&lt;$J1252),"Yes","No")))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OR($C1252="",$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RANGE",IF(COUNTIF(nrES_RecID,$B1252)&gt;1,"DUPLICATE RECORD",IF(AND($K1252=2,COUNTIFS(nrES_PID,$D1252,nrES_Code,$F1252,nrES_Att,1)=0),"ATTEMPT 2 WITHOUT ATTEMPT 1",IF(AND($K1252=2,$L1252=""),"RETEST ROW HAS NO SCORE",IF(AND($H1252="Final",$L1252&lt;&gt;"",IFERROR(INDEX(nrCKfinalExamElig,MATCH($D1252,rngCadetPIDs,0)),"")="No"),"FINAL EXAM AFTER FAILED FINAL PT (500.1.H)","OK")))))))</f>
        <v/>
      </c>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IF($C1253="","",IF($K1253="","",IF(COUNTIFS(nrES_PID,$D1253,nrES_Code,$F1253,nrES_Att,"&gt;"&amp;$K1253,nrES_Raw,"&gt;=0")=0,"Yes","No")))</f>
        <v/>
      </c>
      <c r="Q1253" s="17">
        <f>IF($C1253="","",IF($L1253="","",IF(AND($K1253=1,ISNUMBER($L1253),$L1253&lt;$J1253,COUNTIFS(nrES_PID,$D1253,nrES_Code,$F1253,nrES_Att,2,nrES_Raw,"&gt;=0")=0),"Yes","No")))</f>
        <v/>
      </c>
      <c r="R1253" s="17">
        <f>IF($C1253="","",IF($L1253="","",IF(AND($K1253=2,ISNUMBER($L1253),$L1253&lt;$J1253),"Yes","No")))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OR($C1253="",$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RANGE",IF(COUNTIF(nrES_RecID,$B1253)&gt;1,"DUPLICATE RECORD",IF(AND($K1253=2,COUNTIFS(nrES_PID,$D1253,nrES_Code,$F1253,nrES_Att,1)=0),"ATTEMPT 2 WITHOUT ATTEMPT 1",IF(AND($K1253=2,$L1253=""),"RETEST ROW HAS NO SCORE",IF(AND($H1253="Final",$L1253&lt;&gt;"",IFERROR(INDEX(nrCKfinalExamElig,MATCH($D1253,rngCadetPIDs,0)),"")="No"),"FINAL EXAM AFTER FAILED FINAL PT (500.1.H)","OK")))))))</f>
        <v/>
      </c>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IF($C1254="","",IF($K1254="","",IF(COUNTIFS(nrES_PID,$D1254,nrES_Code,$F1254,nrES_Att,"&gt;"&amp;$K1254,nrES_Raw,"&gt;=0")=0,"Yes","No")))</f>
        <v/>
      </c>
      <c r="Q1254" s="17">
        <f>IF($C1254="","",IF($L1254="","",IF(AND($K1254=1,ISNUMBER($L1254),$L1254&lt;$J1254,COUNTIFS(nrES_PID,$D1254,nrES_Code,$F1254,nrES_Att,2,nrES_Raw,"&gt;=0")=0),"Yes","No")))</f>
        <v/>
      </c>
      <c r="R1254" s="17">
        <f>IF($C1254="","",IF($L1254="","",IF(AND($K1254=2,ISNUMBER($L1254),$L1254&lt;$J1254),"Yes","No")))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OR($C1254="",$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RANGE",IF(COUNTIF(nrES_RecID,$B1254)&gt;1,"DUPLICATE RECORD",IF(AND($K1254=2,COUNTIFS(nrES_PID,$D1254,nrES_Code,$F1254,nrES_Att,1)=0),"ATTEMPT 2 WITHOUT ATTEMPT 1",IF(AND($K1254=2,$L1254=""),"RETEST ROW HAS NO SCORE",IF(AND($H1254="Final",$L1254&lt;&gt;"",IFERROR(INDEX(nrCKfinalExamElig,MATCH($D1254,rngCadetPIDs,0)),"")="No"),"FINAL EXAM AFTER FAILED FINAL PT (500.1.H)","OK")))))))</f>
        <v/>
      </c>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IF($C1255="","",IF($K1255="","",IF(COUNTIFS(nrES_PID,$D1255,nrES_Code,$F1255,nrES_Att,"&gt;"&amp;$K1255,nrES_Raw,"&gt;=0")=0,"Yes","No")))</f>
        <v/>
      </c>
      <c r="Q1255" s="17">
        <f>IF($C1255="","",IF($L1255="","",IF(AND($K1255=1,ISNUMBER($L1255),$L1255&lt;$J1255,COUNTIFS(nrES_PID,$D1255,nrES_Code,$F1255,nrES_Att,2,nrES_Raw,"&gt;=0")=0),"Yes","No")))</f>
        <v/>
      </c>
      <c r="R1255" s="17">
        <f>IF($C1255="","",IF($L1255="","",IF(AND($K1255=2,ISNUMBER($L1255),$L1255&lt;$J1255),"Yes","No")))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OR($C1255="",$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RANGE",IF(COUNTIF(nrES_RecID,$B1255)&gt;1,"DUPLICATE RECORD",IF(AND($K1255=2,COUNTIFS(nrES_PID,$D1255,nrES_Code,$F1255,nrES_Att,1)=0),"ATTEMPT 2 WITHOUT ATTEMPT 1",IF(AND($K1255=2,$L1255=""),"RETEST ROW HAS NO SCORE",IF(AND($H1255="Final",$L1255&lt;&gt;"",IFERROR(INDEX(nrCKfinalExamElig,MATCH($D1255,rngCadetPIDs,0)),"")="No"),"FINAL EXAM AFTER FAILED FINAL PT (500.1.H)","OK")))))))</f>
        <v/>
      </c>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IF($C1256="","",IF($K1256="","",IF(COUNTIFS(nrES_PID,$D1256,nrES_Code,$F1256,nrES_Att,"&gt;"&amp;$K1256,nrES_Raw,"&gt;=0")=0,"Yes","No")))</f>
        <v/>
      </c>
      <c r="Q1256" s="17">
        <f>IF($C1256="","",IF($L1256="","",IF(AND($K1256=1,ISNUMBER($L1256),$L1256&lt;$J1256,COUNTIFS(nrES_PID,$D1256,nrES_Code,$F1256,nrES_Att,2,nrES_Raw,"&gt;=0")=0),"Yes","No")))</f>
        <v/>
      </c>
      <c r="R1256" s="17">
        <f>IF($C1256="","",IF($L1256="","",IF(AND($K1256=2,ISNUMBER($L1256),$L1256&lt;$J1256),"Yes","No")))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OR($C1256="",$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RANGE",IF(COUNTIF(nrES_RecID,$B1256)&gt;1,"DUPLICATE RECORD",IF(AND($K1256=2,COUNTIFS(nrES_PID,$D1256,nrES_Code,$F1256,nrES_Att,1)=0),"ATTEMPT 2 WITHOUT ATTEMPT 1",IF(AND($K1256=2,$L1256=""),"RETEST ROW HAS NO SCORE",IF(AND($H1256="Final",$L1256&lt;&gt;"",IFERROR(INDEX(nrCKfinalExamElig,MATCH($D1256,rngCadetPIDs,0)),"")="No"),"FINAL EXAM AFTER FAILED FINAL PT (500.1.H)","OK")))))))</f>
        <v/>
      </c>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IF($C1257="","",IF($K1257="","",IF(COUNTIFS(nrES_PID,$D1257,nrES_Code,$F1257,nrES_Att,"&gt;"&amp;$K1257,nrES_Raw,"&gt;=0")=0,"Yes","No")))</f>
        <v/>
      </c>
      <c r="Q1257" s="17">
        <f>IF($C1257="","",IF($L1257="","",IF(AND($K1257=1,ISNUMBER($L1257),$L1257&lt;$J1257,COUNTIFS(nrES_PID,$D1257,nrES_Code,$F1257,nrES_Att,2,nrES_Raw,"&gt;=0")=0),"Yes","No")))</f>
        <v/>
      </c>
      <c r="R1257" s="17">
        <f>IF($C1257="","",IF($L1257="","",IF(AND($K1257=2,ISNUMBER($L1257),$L1257&lt;$J1257),"Yes","No")))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OR($C1257="",$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RANGE",IF(COUNTIF(nrES_RecID,$B1257)&gt;1,"DUPLICATE RECORD",IF(AND($K1257=2,COUNTIFS(nrES_PID,$D1257,nrES_Code,$F1257,nrES_Att,1)=0),"ATTEMPT 2 WITHOUT ATTEMPT 1",IF(AND($K1257=2,$L1257=""),"RETEST ROW HAS NO SCORE",IF(AND($H1257="Final",$L1257&lt;&gt;"",IFERROR(INDEX(nrCKfinalExamElig,MATCH($D1257,rngCadetPIDs,0)),"")="No"),"FINAL EXAM AFTER FAILED FINAL PT (500.1.H)","OK")))))))</f>
        <v/>
      </c>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IF($C1258="","",IF($K1258="","",IF(COUNTIFS(nrES_PID,$D1258,nrES_Code,$F1258,nrES_Att,"&gt;"&amp;$K1258,nrES_Raw,"&gt;=0")=0,"Yes","No")))</f>
        <v/>
      </c>
      <c r="Q1258" s="17">
        <f>IF($C1258="","",IF($L1258="","",IF(AND($K1258=1,ISNUMBER($L1258),$L1258&lt;$J1258,COUNTIFS(nrES_PID,$D1258,nrES_Code,$F1258,nrES_Att,2,nrES_Raw,"&gt;=0")=0),"Yes","No")))</f>
        <v/>
      </c>
      <c r="R1258" s="17">
        <f>IF($C1258="","",IF($L1258="","",IF(AND($K1258=2,ISNUMBER($L1258),$L1258&lt;$J1258),"Yes","No")))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OR($C1258="",$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RANGE",IF(COUNTIF(nrES_RecID,$B1258)&gt;1,"DUPLICATE RECORD",IF(AND($K1258=2,COUNTIFS(nrES_PID,$D1258,nrES_Code,$F1258,nrES_Att,1)=0),"ATTEMPT 2 WITHOUT ATTEMPT 1",IF(AND($K1258=2,$L1258=""),"RETEST ROW HAS NO SCORE",IF(AND($H1258="Final",$L1258&lt;&gt;"",IFERROR(INDEX(nrCKfinalExamElig,MATCH($D1258,rngCadetPIDs,0)),"")="No"),"FINAL EXAM AFTER FAILED FINAL PT (500.1.H)","OK")))))))</f>
        <v/>
      </c>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IF($C1259="","",IF($K1259="","",IF(COUNTIFS(nrES_PID,$D1259,nrES_Code,$F1259,nrES_Att,"&gt;"&amp;$K1259,nrES_Raw,"&gt;=0")=0,"Yes","No")))</f>
        <v/>
      </c>
      <c r="Q1259" s="17">
        <f>IF($C1259="","",IF($L1259="","",IF(AND($K1259=1,ISNUMBER($L1259),$L1259&lt;$J1259,COUNTIFS(nrES_PID,$D1259,nrES_Code,$F1259,nrES_Att,2,nrES_Raw,"&gt;=0")=0),"Yes","No")))</f>
        <v/>
      </c>
      <c r="R1259" s="17">
        <f>IF($C1259="","",IF($L1259="","",IF(AND($K1259=2,ISNUMBER($L1259),$L1259&lt;$J1259),"Yes","No")))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OR($C1259="",$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RANGE",IF(COUNTIF(nrES_RecID,$B1259)&gt;1,"DUPLICATE RECORD",IF(AND($K1259=2,COUNTIFS(nrES_PID,$D1259,nrES_Code,$F1259,nrES_Att,1)=0),"ATTEMPT 2 WITHOUT ATTEMPT 1",IF(AND($K1259=2,$L1259=""),"RETEST ROW HAS NO SCORE",IF(AND($H1259="Final",$L1259&lt;&gt;"",IFERROR(INDEX(nrCKfinalExamElig,MATCH($D1259,rngCadetPIDs,0)),"")="No"),"FINAL EXAM AFTER FAILED FINAL PT (500.1.H)","OK")))))))</f>
        <v/>
      </c>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IF($C1260="","",IF($K1260="","",IF(COUNTIFS(nrES_PID,$D1260,nrES_Code,$F1260,nrES_Att,"&gt;"&amp;$K1260,nrES_Raw,"&gt;=0")=0,"Yes","No")))</f>
        <v/>
      </c>
      <c r="Q1260" s="17">
        <f>IF($C1260="","",IF($L1260="","",IF(AND($K1260=1,ISNUMBER($L1260),$L1260&lt;$J1260,COUNTIFS(nrES_PID,$D1260,nrES_Code,$F1260,nrES_Att,2,nrES_Raw,"&gt;=0")=0),"Yes","No")))</f>
        <v/>
      </c>
      <c r="R1260" s="17">
        <f>IF($C1260="","",IF($L1260="","",IF(AND($K1260=2,ISNUMBER($L1260),$L1260&lt;$J1260),"Yes","No")))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OR($C1260="",$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RANGE",IF(COUNTIF(nrES_RecID,$B1260)&gt;1,"DUPLICATE RECORD",IF(AND($K1260=2,COUNTIFS(nrES_PID,$D1260,nrES_Code,$F1260,nrES_Att,1)=0),"ATTEMPT 2 WITHOUT ATTEMPT 1",IF(AND($K1260=2,$L1260=""),"RETEST ROW HAS NO SCORE",IF(AND($H1260="Final",$L1260&lt;&gt;"",IFERROR(INDEX(nrCKfinalExamElig,MATCH($D1260,rngCadetPIDs,0)),"")="No"),"FINAL EXAM AFTER FAILED FINAL PT (500.1.H)","OK")))))))</f>
        <v/>
      </c>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IF($C1261="","",IF($K1261="","",IF(COUNTIFS(nrES_PID,$D1261,nrES_Code,$F1261,nrES_Att,"&gt;"&amp;$K1261,nrES_Raw,"&gt;=0")=0,"Yes","No")))</f>
        <v/>
      </c>
      <c r="Q1261" s="17">
        <f>IF($C1261="","",IF($L1261="","",IF(AND($K1261=1,ISNUMBER($L1261),$L1261&lt;$J1261,COUNTIFS(nrES_PID,$D1261,nrES_Code,$F1261,nrES_Att,2,nrES_Raw,"&gt;=0")=0),"Yes","No")))</f>
        <v/>
      </c>
      <c r="R1261" s="17">
        <f>IF($C1261="","",IF($L1261="","",IF(AND($K1261=2,ISNUMBER($L1261),$L1261&lt;$J1261),"Yes","No")))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OR($C1261="",$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RANGE",IF(COUNTIF(nrES_RecID,$B1261)&gt;1,"DUPLICATE RECORD",IF(AND($K1261=2,COUNTIFS(nrES_PID,$D1261,nrES_Code,$F1261,nrES_Att,1)=0),"ATTEMPT 2 WITHOUT ATTEMPT 1",IF(AND($K1261=2,$L1261=""),"RETEST ROW HAS NO SCORE",IF(AND($H1261="Final",$L1261&lt;&gt;"",IFERROR(INDEX(nrCKfinalExamElig,MATCH($D1261,rngCadetPIDs,0)),"")="No"),"FINAL EXAM AFTER FAILED FINAL PT (500.1.H)","OK")))))))</f>
        <v/>
      </c>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IF($C1262="","",IF($K1262="","",IF(COUNTIFS(nrES_PID,$D1262,nrES_Code,$F1262,nrES_Att,"&gt;"&amp;$K1262,nrES_Raw,"&gt;=0")=0,"Yes","No")))</f>
        <v/>
      </c>
      <c r="Q1262" s="17">
        <f>IF($C1262="","",IF($L1262="","",IF(AND($K1262=1,ISNUMBER($L1262),$L1262&lt;$J1262,COUNTIFS(nrES_PID,$D1262,nrES_Code,$F1262,nrES_Att,2,nrES_Raw,"&gt;=0")=0),"Yes","No")))</f>
        <v/>
      </c>
      <c r="R1262" s="17">
        <f>IF($C1262="","",IF($L1262="","",IF(AND($K1262=2,ISNUMBER($L1262),$L1262&lt;$J1262),"Yes","No")))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OR($C1262="",$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RANGE",IF(COUNTIF(nrES_RecID,$B1262)&gt;1,"DUPLICATE RECORD",IF(AND($K1262=2,COUNTIFS(nrES_PID,$D1262,nrES_Code,$F1262,nrES_Att,1)=0),"ATTEMPT 2 WITHOUT ATTEMPT 1",IF(AND($K1262=2,$L1262=""),"RETEST ROW HAS NO SCORE",IF(AND($H1262="Final",$L1262&lt;&gt;"",IFERROR(INDEX(nrCKfinalExamElig,MATCH($D1262,rngCadetPIDs,0)),"")="No"),"FINAL EXAM AFTER FAILED FINAL PT (500.1.H)","OK")))))))</f>
        <v/>
      </c>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IF($C1263="","",IF($K1263="","",IF(COUNTIFS(nrES_PID,$D1263,nrES_Code,$F1263,nrES_Att,"&gt;"&amp;$K1263,nrES_Raw,"&gt;=0")=0,"Yes","No")))</f>
        <v/>
      </c>
      <c r="Q1263" s="17">
        <f>IF($C1263="","",IF($L1263="","",IF(AND($K1263=1,ISNUMBER($L1263),$L1263&lt;$J1263,COUNTIFS(nrES_PID,$D1263,nrES_Code,$F1263,nrES_Att,2,nrES_Raw,"&gt;=0")=0),"Yes","No")))</f>
        <v/>
      </c>
      <c r="R1263" s="17">
        <f>IF($C1263="","",IF($L1263="","",IF(AND($K1263=2,ISNUMBER($L1263),$L1263&lt;$J1263),"Yes","No")))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OR($C1263="",$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RANGE",IF(COUNTIF(nrES_RecID,$B1263)&gt;1,"DUPLICATE RECORD",IF(AND($K1263=2,COUNTIFS(nrES_PID,$D1263,nrES_Code,$F1263,nrES_Att,1)=0),"ATTEMPT 2 WITHOUT ATTEMPT 1",IF(AND($K1263=2,$L1263=""),"RETEST ROW HAS NO SCORE",IF(AND($H1263="Final",$L1263&lt;&gt;"",IFERROR(INDEX(nrCKfinalExamElig,MATCH($D1263,rngCadetPIDs,0)),"")="No"),"FINAL EXAM AFTER FAILED FINAL PT (500.1.H)","OK")))))))</f>
        <v/>
      </c>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IF($C1264="","",IF($K1264="","",IF(COUNTIFS(nrES_PID,$D1264,nrES_Code,$F1264,nrES_Att,"&gt;"&amp;$K1264,nrES_Raw,"&gt;=0")=0,"Yes","No")))</f>
        <v/>
      </c>
      <c r="Q1264" s="17">
        <f>IF($C1264="","",IF($L1264="","",IF(AND($K1264=1,ISNUMBER($L1264),$L1264&lt;$J1264,COUNTIFS(nrES_PID,$D1264,nrES_Code,$F1264,nrES_Att,2,nrES_Raw,"&gt;=0")=0),"Yes","No")))</f>
        <v/>
      </c>
      <c r="R1264" s="17">
        <f>IF($C1264="","",IF($L1264="","",IF(AND($K1264=2,ISNUMBER($L1264),$L1264&lt;$J1264),"Yes","No")))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OR($C1264="",$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RANGE",IF(COUNTIF(nrES_RecID,$B1264)&gt;1,"DUPLICATE RECORD",IF(AND($K1264=2,COUNTIFS(nrES_PID,$D1264,nrES_Code,$F1264,nrES_Att,1)=0),"ATTEMPT 2 WITHOUT ATTEMPT 1",IF(AND($K1264=2,$L1264=""),"RETEST ROW HAS NO SCORE",IF(AND($H1264="Final",$L1264&lt;&gt;"",IFERROR(INDEX(nrCKfinalExamElig,MATCH($D1264,rngCadetPIDs,0)),"")="No"),"FINAL EXAM AFTER FAILED FINAL PT (500.1.H)","OK")))))))</f>
        <v/>
      </c>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IF($C1265="","",IF($K1265="","",IF(COUNTIFS(nrES_PID,$D1265,nrES_Code,$F1265,nrES_Att,"&gt;"&amp;$K1265,nrES_Raw,"&gt;=0")=0,"Yes","No")))</f>
        <v/>
      </c>
      <c r="Q1265" s="17">
        <f>IF($C1265="","",IF($L1265="","",IF(AND($K1265=1,ISNUMBER($L1265),$L1265&lt;$J1265,COUNTIFS(nrES_PID,$D1265,nrES_Code,$F1265,nrES_Att,2,nrES_Raw,"&gt;=0")=0),"Yes","No")))</f>
        <v/>
      </c>
      <c r="R1265" s="17">
        <f>IF($C1265="","",IF($L1265="","",IF(AND($K1265=2,ISNUMBER($L1265),$L1265&lt;$J1265),"Yes","No")))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OR($C1265="",$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RANGE",IF(COUNTIF(nrES_RecID,$B1265)&gt;1,"DUPLICATE RECORD",IF(AND($K1265=2,COUNTIFS(nrES_PID,$D1265,nrES_Code,$F1265,nrES_Att,1)=0),"ATTEMPT 2 WITHOUT ATTEMPT 1",IF(AND($K1265=2,$L1265=""),"RETEST ROW HAS NO SCORE",IF(AND($H1265="Final",$L1265&lt;&gt;"",IFERROR(INDEX(nrCKfinalExamElig,MATCH($D1265,rngCadetPIDs,0)),"")="No"),"FINAL EXAM AFTER FAILED FINAL PT (500.1.H)","OK")))))))</f>
        <v/>
      </c>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IF($C1266="","",IF($K1266="","",IF(COUNTIFS(nrES_PID,$D1266,nrES_Code,$F1266,nrES_Att,"&gt;"&amp;$K1266,nrES_Raw,"&gt;=0")=0,"Yes","No")))</f>
        <v/>
      </c>
      <c r="Q1266" s="17">
        <f>IF($C1266="","",IF($L1266="","",IF(AND($K1266=1,ISNUMBER($L1266),$L1266&lt;$J1266,COUNTIFS(nrES_PID,$D1266,nrES_Code,$F1266,nrES_Att,2,nrES_Raw,"&gt;=0")=0),"Yes","No")))</f>
        <v/>
      </c>
      <c r="R1266" s="17">
        <f>IF($C1266="","",IF($L1266="","",IF(AND($K1266=2,ISNUMBER($L1266),$L1266&lt;$J1266),"Yes","No")))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OR($C1266="",$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RANGE",IF(COUNTIF(nrES_RecID,$B1266)&gt;1,"DUPLICATE RECORD",IF(AND($K1266=2,COUNTIFS(nrES_PID,$D1266,nrES_Code,$F1266,nrES_Att,1)=0),"ATTEMPT 2 WITHOUT ATTEMPT 1",IF(AND($K1266=2,$L1266=""),"RETEST ROW HAS NO SCORE",IF(AND($H1266="Final",$L1266&lt;&gt;"",IFERROR(INDEX(nrCKfinalExamElig,MATCH($D1266,rngCadetPIDs,0)),"")="No"),"FINAL EXAM AFTER FAILED FINAL PT (500.1.H)","OK")))))))</f>
        <v/>
      </c>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IF($C1267="","",IF($K1267="","",IF(COUNTIFS(nrES_PID,$D1267,nrES_Code,$F1267,nrES_Att,"&gt;"&amp;$K1267,nrES_Raw,"&gt;=0")=0,"Yes","No")))</f>
        <v/>
      </c>
      <c r="Q1267" s="17">
        <f>IF($C1267="","",IF($L1267="","",IF(AND($K1267=1,ISNUMBER($L1267),$L1267&lt;$J1267,COUNTIFS(nrES_PID,$D1267,nrES_Code,$F1267,nrES_Att,2,nrES_Raw,"&gt;=0")=0),"Yes","No")))</f>
        <v/>
      </c>
      <c r="R1267" s="17">
        <f>IF($C1267="","",IF($L1267="","",IF(AND($K1267=2,ISNUMBER($L1267),$L1267&lt;$J1267),"Yes","No")))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OR($C1267="",$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RANGE",IF(COUNTIF(nrES_RecID,$B1267)&gt;1,"DUPLICATE RECORD",IF(AND($K1267=2,COUNTIFS(nrES_PID,$D1267,nrES_Code,$F1267,nrES_Att,1)=0),"ATTEMPT 2 WITHOUT ATTEMPT 1",IF(AND($K1267=2,$L1267=""),"RETEST ROW HAS NO SCORE",IF(AND($H1267="Final",$L1267&lt;&gt;"",IFERROR(INDEX(nrCKfinalExamElig,MATCH($D1267,rngCadetPIDs,0)),"")="No"),"FINAL EXAM AFTER FAILED FINAL PT (500.1.H)","OK")))))))</f>
        <v/>
      </c>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IF($C1268="","",IF($K1268="","",IF(COUNTIFS(nrES_PID,$D1268,nrES_Code,$F1268,nrES_Att,"&gt;"&amp;$K1268,nrES_Raw,"&gt;=0")=0,"Yes","No")))</f>
        <v/>
      </c>
      <c r="Q1268" s="17">
        <f>IF($C1268="","",IF($L1268="","",IF(AND($K1268=1,ISNUMBER($L1268),$L1268&lt;$J1268,COUNTIFS(nrES_PID,$D1268,nrES_Code,$F1268,nrES_Att,2,nrES_Raw,"&gt;=0")=0),"Yes","No")))</f>
        <v/>
      </c>
      <c r="R1268" s="17">
        <f>IF($C1268="","",IF($L1268="","",IF(AND($K1268=2,ISNUMBER($L1268),$L1268&lt;$J1268),"Yes","No")))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OR($C1268="",$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RANGE",IF(COUNTIF(nrES_RecID,$B1268)&gt;1,"DUPLICATE RECORD",IF(AND($K1268=2,COUNTIFS(nrES_PID,$D1268,nrES_Code,$F1268,nrES_Att,1)=0),"ATTEMPT 2 WITHOUT ATTEMPT 1",IF(AND($K1268=2,$L1268=""),"RETEST ROW HAS NO SCORE",IF(AND($H1268="Final",$L1268&lt;&gt;"",IFERROR(INDEX(nrCKfinalExamElig,MATCH($D1268,rngCadetPIDs,0)),"")="No"),"FINAL EXAM AFTER FAILED FINAL PT (500.1.H)","OK")))))))</f>
        <v/>
      </c>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IF($C1269="","",IF($K1269="","",IF(COUNTIFS(nrES_PID,$D1269,nrES_Code,$F1269,nrES_Att,"&gt;"&amp;$K1269,nrES_Raw,"&gt;=0")=0,"Yes","No")))</f>
        <v/>
      </c>
      <c r="Q1269" s="17">
        <f>IF($C1269="","",IF($L1269="","",IF(AND($K1269=1,ISNUMBER($L1269),$L1269&lt;$J1269,COUNTIFS(nrES_PID,$D1269,nrES_Code,$F1269,nrES_Att,2,nrES_Raw,"&gt;=0")=0),"Yes","No")))</f>
        <v/>
      </c>
      <c r="R1269" s="17">
        <f>IF($C1269="","",IF($L1269="","",IF(AND($K1269=2,ISNUMBER($L1269),$L1269&lt;$J1269),"Yes","No")))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OR($C1269="",$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RANGE",IF(COUNTIF(nrES_RecID,$B1269)&gt;1,"DUPLICATE RECORD",IF(AND($K1269=2,COUNTIFS(nrES_PID,$D1269,nrES_Code,$F1269,nrES_Att,1)=0),"ATTEMPT 2 WITHOUT ATTEMPT 1",IF(AND($K1269=2,$L1269=""),"RETEST ROW HAS NO SCORE",IF(AND($H1269="Final",$L1269&lt;&gt;"",IFERROR(INDEX(nrCKfinalExamElig,MATCH($D1269,rngCadetPIDs,0)),"")="No"),"FINAL EXAM AFTER FAILED FINAL PT (500.1.H)","OK")))))))</f>
        <v/>
      </c>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IF($C1270="","",IF($K1270="","",IF(COUNTIFS(nrES_PID,$D1270,nrES_Code,$F1270,nrES_Att,"&gt;"&amp;$K1270,nrES_Raw,"&gt;=0")=0,"Yes","No")))</f>
        <v/>
      </c>
      <c r="Q1270" s="17">
        <f>IF($C1270="","",IF($L1270="","",IF(AND($K1270=1,ISNUMBER($L1270),$L1270&lt;$J1270,COUNTIFS(nrES_PID,$D1270,nrES_Code,$F1270,nrES_Att,2,nrES_Raw,"&gt;=0")=0),"Yes","No")))</f>
        <v/>
      </c>
      <c r="R1270" s="17">
        <f>IF($C1270="","",IF($L1270="","",IF(AND($K1270=2,ISNUMBER($L1270),$L1270&lt;$J1270),"Yes","No")))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OR($C1270="",$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RANGE",IF(COUNTIF(nrES_RecID,$B1270)&gt;1,"DUPLICATE RECORD",IF(AND($K1270=2,COUNTIFS(nrES_PID,$D1270,nrES_Code,$F1270,nrES_Att,1)=0),"ATTEMPT 2 WITHOUT ATTEMPT 1",IF(AND($K1270=2,$L1270=""),"RETEST ROW HAS NO SCORE",IF(AND($H1270="Final",$L1270&lt;&gt;"",IFERROR(INDEX(nrCKfinalExamElig,MATCH($D1270,rngCadetPIDs,0)),"")="No"),"FINAL EXAM AFTER FAILED FINAL PT (500.1.H)","OK")))))))</f>
        <v/>
      </c>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IF($C1271="","",IF($K1271="","",IF(COUNTIFS(nrES_PID,$D1271,nrES_Code,$F1271,nrES_Att,"&gt;"&amp;$K1271,nrES_Raw,"&gt;=0")=0,"Yes","No")))</f>
        <v/>
      </c>
      <c r="Q1271" s="17">
        <f>IF($C1271="","",IF($L1271="","",IF(AND($K1271=1,ISNUMBER($L1271),$L1271&lt;$J1271,COUNTIFS(nrES_PID,$D1271,nrES_Code,$F1271,nrES_Att,2,nrES_Raw,"&gt;=0")=0),"Yes","No")))</f>
        <v/>
      </c>
      <c r="R1271" s="17">
        <f>IF($C1271="","",IF($L1271="","",IF(AND($K1271=2,ISNUMBER($L1271),$L1271&lt;$J1271),"Yes","No")))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OR($C1271="",$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RANGE",IF(COUNTIF(nrES_RecID,$B1271)&gt;1,"DUPLICATE RECORD",IF(AND($K1271=2,COUNTIFS(nrES_PID,$D1271,nrES_Code,$F1271,nrES_Att,1)=0),"ATTEMPT 2 WITHOUT ATTEMPT 1",IF(AND($K1271=2,$L1271=""),"RETEST ROW HAS NO SCORE",IF(AND($H1271="Final",$L1271&lt;&gt;"",IFERROR(INDEX(nrCKfinalExamElig,MATCH($D1271,rngCadetPIDs,0)),"")="No"),"FINAL EXAM AFTER FAILED FINAL PT (500.1.H)","OK")))))))</f>
        <v/>
      </c>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IF($C1272="","",IF($K1272="","",IF(COUNTIFS(nrES_PID,$D1272,nrES_Code,$F1272,nrES_Att,"&gt;"&amp;$K1272,nrES_Raw,"&gt;=0")=0,"Yes","No")))</f>
        <v/>
      </c>
      <c r="Q1272" s="17">
        <f>IF($C1272="","",IF($L1272="","",IF(AND($K1272=1,ISNUMBER($L1272),$L1272&lt;$J1272,COUNTIFS(nrES_PID,$D1272,nrES_Code,$F1272,nrES_Att,2,nrES_Raw,"&gt;=0")=0),"Yes","No")))</f>
        <v/>
      </c>
      <c r="R1272" s="17">
        <f>IF($C1272="","",IF($L1272="","",IF(AND($K1272=2,ISNUMBER($L1272),$L1272&lt;$J1272),"Yes","No")))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OR($C1272="",$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RANGE",IF(COUNTIF(nrES_RecID,$B1272)&gt;1,"DUPLICATE RECORD",IF(AND($K1272=2,COUNTIFS(nrES_PID,$D1272,nrES_Code,$F1272,nrES_Att,1)=0),"ATTEMPT 2 WITHOUT ATTEMPT 1",IF(AND($K1272=2,$L1272=""),"RETEST ROW HAS NO SCORE",IF(AND($H1272="Final",$L1272&lt;&gt;"",IFERROR(INDEX(nrCKfinalExamElig,MATCH($D1272,rngCadetPIDs,0)),"")="No"),"FINAL EXAM AFTER FAILED FINAL PT (500.1.H)","OK")))))))</f>
        <v/>
      </c>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IF($C1273="","",IF($K1273="","",IF(COUNTIFS(nrES_PID,$D1273,nrES_Code,$F1273,nrES_Att,"&gt;"&amp;$K1273,nrES_Raw,"&gt;=0")=0,"Yes","No")))</f>
        <v/>
      </c>
      <c r="Q1273" s="17">
        <f>IF($C1273="","",IF($L1273="","",IF(AND($K1273=1,ISNUMBER($L1273),$L1273&lt;$J1273,COUNTIFS(nrES_PID,$D1273,nrES_Code,$F1273,nrES_Att,2,nrES_Raw,"&gt;=0")=0),"Yes","No")))</f>
        <v/>
      </c>
      <c r="R1273" s="17">
        <f>IF($C1273="","",IF($L1273="","",IF(AND($K1273=2,ISNUMBER($L1273),$L1273&lt;$J1273),"Yes","No")))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OR($C1273="",$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RANGE",IF(COUNTIF(nrES_RecID,$B1273)&gt;1,"DUPLICATE RECORD",IF(AND($K1273=2,COUNTIFS(nrES_PID,$D1273,nrES_Code,$F1273,nrES_Att,1)=0),"ATTEMPT 2 WITHOUT ATTEMPT 1",IF(AND($K1273=2,$L1273=""),"RETEST ROW HAS NO SCORE",IF(AND($H1273="Final",$L1273&lt;&gt;"",IFERROR(INDEX(nrCKfinalExamElig,MATCH($D1273,rngCadetPIDs,0)),"")="No"),"FINAL EXAM AFTER FAILED FINAL PT (500.1.H)","OK")))))))</f>
        <v/>
      </c>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IF($C1274="","",IF($K1274="","",IF(COUNTIFS(nrES_PID,$D1274,nrES_Code,$F1274,nrES_Att,"&gt;"&amp;$K1274,nrES_Raw,"&gt;=0")=0,"Yes","No")))</f>
        <v/>
      </c>
      <c r="Q1274" s="17">
        <f>IF($C1274="","",IF($L1274="","",IF(AND($K1274=1,ISNUMBER($L1274),$L1274&lt;$J1274,COUNTIFS(nrES_PID,$D1274,nrES_Code,$F1274,nrES_Att,2,nrES_Raw,"&gt;=0")=0),"Yes","No")))</f>
        <v/>
      </c>
      <c r="R1274" s="17">
        <f>IF($C1274="","",IF($L1274="","",IF(AND($K1274=2,ISNUMBER($L1274),$L1274&lt;$J1274),"Yes","No")))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OR($C1274="",$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RANGE",IF(COUNTIF(nrES_RecID,$B1274)&gt;1,"DUPLICATE RECORD",IF(AND($K1274=2,COUNTIFS(nrES_PID,$D1274,nrES_Code,$F1274,nrES_Att,1)=0),"ATTEMPT 2 WITHOUT ATTEMPT 1",IF(AND($K1274=2,$L1274=""),"RETEST ROW HAS NO SCORE",IF(AND($H1274="Final",$L1274&lt;&gt;"",IFERROR(INDEX(nrCKfinalExamElig,MATCH($D1274,rngCadetPIDs,0)),"")="No"),"FINAL EXAM AFTER FAILED FINAL PT (500.1.H)","OK")))))))</f>
        <v/>
      </c>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IF($C1275="","",IF($K1275="","",IF(COUNTIFS(nrES_PID,$D1275,nrES_Code,$F1275,nrES_Att,"&gt;"&amp;$K1275,nrES_Raw,"&gt;=0")=0,"Yes","No")))</f>
        <v/>
      </c>
      <c r="Q1275" s="17">
        <f>IF($C1275="","",IF($L1275="","",IF(AND($K1275=1,ISNUMBER($L1275),$L1275&lt;$J1275,COUNTIFS(nrES_PID,$D1275,nrES_Code,$F1275,nrES_Att,2,nrES_Raw,"&gt;=0")=0),"Yes","No")))</f>
        <v/>
      </c>
      <c r="R1275" s="17">
        <f>IF($C1275="","",IF($L1275="","",IF(AND($K1275=2,ISNUMBER($L1275),$L1275&lt;$J1275),"Yes","No")))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OR($C1275="",$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RANGE",IF(COUNTIF(nrES_RecID,$B1275)&gt;1,"DUPLICATE RECORD",IF(AND($K1275=2,COUNTIFS(nrES_PID,$D1275,nrES_Code,$F1275,nrES_Att,1)=0),"ATTEMPT 2 WITHOUT ATTEMPT 1",IF(AND($K1275=2,$L1275=""),"RETEST ROW HAS NO SCORE",IF(AND($H1275="Final",$L1275&lt;&gt;"",IFERROR(INDEX(nrCKfinalExamElig,MATCH($D1275,rngCadetPIDs,0)),"")="No"),"FINAL EXAM AFTER FAILED FINAL PT (500.1.H)","OK")))))))</f>
        <v/>
      </c>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IF($C1276="","",IF($K1276="","",IF(COUNTIFS(nrES_PID,$D1276,nrES_Code,$F1276,nrES_Att,"&gt;"&amp;$K1276,nrES_Raw,"&gt;=0")=0,"Yes","No")))</f>
        <v/>
      </c>
      <c r="Q1276" s="17">
        <f>IF($C1276="","",IF($L1276="","",IF(AND($K1276=1,ISNUMBER($L1276),$L1276&lt;$J1276,COUNTIFS(nrES_PID,$D1276,nrES_Code,$F1276,nrES_Att,2,nrES_Raw,"&gt;=0")=0),"Yes","No")))</f>
        <v/>
      </c>
      <c r="R1276" s="17">
        <f>IF($C1276="","",IF($L1276="","",IF(AND($K1276=2,ISNUMBER($L1276),$L1276&lt;$J1276),"Yes","No")))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OR($C1276="",$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RANGE",IF(COUNTIF(nrES_RecID,$B1276)&gt;1,"DUPLICATE RECORD",IF(AND($K1276=2,COUNTIFS(nrES_PID,$D1276,nrES_Code,$F1276,nrES_Att,1)=0),"ATTEMPT 2 WITHOUT ATTEMPT 1",IF(AND($K1276=2,$L1276=""),"RETEST ROW HAS NO SCORE",IF(AND($H1276="Final",$L1276&lt;&gt;"",IFERROR(INDEX(nrCKfinalExamElig,MATCH($D1276,rngCadetPIDs,0)),"")="No"),"FINAL EXAM AFTER FAILED FINAL PT (500.1.H)","OK")))))))</f>
        <v/>
      </c>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IF($C1277="","",IF($K1277="","",IF(COUNTIFS(nrES_PID,$D1277,nrES_Code,$F1277,nrES_Att,"&gt;"&amp;$K1277,nrES_Raw,"&gt;=0")=0,"Yes","No")))</f>
        <v/>
      </c>
      <c r="Q1277" s="17">
        <f>IF($C1277="","",IF($L1277="","",IF(AND($K1277=1,ISNUMBER($L1277),$L1277&lt;$J1277,COUNTIFS(nrES_PID,$D1277,nrES_Code,$F1277,nrES_Att,2,nrES_Raw,"&gt;=0")=0),"Yes","No")))</f>
        <v/>
      </c>
      <c r="R1277" s="17">
        <f>IF($C1277="","",IF($L1277="","",IF(AND($K1277=2,ISNUMBER($L1277),$L1277&lt;$J1277),"Yes","No")))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OR($C1277="",$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RANGE",IF(COUNTIF(nrES_RecID,$B1277)&gt;1,"DUPLICATE RECORD",IF(AND($K1277=2,COUNTIFS(nrES_PID,$D1277,nrES_Code,$F1277,nrES_Att,1)=0),"ATTEMPT 2 WITHOUT ATTEMPT 1",IF(AND($K1277=2,$L1277=""),"RETEST ROW HAS NO SCORE",IF(AND($H1277="Final",$L1277&lt;&gt;"",IFERROR(INDEX(nrCKfinalExamElig,MATCH($D1277,rngCadetPIDs,0)),"")="No"),"FINAL EXAM AFTER FAILED FINAL PT (500.1.H)","OK")))))))</f>
        <v/>
      </c>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IF($C1278="","",IF($K1278="","",IF(COUNTIFS(nrES_PID,$D1278,nrES_Code,$F1278,nrES_Att,"&gt;"&amp;$K1278,nrES_Raw,"&gt;=0")=0,"Yes","No")))</f>
        <v/>
      </c>
      <c r="Q1278" s="17">
        <f>IF($C1278="","",IF($L1278="","",IF(AND($K1278=1,ISNUMBER($L1278),$L1278&lt;$J1278,COUNTIFS(nrES_PID,$D1278,nrES_Code,$F1278,nrES_Att,2,nrES_Raw,"&gt;=0")=0),"Yes","No")))</f>
        <v/>
      </c>
      <c r="R1278" s="17">
        <f>IF($C1278="","",IF($L1278="","",IF(AND($K1278=2,ISNUMBER($L1278),$L1278&lt;$J1278),"Yes","No")))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OR($C1278="",$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RANGE",IF(COUNTIF(nrES_RecID,$B1278)&gt;1,"DUPLICATE RECORD",IF(AND($K1278=2,COUNTIFS(nrES_PID,$D1278,nrES_Code,$F1278,nrES_Att,1)=0),"ATTEMPT 2 WITHOUT ATTEMPT 1",IF(AND($K1278=2,$L1278=""),"RETEST ROW HAS NO SCORE",IF(AND($H1278="Final",$L1278&lt;&gt;"",IFERROR(INDEX(nrCKfinalExamElig,MATCH($D1278,rngCadetPIDs,0)),"")="No"),"FINAL EXAM AFTER FAILED FINAL PT (500.1.H)","OK")))))))</f>
        <v/>
      </c>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IF($C1279="","",IF($K1279="","",IF(COUNTIFS(nrES_PID,$D1279,nrES_Code,$F1279,nrES_Att,"&gt;"&amp;$K1279,nrES_Raw,"&gt;=0")=0,"Yes","No")))</f>
        <v/>
      </c>
      <c r="Q1279" s="17">
        <f>IF($C1279="","",IF($L1279="","",IF(AND($K1279=1,ISNUMBER($L1279),$L1279&lt;$J1279,COUNTIFS(nrES_PID,$D1279,nrES_Code,$F1279,nrES_Att,2,nrES_Raw,"&gt;=0")=0),"Yes","No")))</f>
        <v/>
      </c>
      <c r="R1279" s="17">
        <f>IF($C1279="","",IF($L1279="","",IF(AND($K1279=2,ISNUMBER($L1279),$L1279&lt;$J1279),"Yes","No")))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OR($C1279="",$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RANGE",IF(COUNTIF(nrES_RecID,$B1279)&gt;1,"DUPLICATE RECORD",IF(AND($K1279=2,COUNTIFS(nrES_PID,$D1279,nrES_Code,$F1279,nrES_Att,1)=0),"ATTEMPT 2 WITHOUT ATTEMPT 1",IF(AND($K1279=2,$L1279=""),"RETEST ROW HAS NO SCORE",IF(AND($H1279="Final",$L1279&lt;&gt;"",IFERROR(INDEX(nrCKfinalExamElig,MATCH($D1279,rngCadetPIDs,0)),"")="No"),"FINAL EXAM AFTER FAILED FINAL PT (500.1.H)","OK")))))))</f>
        <v/>
      </c>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IF($C1280="","",IF($K1280="","",IF(COUNTIFS(nrES_PID,$D1280,nrES_Code,$F1280,nrES_Att,"&gt;"&amp;$K1280,nrES_Raw,"&gt;=0")=0,"Yes","No")))</f>
        <v/>
      </c>
      <c r="Q1280" s="17">
        <f>IF($C1280="","",IF($L1280="","",IF(AND($K1280=1,ISNUMBER($L1280),$L1280&lt;$J1280,COUNTIFS(nrES_PID,$D1280,nrES_Code,$F1280,nrES_Att,2,nrES_Raw,"&gt;=0")=0),"Yes","No")))</f>
        <v/>
      </c>
      <c r="R1280" s="17">
        <f>IF($C1280="","",IF($L1280="","",IF(AND($K1280=2,ISNUMBER($L1280),$L1280&lt;$J1280),"Yes","No")))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OR($C1280="",$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RANGE",IF(COUNTIF(nrES_RecID,$B1280)&gt;1,"DUPLICATE RECORD",IF(AND($K1280=2,COUNTIFS(nrES_PID,$D1280,nrES_Code,$F1280,nrES_Att,1)=0),"ATTEMPT 2 WITHOUT ATTEMPT 1",IF(AND($K1280=2,$L1280=""),"RETEST ROW HAS NO SCORE",IF(AND($H1280="Final",$L1280&lt;&gt;"",IFERROR(INDEX(nrCKfinalExamElig,MATCH($D1280,rngCadetPIDs,0)),"")="No"),"FINAL EXAM AFTER FAILED FINAL PT (500.1.H)","OK")))))))</f>
        <v/>
      </c>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IF($C1281="","",IF($K1281="","",IF(COUNTIFS(nrES_PID,$D1281,nrES_Code,$F1281,nrES_Att,"&gt;"&amp;$K1281,nrES_Raw,"&gt;=0")=0,"Yes","No")))</f>
        <v/>
      </c>
      <c r="Q1281" s="17">
        <f>IF($C1281="","",IF($L1281="","",IF(AND($K1281=1,ISNUMBER($L1281),$L1281&lt;$J1281,COUNTIFS(nrES_PID,$D1281,nrES_Code,$F1281,nrES_Att,2,nrES_Raw,"&gt;=0")=0),"Yes","No")))</f>
        <v/>
      </c>
      <c r="R1281" s="17">
        <f>IF($C1281="","",IF($L1281="","",IF(AND($K1281=2,ISNUMBER($L1281),$L1281&lt;$J1281),"Yes","No")))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OR($C1281="",$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RANGE",IF(COUNTIF(nrES_RecID,$B1281)&gt;1,"DUPLICATE RECORD",IF(AND($K1281=2,COUNTIFS(nrES_PID,$D1281,nrES_Code,$F1281,nrES_Att,1)=0),"ATTEMPT 2 WITHOUT ATTEMPT 1",IF(AND($K1281=2,$L1281=""),"RETEST ROW HAS NO SCORE",IF(AND($H1281="Final",$L1281&lt;&gt;"",IFERROR(INDEX(nrCKfinalExamElig,MATCH($D1281,rngCadetPIDs,0)),"")="No"),"FINAL EXAM AFTER FAILED FINAL PT (500.1.H)","OK")))))))</f>
        <v/>
      </c>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IF($C1282="","",IF($K1282="","",IF(COUNTIFS(nrES_PID,$D1282,nrES_Code,$F1282,nrES_Att,"&gt;"&amp;$K1282,nrES_Raw,"&gt;=0")=0,"Yes","No")))</f>
        <v/>
      </c>
      <c r="Q1282" s="17">
        <f>IF($C1282="","",IF($L1282="","",IF(AND($K1282=1,ISNUMBER($L1282),$L1282&lt;$J1282,COUNTIFS(nrES_PID,$D1282,nrES_Code,$F1282,nrES_Att,2,nrES_Raw,"&gt;=0")=0),"Yes","No")))</f>
        <v/>
      </c>
      <c r="R1282" s="17">
        <f>IF($C1282="","",IF($L1282="","",IF(AND($K1282=2,ISNUMBER($L1282),$L1282&lt;$J1282),"Yes","No")))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OR($C1282="",$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RANGE",IF(COUNTIF(nrES_RecID,$B1282)&gt;1,"DUPLICATE RECORD",IF(AND($K1282=2,COUNTIFS(nrES_PID,$D1282,nrES_Code,$F1282,nrES_Att,1)=0),"ATTEMPT 2 WITHOUT ATTEMPT 1",IF(AND($K1282=2,$L1282=""),"RETEST ROW HAS NO SCORE",IF(AND($H1282="Final",$L1282&lt;&gt;"",IFERROR(INDEX(nrCKfinalExamElig,MATCH($D1282,rngCadetPIDs,0)),"")="No"),"FINAL EXAM AFTER FAILED FINAL PT (500.1.H)","OK")))))))</f>
        <v/>
      </c>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IF($C1283="","",IF($K1283="","",IF(COUNTIFS(nrES_PID,$D1283,nrES_Code,$F1283,nrES_Att,"&gt;"&amp;$K1283,nrES_Raw,"&gt;=0")=0,"Yes","No")))</f>
        <v/>
      </c>
      <c r="Q1283" s="17">
        <f>IF($C1283="","",IF($L1283="","",IF(AND($K1283=1,ISNUMBER($L1283),$L1283&lt;$J1283,COUNTIFS(nrES_PID,$D1283,nrES_Code,$F1283,nrES_Att,2,nrES_Raw,"&gt;=0")=0),"Yes","No")))</f>
        <v/>
      </c>
      <c r="R1283" s="17">
        <f>IF($C1283="","",IF($L1283="","",IF(AND($K1283=2,ISNUMBER($L1283),$L1283&lt;$J1283),"Yes","No")))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OR($C1283="",$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RANGE",IF(COUNTIF(nrES_RecID,$B1283)&gt;1,"DUPLICATE RECORD",IF(AND($K1283=2,COUNTIFS(nrES_PID,$D1283,nrES_Code,$F1283,nrES_Att,1)=0),"ATTEMPT 2 WITHOUT ATTEMPT 1",IF(AND($K1283=2,$L1283=""),"RETEST ROW HAS NO SCORE",IF(AND($H1283="Final",$L1283&lt;&gt;"",IFERROR(INDEX(nrCKfinalExamElig,MATCH($D1283,rngCadetPIDs,0)),"")="No"),"FINAL EXAM AFTER FAILED FINAL PT (500.1.H)","OK")))))))</f>
        <v/>
      </c>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IF($C1284="","",IF($K1284="","",IF(COUNTIFS(nrES_PID,$D1284,nrES_Code,$F1284,nrES_Att,"&gt;"&amp;$K1284,nrES_Raw,"&gt;=0")=0,"Yes","No")))</f>
        <v/>
      </c>
      <c r="Q1284" s="17">
        <f>IF($C1284="","",IF($L1284="","",IF(AND($K1284=1,ISNUMBER($L1284),$L1284&lt;$J1284,COUNTIFS(nrES_PID,$D1284,nrES_Code,$F1284,nrES_Att,2,nrES_Raw,"&gt;=0")=0),"Yes","No")))</f>
        <v/>
      </c>
      <c r="R1284" s="17">
        <f>IF($C1284="","",IF($L1284="","",IF(AND($K1284=2,ISNUMBER($L1284),$L1284&lt;$J1284),"Yes","No")))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OR($C1284="",$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RANGE",IF(COUNTIF(nrES_RecID,$B1284)&gt;1,"DUPLICATE RECORD",IF(AND($K1284=2,COUNTIFS(nrES_PID,$D1284,nrES_Code,$F1284,nrES_Att,1)=0),"ATTEMPT 2 WITHOUT ATTEMPT 1",IF(AND($K1284=2,$L1284=""),"RETEST ROW HAS NO SCORE",IF(AND($H1284="Final",$L1284&lt;&gt;"",IFERROR(INDEX(nrCKfinalExamElig,MATCH($D1284,rngCadetPIDs,0)),"")="No"),"FINAL EXAM AFTER FAILED FINAL PT (500.1.H)","OK")))))))</f>
        <v/>
      </c>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IF($C1285="","",IF($K1285="","",IF(COUNTIFS(nrES_PID,$D1285,nrES_Code,$F1285,nrES_Att,"&gt;"&amp;$K1285,nrES_Raw,"&gt;=0")=0,"Yes","No")))</f>
        <v/>
      </c>
      <c r="Q1285" s="17">
        <f>IF($C1285="","",IF($L1285="","",IF(AND($K1285=1,ISNUMBER($L1285),$L1285&lt;$J1285,COUNTIFS(nrES_PID,$D1285,nrES_Code,$F1285,nrES_Att,2,nrES_Raw,"&gt;=0")=0),"Yes","No")))</f>
        <v/>
      </c>
      <c r="R1285" s="17">
        <f>IF($C1285="","",IF($L1285="","",IF(AND($K1285=2,ISNUMBER($L1285),$L1285&lt;$J1285),"Yes","No")))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OR($C1285="",$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RANGE",IF(COUNTIF(nrES_RecID,$B1285)&gt;1,"DUPLICATE RECORD",IF(AND($K1285=2,COUNTIFS(nrES_PID,$D1285,nrES_Code,$F1285,nrES_Att,1)=0),"ATTEMPT 2 WITHOUT ATTEMPT 1",IF(AND($K1285=2,$L1285=""),"RETEST ROW HAS NO SCORE",IF(AND($H1285="Final",$L1285&lt;&gt;"",IFERROR(INDEX(nrCKfinalExamElig,MATCH($D1285,rngCadetPIDs,0)),"")="No"),"FINAL EXAM AFTER FAILED FINAL PT (500.1.H)","OK")))))))</f>
        <v/>
      </c>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IF($C1286="","",IF($K1286="","",IF(COUNTIFS(nrES_PID,$D1286,nrES_Code,$F1286,nrES_Att,"&gt;"&amp;$K1286,nrES_Raw,"&gt;=0")=0,"Yes","No")))</f>
        <v/>
      </c>
      <c r="Q1286" s="17">
        <f>IF($C1286="","",IF($L1286="","",IF(AND($K1286=1,ISNUMBER($L1286),$L1286&lt;$J1286,COUNTIFS(nrES_PID,$D1286,nrES_Code,$F1286,nrES_Att,2,nrES_Raw,"&gt;=0")=0),"Yes","No")))</f>
        <v/>
      </c>
      <c r="R1286" s="17">
        <f>IF($C1286="","",IF($L1286="","",IF(AND($K1286=2,ISNUMBER($L1286),$L1286&lt;$J1286),"Yes","No")))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OR($C1286="",$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RANGE",IF(COUNTIF(nrES_RecID,$B1286)&gt;1,"DUPLICATE RECORD",IF(AND($K1286=2,COUNTIFS(nrES_PID,$D1286,nrES_Code,$F1286,nrES_Att,1)=0),"ATTEMPT 2 WITHOUT ATTEMPT 1",IF(AND($K1286=2,$L1286=""),"RETEST ROW HAS NO SCORE",IF(AND($H1286="Final",$L1286&lt;&gt;"",IFERROR(INDEX(nrCKfinalExamElig,MATCH($D1286,rngCadetPIDs,0)),"")="No"),"FINAL EXAM AFTER FAILED FINAL PT (500.1.H)","OK")))))))</f>
        <v/>
      </c>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IF($C1287="","",IF($K1287="","",IF(COUNTIFS(nrES_PID,$D1287,nrES_Code,$F1287,nrES_Att,"&gt;"&amp;$K1287,nrES_Raw,"&gt;=0")=0,"Yes","No")))</f>
        <v/>
      </c>
      <c r="Q1287" s="17">
        <f>IF($C1287="","",IF($L1287="","",IF(AND($K1287=1,ISNUMBER($L1287),$L1287&lt;$J1287,COUNTIFS(nrES_PID,$D1287,nrES_Code,$F1287,nrES_Att,2,nrES_Raw,"&gt;=0")=0),"Yes","No")))</f>
        <v/>
      </c>
      <c r="R1287" s="17">
        <f>IF($C1287="","",IF($L1287="","",IF(AND($K1287=2,ISNUMBER($L1287),$L1287&lt;$J1287),"Yes","No")))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OR($C1287="",$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RANGE",IF(COUNTIF(nrES_RecID,$B1287)&gt;1,"DUPLICATE RECORD",IF(AND($K1287=2,COUNTIFS(nrES_PID,$D1287,nrES_Code,$F1287,nrES_Att,1)=0),"ATTEMPT 2 WITHOUT ATTEMPT 1",IF(AND($K1287=2,$L1287=""),"RETEST ROW HAS NO SCORE",IF(AND($H1287="Final",$L1287&lt;&gt;"",IFERROR(INDEX(nrCKfinalExamElig,MATCH($D1287,rngCadetPIDs,0)),"")="No"),"FINAL EXAM AFTER FAILED FINAL PT (500.1.H)","OK")))))))</f>
        <v/>
      </c>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IF($C1288="","",IF($K1288="","",IF(COUNTIFS(nrES_PID,$D1288,nrES_Code,$F1288,nrES_Att,"&gt;"&amp;$K1288,nrES_Raw,"&gt;=0")=0,"Yes","No")))</f>
        <v/>
      </c>
      <c r="Q1288" s="17">
        <f>IF($C1288="","",IF($L1288="","",IF(AND($K1288=1,ISNUMBER($L1288),$L1288&lt;$J1288,COUNTIFS(nrES_PID,$D1288,nrES_Code,$F1288,nrES_Att,2,nrES_Raw,"&gt;=0")=0),"Yes","No")))</f>
        <v/>
      </c>
      <c r="R1288" s="17">
        <f>IF($C1288="","",IF($L1288="","",IF(AND($K1288=2,ISNUMBER($L1288),$L1288&lt;$J1288),"Yes","No")))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OR($C1288="",$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RANGE",IF(COUNTIF(nrES_RecID,$B1288)&gt;1,"DUPLICATE RECORD",IF(AND($K1288=2,COUNTIFS(nrES_PID,$D1288,nrES_Code,$F1288,nrES_Att,1)=0),"ATTEMPT 2 WITHOUT ATTEMPT 1",IF(AND($K1288=2,$L1288=""),"RETEST ROW HAS NO SCORE",IF(AND($H1288="Final",$L1288&lt;&gt;"",IFERROR(INDEX(nrCKfinalExamElig,MATCH($D1288,rngCadetPIDs,0)),"")="No"),"FINAL EXAM AFTER FAILED FINAL PT (500.1.H)","OK")))))))</f>
        <v/>
      </c>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IF($C1289="","",IF($K1289="","",IF(COUNTIFS(nrES_PID,$D1289,nrES_Code,$F1289,nrES_Att,"&gt;"&amp;$K1289,nrES_Raw,"&gt;=0")=0,"Yes","No")))</f>
        <v/>
      </c>
      <c r="Q1289" s="17">
        <f>IF($C1289="","",IF($L1289="","",IF(AND($K1289=1,ISNUMBER($L1289),$L1289&lt;$J1289,COUNTIFS(nrES_PID,$D1289,nrES_Code,$F1289,nrES_Att,2,nrES_Raw,"&gt;=0")=0),"Yes","No")))</f>
        <v/>
      </c>
      <c r="R1289" s="17">
        <f>IF($C1289="","",IF($L1289="","",IF(AND($K1289=2,ISNUMBER($L1289),$L1289&lt;$J1289),"Yes","No")))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OR($C1289="",$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RANGE",IF(COUNTIF(nrES_RecID,$B1289)&gt;1,"DUPLICATE RECORD",IF(AND($K1289=2,COUNTIFS(nrES_PID,$D1289,nrES_Code,$F1289,nrES_Att,1)=0),"ATTEMPT 2 WITHOUT ATTEMPT 1",IF(AND($K1289=2,$L1289=""),"RETEST ROW HAS NO SCORE",IF(AND($H1289="Final",$L1289&lt;&gt;"",IFERROR(INDEX(nrCKfinalExamElig,MATCH($D1289,rngCadetPIDs,0)),"")="No"),"FINAL EXAM AFTER FAILED FINAL PT (500.1.H)","OK")))))))</f>
        <v/>
      </c>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IF($C1290="","",IF($K1290="","",IF(COUNTIFS(nrES_PID,$D1290,nrES_Code,$F1290,nrES_Att,"&gt;"&amp;$K1290,nrES_Raw,"&gt;=0")=0,"Yes","No")))</f>
        <v/>
      </c>
      <c r="Q1290" s="17">
        <f>IF($C1290="","",IF($L1290="","",IF(AND($K1290=1,ISNUMBER($L1290),$L1290&lt;$J1290,COUNTIFS(nrES_PID,$D1290,nrES_Code,$F1290,nrES_Att,2,nrES_Raw,"&gt;=0")=0),"Yes","No")))</f>
        <v/>
      </c>
      <c r="R1290" s="17">
        <f>IF($C1290="","",IF($L1290="","",IF(AND($K1290=2,ISNUMBER($L1290),$L1290&lt;$J1290),"Yes","No")))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OR($C1290="",$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RANGE",IF(COUNTIF(nrES_RecID,$B1290)&gt;1,"DUPLICATE RECORD",IF(AND($K1290=2,COUNTIFS(nrES_PID,$D1290,nrES_Code,$F1290,nrES_Att,1)=0),"ATTEMPT 2 WITHOUT ATTEMPT 1",IF(AND($K1290=2,$L1290=""),"RETEST ROW HAS NO SCORE",IF(AND($H1290="Final",$L1290&lt;&gt;"",IFERROR(INDEX(nrCKfinalExamElig,MATCH($D1290,rngCadetPIDs,0)),"")="No"),"FINAL EXAM AFTER FAILED FINAL PT (500.1.H)","OK")))))))</f>
        <v/>
      </c>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IF($C1291="","",IF($K1291="","",IF(COUNTIFS(nrES_PID,$D1291,nrES_Code,$F1291,nrES_Att,"&gt;"&amp;$K1291,nrES_Raw,"&gt;=0")=0,"Yes","No")))</f>
        <v/>
      </c>
      <c r="Q1291" s="17">
        <f>IF($C1291="","",IF($L1291="","",IF(AND($K1291=1,ISNUMBER($L1291),$L1291&lt;$J1291,COUNTIFS(nrES_PID,$D1291,nrES_Code,$F1291,nrES_Att,2,nrES_Raw,"&gt;=0")=0),"Yes","No")))</f>
        <v/>
      </c>
      <c r="R1291" s="17">
        <f>IF($C1291="","",IF($L1291="","",IF(AND($K1291=2,ISNUMBER($L1291),$L1291&lt;$J1291),"Yes","No")))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OR($C1291="",$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RANGE",IF(COUNTIF(nrES_RecID,$B1291)&gt;1,"DUPLICATE RECORD",IF(AND($K1291=2,COUNTIFS(nrES_PID,$D1291,nrES_Code,$F1291,nrES_Att,1)=0),"ATTEMPT 2 WITHOUT ATTEMPT 1",IF(AND($K1291=2,$L1291=""),"RETEST ROW HAS NO SCORE",IF(AND($H1291="Final",$L1291&lt;&gt;"",IFERROR(INDEX(nrCKfinalExamElig,MATCH($D1291,rngCadetPIDs,0)),"")="No"),"FINAL EXAM AFTER FAILED FINAL PT (500.1.H)","OK")))))))</f>
        <v/>
      </c>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IF($C1292="","",IF($K1292="","",IF(COUNTIFS(nrES_PID,$D1292,nrES_Code,$F1292,nrES_Att,"&gt;"&amp;$K1292,nrES_Raw,"&gt;=0")=0,"Yes","No")))</f>
        <v/>
      </c>
      <c r="Q1292" s="17">
        <f>IF($C1292="","",IF($L1292="","",IF(AND($K1292=1,ISNUMBER($L1292),$L1292&lt;$J1292,COUNTIFS(nrES_PID,$D1292,nrES_Code,$F1292,nrES_Att,2,nrES_Raw,"&gt;=0")=0),"Yes","No")))</f>
        <v/>
      </c>
      <c r="R1292" s="17">
        <f>IF($C1292="","",IF($L1292="","",IF(AND($K1292=2,ISNUMBER($L1292),$L1292&lt;$J1292),"Yes","No")))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OR($C1292="",$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RANGE",IF(COUNTIF(nrES_RecID,$B1292)&gt;1,"DUPLICATE RECORD",IF(AND($K1292=2,COUNTIFS(nrES_PID,$D1292,nrES_Code,$F1292,nrES_Att,1)=0),"ATTEMPT 2 WITHOUT ATTEMPT 1",IF(AND($K1292=2,$L1292=""),"RETEST ROW HAS NO SCORE",IF(AND($H1292="Final",$L1292&lt;&gt;"",IFERROR(INDEX(nrCKfinalExamElig,MATCH($D1292,rngCadetPIDs,0)),"")="No"),"FINAL EXAM AFTER FAILED FINAL PT (500.1.H)","OK")))))))</f>
        <v/>
      </c>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IF($C1293="","",IF($K1293="","",IF(COUNTIFS(nrES_PID,$D1293,nrES_Code,$F1293,nrES_Att,"&gt;"&amp;$K1293,nrES_Raw,"&gt;=0")=0,"Yes","No")))</f>
        <v/>
      </c>
      <c r="Q1293" s="17">
        <f>IF($C1293="","",IF($L1293="","",IF(AND($K1293=1,ISNUMBER($L1293),$L1293&lt;$J1293,COUNTIFS(nrES_PID,$D1293,nrES_Code,$F1293,nrES_Att,2,nrES_Raw,"&gt;=0")=0),"Yes","No")))</f>
        <v/>
      </c>
      <c r="R1293" s="17">
        <f>IF($C1293="","",IF($L1293="","",IF(AND($K1293=2,ISNUMBER($L1293),$L1293&lt;$J1293),"Yes","No")))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OR($C1293="",$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RANGE",IF(COUNTIF(nrES_RecID,$B1293)&gt;1,"DUPLICATE RECORD",IF(AND($K1293=2,COUNTIFS(nrES_PID,$D1293,nrES_Code,$F1293,nrES_Att,1)=0),"ATTEMPT 2 WITHOUT ATTEMPT 1",IF(AND($K1293=2,$L1293=""),"RETEST ROW HAS NO SCORE",IF(AND($H1293="Final",$L1293&lt;&gt;"",IFERROR(INDEX(nrCKfinalExamElig,MATCH($D1293,rngCadetPIDs,0)),"")="No"),"FINAL EXAM AFTER FAILED FINAL PT (500.1.H)","OK")))))))</f>
        <v/>
      </c>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IF($C1294="","",IF($K1294="","",IF(COUNTIFS(nrES_PID,$D1294,nrES_Code,$F1294,nrES_Att,"&gt;"&amp;$K1294,nrES_Raw,"&gt;=0")=0,"Yes","No")))</f>
        <v/>
      </c>
      <c r="Q1294" s="17">
        <f>IF($C1294="","",IF($L1294="","",IF(AND($K1294=1,ISNUMBER($L1294),$L1294&lt;$J1294,COUNTIFS(nrES_PID,$D1294,nrES_Code,$F1294,nrES_Att,2,nrES_Raw,"&gt;=0")=0),"Yes","No")))</f>
        <v/>
      </c>
      <c r="R1294" s="17">
        <f>IF($C1294="","",IF($L1294="","",IF(AND($K1294=2,ISNUMBER($L1294),$L1294&lt;$J1294),"Yes","No")))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OR($C1294="",$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RANGE",IF(COUNTIF(nrES_RecID,$B1294)&gt;1,"DUPLICATE RECORD",IF(AND($K1294=2,COUNTIFS(nrES_PID,$D1294,nrES_Code,$F1294,nrES_Att,1)=0),"ATTEMPT 2 WITHOUT ATTEMPT 1",IF(AND($K1294=2,$L1294=""),"RETEST ROW HAS NO SCORE",IF(AND($H1294="Final",$L1294&lt;&gt;"",IFERROR(INDEX(nrCKfinalExamElig,MATCH($D1294,rngCadetPIDs,0)),"")="No"),"FINAL EXAM AFTER FAILED FINAL PT (500.1.H)","OK")))))))</f>
        <v/>
      </c>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IF($C1295="","",IF($K1295="","",IF(COUNTIFS(nrES_PID,$D1295,nrES_Code,$F1295,nrES_Att,"&gt;"&amp;$K1295,nrES_Raw,"&gt;=0")=0,"Yes","No")))</f>
        <v/>
      </c>
      <c r="Q1295" s="17">
        <f>IF($C1295="","",IF($L1295="","",IF(AND($K1295=1,ISNUMBER($L1295),$L1295&lt;$J1295,COUNTIFS(nrES_PID,$D1295,nrES_Code,$F1295,nrES_Att,2,nrES_Raw,"&gt;=0")=0),"Yes","No")))</f>
        <v/>
      </c>
      <c r="R1295" s="17">
        <f>IF($C1295="","",IF($L1295="","",IF(AND($K1295=2,ISNUMBER($L1295),$L1295&lt;$J1295),"Yes","No")))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OR($C1295="",$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RANGE",IF(COUNTIF(nrES_RecID,$B1295)&gt;1,"DUPLICATE RECORD",IF(AND($K1295=2,COUNTIFS(nrES_PID,$D1295,nrES_Code,$F1295,nrES_Att,1)=0),"ATTEMPT 2 WITHOUT ATTEMPT 1",IF(AND($K1295=2,$L1295=""),"RETEST ROW HAS NO SCORE",IF(AND($H1295="Final",$L1295&lt;&gt;"",IFERROR(INDEX(nrCKfinalExamElig,MATCH($D1295,rngCadetPIDs,0)),"")="No"),"FINAL EXAM AFTER FAILED FINAL PT (500.1.H)","OK")))))))</f>
        <v/>
      </c>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IF($C1296="","",IF($K1296="","",IF(COUNTIFS(nrES_PID,$D1296,nrES_Code,$F1296,nrES_Att,"&gt;"&amp;$K1296,nrES_Raw,"&gt;=0")=0,"Yes","No")))</f>
        <v/>
      </c>
      <c r="Q1296" s="17">
        <f>IF($C1296="","",IF($L1296="","",IF(AND($K1296=1,ISNUMBER($L1296),$L1296&lt;$J1296,COUNTIFS(nrES_PID,$D1296,nrES_Code,$F1296,nrES_Att,2,nrES_Raw,"&gt;=0")=0),"Yes","No")))</f>
        <v/>
      </c>
      <c r="R1296" s="17">
        <f>IF($C1296="","",IF($L1296="","",IF(AND($K1296=2,ISNUMBER($L1296),$L1296&lt;$J1296),"Yes","No")))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OR($C1296="",$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RANGE",IF(COUNTIF(nrES_RecID,$B1296)&gt;1,"DUPLICATE RECORD",IF(AND($K1296=2,COUNTIFS(nrES_PID,$D1296,nrES_Code,$F1296,nrES_Att,1)=0),"ATTEMPT 2 WITHOUT ATTEMPT 1",IF(AND($K1296=2,$L1296=""),"RETEST ROW HAS NO SCORE",IF(AND($H1296="Final",$L1296&lt;&gt;"",IFERROR(INDEX(nrCKfinalExamElig,MATCH($D1296,rngCadetPIDs,0)),"")="No"),"FINAL EXAM AFTER FAILED FINAL PT (500.1.H)","OK")))))))</f>
        <v/>
      </c>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IF($C1297="","",IF($K1297="","",IF(COUNTIFS(nrES_PID,$D1297,nrES_Code,$F1297,nrES_Att,"&gt;"&amp;$K1297,nrES_Raw,"&gt;=0")=0,"Yes","No")))</f>
        <v/>
      </c>
      <c r="Q1297" s="17">
        <f>IF($C1297="","",IF($L1297="","",IF(AND($K1297=1,ISNUMBER($L1297),$L1297&lt;$J1297,COUNTIFS(nrES_PID,$D1297,nrES_Code,$F1297,nrES_Att,2,nrES_Raw,"&gt;=0")=0),"Yes","No")))</f>
        <v/>
      </c>
      <c r="R1297" s="17">
        <f>IF($C1297="","",IF($L1297="","",IF(AND($K1297=2,ISNUMBER($L1297),$L1297&lt;$J1297),"Yes","No")))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OR($C1297="",$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RANGE",IF(COUNTIF(nrES_RecID,$B1297)&gt;1,"DUPLICATE RECORD",IF(AND($K1297=2,COUNTIFS(nrES_PID,$D1297,nrES_Code,$F1297,nrES_Att,1)=0),"ATTEMPT 2 WITHOUT ATTEMPT 1",IF(AND($K1297=2,$L1297=""),"RETEST ROW HAS NO SCORE",IF(AND($H1297="Final",$L1297&lt;&gt;"",IFERROR(INDEX(nrCKfinalExamElig,MATCH($D1297,rngCadetPIDs,0)),"")="No"),"FINAL EXAM AFTER FAILED FINAL PT (500.1.H)","OK")))))))</f>
        <v/>
      </c>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IF($C1298="","",IF($K1298="","",IF(COUNTIFS(nrES_PID,$D1298,nrES_Code,$F1298,nrES_Att,"&gt;"&amp;$K1298,nrES_Raw,"&gt;=0")=0,"Yes","No")))</f>
        <v/>
      </c>
      <c r="Q1298" s="17">
        <f>IF($C1298="","",IF($L1298="","",IF(AND($K1298=1,ISNUMBER($L1298),$L1298&lt;$J1298,COUNTIFS(nrES_PID,$D1298,nrES_Code,$F1298,nrES_Att,2,nrES_Raw,"&gt;=0")=0),"Yes","No")))</f>
        <v/>
      </c>
      <c r="R1298" s="17">
        <f>IF($C1298="","",IF($L1298="","",IF(AND($K1298=2,ISNUMBER($L1298),$L1298&lt;$J1298),"Yes","No")))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OR($C1298="",$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RANGE",IF(COUNTIF(nrES_RecID,$B1298)&gt;1,"DUPLICATE RECORD",IF(AND($K1298=2,COUNTIFS(nrES_PID,$D1298,nrES_Code,$F1298,nrES_Att,1)=0),"ATTEMPT 2 WITHOUT ATTEMPT 1",IF(AND($K1298=2,$L1298=""),"RETEST ROW HAS NO SCORE",IF(AND($H1298="Final",$L1298&lt;&gt;"",IFERROR(INDEX(nrCKfinalExamElig,MATCH($D1298,rngCadetPIDs,0)),"")="No"),"FINAL EXAM AFTER FAILED FINAL PT (500.1.H)","OK")))))))</f>
        <v/>
      </c>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IF($C1299="","",IF($K1299="","",IF(COUNTIFS(nrES_PID,$D1299,nrES_Code,$F1299,nrES_Att,"&gt;"&amp;$K1299,nrES_Raw,"&gt;=0")=0,"Yes","No")))</f>
        <v/>
      </c>
      <c r="Q1299" s="17">
        <f>IF($C1299="","",IF($L1299="","",IF(AND($K1299=1,ISNUMBER($L1299),$L1299&lt;$J1299,COUNTIFS(nrES_PID,$D1299,nrES_Code,$F1299,nrES_Att,2,nrES_Raw,"&gt;=0")=0),"Yes","No")))</f>
        <v/>
      </c>
      <c r="R1299" s="17">
        <f>IF($C1299="","",IF($L1299="","",IF(AND($K1299=2,ISNUMBER($L1299),$L1299&lt;$J1299),"Yes","No")))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OR($C1299="",$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RANGE",IF(COUNTIF(nrES_RecID,$B1299)&gt;1,"DUPLICATE RECORD",IF(AND($K1299=2,COUNTIFS(nrES_PID,$D1299,nrES_Code,$F1299,nrES_Att,1)=0),"ATTEMPT 2 WITHOUT ATTEMPT 1",IF(AND($K1299=2,$L1299=""),"RETEST ROW HAS NO SCORE",IF(AND($H1299="Final",$L1299&lt;&gt;"",IFERROR(INDEX(nrCKfinalExamElig,MATCH($D1299,rngCadetPIDs,0)),"")="No"),"FINAL EXAM AFTER FAILED FINAL PT (500.1.H)","OK")))))))</f>
        <v/>
      </c>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IF($C1300="","",IF($K1300="","",IF(COUNTIFS(nrES_PID,$D1300,nrES_Code,$F1300,nrES_Att,"&gt;"&amp;$K1300,nrES_Raw,"&gt;=0")=0,"Yes","No")))</f>
        <v/>
      </c>
      <c r="Q1300" s="17">
        <f>IF($C1300="","",IF($L1300="","",IF(AND($K1300=1,ISNUMBER($L1300),$L1300&lt;$J1300,COUNTIFS(nrES_PID,$D1300,nrES_Code,$F1300,nrES_Att,2,nrES_Raw,"&gt;=0")=0),"Yes","No")))</f>
        <v/>
      </c>
      <c r="R1300" s="17">
        <f>IF($C1300="","",IF($L1300="","",IF(AND($K1300=2,ISNUMBER($L1300),$L1300&lt;$J1300),"Yes","No")))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OR($C1300="",$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RANGE",IF(COUNTIF(nrES_RecID,$B1300)&gt;1,"DUPLICATE RECORD",IF(AND($K1300=2,COUNTIFS(nrES_PID,$D1300,nrES_Code,$F1300,nrES_Att,1)=0),"ATTEMPT 2 WITHOUT ATTEMPT 1",IF(AND($K1300=2,$L1300=""),"RETEST ROW HAS NO SCORE",IF(AND($H1300="Final",$L1300&lt;&gt;"",IFERROR(INDEX(nrCKfinalExamElig,MATCH($D1300,rngCadetPIDs,0)),"")="No"),"FINAL EXAM AFTER FAILED FINAL PT (500.1.H)","OK")))))))</f>
        <v/>
      </c>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IF($C1301="","",IF($K1301="","",IF(COUNTIFS(nrES_PID,$D1301,nrES_Code,$F1301,nrES_Att,"&gt;"&amp;$K1301,nrES_Raw,"&gt;=0")=0,"Yes","No")))</f>
        <v/>
      </c>
      <c r="Q1301" s="17">
        <f>IF($C1301="","",IF($L1301="","",IF(AND($K1301=1,ISNUMBER($L1301),$L1301&lt;$J1301,COUNTIFS(nrES_PID,$D1301,nrES_Code,$F1301,nrES_Att,2,nrES_Raw,"&gt;=0")=0),"Yes","No")))</f>
        <v/>
      </c>
      <c r="R1301" s="17">
        <f>IF($C1301="","",IF($L1301="","",IF(AND($K1301=2,ISNUMBER($L1301),$L1301&lt;$J1301),"Yes","No")))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OR($C1301="",$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RANGE",IF(COUNTIF(nrES_RecID,$B1301)&gt;1,"DUPLICATE RECORD",IF(AND($K1301=2,COUNTIFS(nrES_PID,$D1301,nrES_Code,$F1301,nrES_Att,1)=0),"ATTEMPT 2 WITHOUT ATTEMPT 1",IF(AND($K1301=2,$L1301=""),"RETEST ROW HAS NO SCORE",IF(AND($H1301="Final",$L1301&lt;&gt;"",IFERROR(INDEX(nrCKfinalExamElig,MATCH($D1301,rngCadetPIDs,0)),"")="No"),"FINAL EXAM AFTER FAILED FINAL PT (500.1.H)","OK")))))))</f>
        <v/>
      </c>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IF($C1302="","",IF($K1302="","",IF(COUNTIFS(nrES_PID,$D1302,nrES_Code,$F1302,nrES_Att,"&gt;"&amp;$K1302,nrES_Raw,"&gt;=0")=0,"Yes","No")))</f>
        <v/>
      </c>
      <c r="Q1302" s="17">
        <f>IF($C1302="","",IF($L1302="","",IF(AND($K1302=1,ISNUMBER($L1302),$L1302&lt;$J1302,COUNTIFS(nrES_PID,$D1302,nrES_Code,$F1302,nrES_Att,2,nrES_Raw,"&gt;=0")=0),"Yes","No")))</f>
        <v/>
      </c>
      <c r="R1302" s="17">
        <f>IF($C1302="","",IF($L1302="","",IF(AND($K1302=2,ISNUMBER($L1302),$L1302&lt;$J1302),"Yes","No")))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OR($C1302="",$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RANGE",IF(COUNTIF(nrES_RecID,$B1302)&gt;1,"DUPLICATE RECORD",IF(AND($K1302=2,COUNTIFS(nrES_PID,$D1302,nrES_Code,$F1302,nrES_Att,1)=0),"ATTEMPT 2 WITHOUT ATTEMPT 1",IF(AND($K1302=2,$L1302=""),"RETEST ROW HAS NO SCORE",IF(AND($H1302="Final",$L1302&lt;&gt;"",IFERROR(INDEX(nrCKfinalExamElig,MATCH($D1302,rngCadetPIDs,0)),"")="No"),"FINAL EXAM AFTER FAILED FINAL PT (500.1.H)","OK")))))))</f>
        <v/>
      </c>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IF($C1303="","",IF($K1303="","",IF(COUNTIFS(nrES_PID,$D1303,nrES_Code,$F1303,nrES_Att,"&gt;"&amp;$K1303,nrES_Raw,"&gt;=0")=0,"Yes","No")))</f>
        <v/>
      </c>
      <c r="Q1303" s="17">
        <f>IF($C1303="","",IF($L1303="","",IF(AND($K1303=1,ISNUMBER($L1303),$L1303&lt;$J1303,COUNTIFS(nrES_PID,$D1303,nrES_Code,$F1303,nrES_Att,2,nrES_Raw,"&gt;=0")=0),"Yes","No")))</f>
        <v/>
      </c>
      <c r="R1303" s="17">
        <f>IF($C1303="","",IF($L1303="","",IF(AND($K1303=2,ISNUMBER($L1303),$L1303&lt;$J1303),"Yes","No")))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OR($C1303="",$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RANGE",IF(COUNTIF(nrES_RecID,$B1303)&gt;1,"DUPLICATE RECORD",IF(AND($K1303=2,COUNTIFS(nrES_PID,$D1303,nrES_Code,$F1303,nrES_Att,1)=0),"ATTEMPT 2 WITHOUT ATTEMPT 1",IF(AND($K1303=2,$L1303=""),"RETEST ROW HAS NO SCORE",IF(AND($H1303="Final",$L1303&lt;&gt;"",IFERROR(INDEX(nrCKfinalExamElig,MATCH($D1303,rngCadetPIDs,0)),"")="No"),"FINAL EXAM AFTER FAILED FINAL PT (500.1.H)","OK")))))))</f>
        <v/>
      </c>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IF($C1304="","",IF($K1304="","",IF(COUNTIFS(nrES_PID,$D1304,nrES_Code,$F1304,nrES_Att,"&gt;"&amp;$K1304,nrES_Raw,"&gt;=0")=0,"Yes","No")))</f>
        <v/>
      </c>
      <c r="Q1304" s="17">
        <f>IF($C1304="","",IF($L1304="","",IF(AND($K1304=1,ISNUMBER($L1304),$L1304&lt;$J1304,COUNTIFS(nrES_PID,$D1304,nrES_Code,$F1304,nrES_Att,2,nrES_Raw,"&gt;=0")=0),"Yes","No")))</f>
        <v/>
      </c>
      <c r="R1304" s="17">
        <f>IF($C1304="","",IF($L1304="","",IF(AND($K1304=2,ISNUMBER($L1304),$L1304&lt;$J1304),"Yes","No")))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OR($C1304="",$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RANGE",IF(COUNTIF(nrES_RecID,$B1304)&gt;1,"DUPLICATE RECORD",IF(AND($K1304=2,COUNTIFS(nrES_PID,$D1304,nrES_Code,$F1304,nrES_Att,1)=0),"ATTEMPT 2 WITHOUT ATTEMPT 1",IF(AND($K1304=2,$L1304=""),"RETEST ROW HAS NO SCORE",IF(AND($H1304="Final",$L1304&lt;&gt;"",IFERROR(INDEX(nrCKfinalExamElig,MATCH($D1304,rngCadetPIDs,0)),"")="No"),"FINAL EXAM AFTER FAILED FINAL PT (500.1.H)","OK")))))))</f>
        <v/>
      </c>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IF($C1305="","",IF($K1305="","",IF(COUNTIFS(nrES_PID,$D1305,nrES_Code,$F1305,nrES_Att,"&gt;"&amp;$K1305,nrES_Raw,"&gt;=0")=0,"Yes","No")))</f>
        <v/>
      </c>
      <c r="Q1305" s="17">
        <f>IF($C1305="","",IF($L1305="","",IF(AND($K1305=1,ISNUMBER($L1305),$L1305&lt;$J1305,COUNTIFS(nrES_PID,$D1305,nrES_Code,$F1305,nrES_Att,2,nrES_Raw,"&gt;=0")=0),"Yes","No")))</f>
        <v/>
      </c>
      <c r="R1305" s="17">
        <f>IF($C1305="","",IF($L1305="","",IF(AND($K1305=2,ISNUMBER($L1305),$L1305&lt;$J1305),"Yes","No")))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OR($C1305="",$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RANGE",IF(COUNTIF(nrES_RecID,$B1305)&gt;1,"DUPLICATE RECORD",IF(AND($K1305=2,COUNTIFS(nrES_PID,$D1305,nrES_Code,$F1305,nrES_Att,1)=0),"ATTEMPT 2 WITHOUT ATTEMPT 1",IF(AND($K1305=2,$L1305=""),"RETEST ROW HAS NO SCORE",IF(AND($H1305="Final",$L1305&lt;&gt;"",IFERROR(INDEX(nrCKfinalExamElig,MATCH($D1305,rngCadetPIDs,0)),"")="No"),"FINAL EXAM AFTER FAILED FINAL PT (500.1.H)","OK")))))))</f>
        <v/>
      </c>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IF($C1306="","",IF($K1306="","",IF(COUNTIFS(nrES_PID,$D1306,nrES_Code,$F1306,nrES_Att,"&gt;"&amp;$K1306,nrES_Raw,"&gt;=0")=0,"Yes","No")))</f>
        <v/>
      </c>
      <c r="Q1306" s="17">
        <f>IF($C1306="","",IF($L1306="","",IF(AND($K1306=1,ISNUMBER($L1306),$L1306&lt;$J1306,COUNTIFS(nrES_PID,$D1306,nrES_Code,$F1306,nrES_Att,2,nrES_Raw,"&gt;=0")=0),"Yes","No")))</f>
        <v/>
      </c>
      <c r="R1306" s="17">
        <f>IF($C1306="","",IF($L1306="","",IF(AND($K1306=2,ISNUMBER($L1306),$L1306&lt;$J1306),"Yes","No")))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OR($C1306="",$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RANGE",IF(COUNTIF(nrES_RecID,$B1306)&gt;1,"DUPLICATE RECORD",IF(AND($K1306=2,COUNTIFS(nrES_PID,$D1306,nrES_Code,$F1306,nrES_Att,1)=0),"ATTEMPT 2 WITHOUT ATTEMPT 1",IF(AND($K1306=2,$L1306=""),"RETEST ROW HAS NO SCORE",IF(AND($H1306="Final",$L1306&lt;&gt;"",IFERROR(INDEX(nrCKfinalExamElig,MATCH($D1306,rngCadetPIDs,0)),"")="No"),"FINAL EXAM AFTER FAILED FINAL PT (500.1.H)","OK")))))))</f>
        <v/>
      </c>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IF($C1307="","",IF($K1307="","",IF(COUNTIFS(nrES_PID,$D1307,nrES_Code,$F1307,nrES_Att,"&gt;"&amp;$K1307,nrES_Raw,"&gt;=0")=0,"Yes","No")))</f>
        <v/>
      </c>
      <c r="Q1307" s="17">
        <f>IF($C1307="","",IF($L1307="","",IF(AND($K1307=1,ISNUMBER($L1307),$L1307&lt;$J1307,COUNTIFS(nrES_PID,$D1307,nrES_Code,$F1307,nrES_Att,2,nrES_Raw,"&gt;=0")=0),"Yes","No")))</f>
        <v/>
      </c>
      <c r="R1307" s="17">
        <f>IF($C1307="","",IF($L1307="","",IF(AND($K1307=2,ISNUMBER($L1307),$L1307&lt;$J1307),"Yes","No")))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OR($C1307="",$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RANGE",IF(COUNTIF(nrES_RecID,$B1307)&gt;1,"DUPLICATE RECORD",IF(AND($K1307=2,COUNTIFS(nrES_PID,$D1307,nrES_Code,$F1307,nrES_Att,1)=0),"ATTEMPT 2 WITHOUT ATTEMPT 1",IF(AND($K1307=2,$L1307=""),"RETEST ROW HAS NO SCORE",IF(AND($H1307="Final",$L1307&lt;&gt;"",IFERROR(INDEX(nrCKfinalExamElig,MATCH($D1307,rngCadetPIDs,0)),"")="No"),"FINAL EXAM AFTER FAILED FINAL PT (500.1.H)","OK")))))))</f>
        <v/>
      </c>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IF($C1308="","",IF($K1308="","",IF(COUNTIFS(nrES_PID,$D1308,nrES_Code,$F1308,nrES_Att,"&gt;"&amp;$K1308,nrES_Raw,"&gt;=0")=0,"Yes","No")))</f>
        <v/>
      </c>
      <c r="Q1308" s="17">
        <f>IF($C1308="","",IF($L1308="","",IF(AND($K1308=1,ISNUMBER($L1308),$L1308&lt;$J1308,COUNTIFS(nrES_PID,$D1308,nrES_Code,$F1308,nrES_Att,2,nrES_Raw,"&gt;=0")=0),"Yes","No")))</f>
        <v/>
      </c>
      <c r="R1308" s="17">
        <f>IF($C1308="","",IF($L1308="","",IF(AND($K1308=2,ISNUMBER($L1308),$L1308&lt;$J1308),"Yes","No")))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OR($C1308="",$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RANGE",IF(COUNTIF(nrES_RecID,$B1308)&gt;1,"DUPLICATE RECORD",IF(AND($K1308=2,COUNTIFS(nrES_PID,$D1308,nrES_Code,$F1308,nrES_Att,1)=0),"ATTEMPT 2 WITHOUT ATTEMPT 1",IF(AND($K1308=2,$L1308=""),"RETEST ROW HAS NO SCORE",IF(AND($H1308="Final",$L1308&lt;&gt;"",IFERROR(INDEX(nrCKfinalExamElig,MATCH($D1308,rngCadetPIDs,0)),"")="No"),"FINAL EXAM AFTER FAILED FINAL PT (500.1.H)","OK")))))))</f>
        <v/>
      </c>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IF($C1309="","",IF($K1309="","",IF(COUNTIFS(nrES_PID,$D1309,nrES_Code,$F1309,nrES_Att,"&gt;"&amp;$K1309,nrES_Raw,"&gt;=0")=0,"Yes","No")))</f>
        <v/>
      </c>
      <c r="Q1309" s="17">
        <f>IF($C1309="","",IF($L1309="","",IF(AND($K1309=1,ISNUMBER($L1309),$L1309&lt;$J1309,COUNTIFS(nrES_PID,$D1309,nrES_Code,$F1309,nrES_Att,2,nrES_Raw,"&gt;=0")=0),"Yes","No")))</f>
        <v/>
      </c>
      <c r="R1309" s="17">
        <f>IF($C1309="","",IF($L1309="","",IF(AND($K1309=2,ISNUMBER($L1309),$L1309&lt;$J1309),"Yes","No")))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OR($C1309="",$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RANGE",IF(COUNTIF(nrES_RecID,$B1309)&gt;1,"DUPLICATE RECORD",IF(AND($K1309=2,COUNTIFS(nrES_PID,$D1309,nrES_Code,$F1309,nrES_Att,1)=0),"ATTEMPT 2 WITHOUT ATTEMPT 1",IF(AND($K1309=2,$L1309=""),"RETEST ROW HAS NO SCORE",IF(AND($H1309="Final",$L1309&lt;&gt;"",IFERROR(INDEX(nrCKfinalExamElig,MATCH($D1309,rngCadetPIDs,0)),"")="No"),"FINAL EXAM AFTER FAILED FINAL PT (500.1.H)","OK")))))))</f>
        <v/>
      </c>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IF($C1310="","",IF($K1310="","",IF(COUNTIFS(nrES_PID,$D1310,nrES_Code,$F1310,nrES_Att,"&gt;"&amp;$K1310,nrES_Raw,"&gt;=0")=0,"Yes","No")))</f>
        <v/>
      </c>
      <c r="Q1310" s="17">
        <f>IF($C1310="","",IF($L1310="","",IF(AND($K1310=1,ISNUMBER($L1310),$L1310&lt;$J1310,COUNTIFS(nrES_PID,$D1310,nrES_Code,$F1310,nrES_Att,2,nrES_Raw,"&gt;=0")=0),"Yes","No")))</f>
        <v/>
      </c>
      <c r="R1310" s="17">
        <f>IF($C1310="","",IF($L1310="","",IF(AND($K1310=2,ISNUMBER($L1310),$L1310&lt;$J1310),"Yes","No")))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OR($C1310="",$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RANGE",IF(COUNTIF(nrES_RecID,$B1310)&gt;1,"DUPLICATE RECORD",IF(AND($K1310=2,COUNTIFS(nrES_PID,$D1310,nrES_Code,$F1310,nrES_Att,1)=0),"ATTEMPT 2 WITHOUT ATTEMPT 1",IF(AND($K1310=2,$L1310=""),"RETEST ROW HAS NO SCORE",IF(AND($H1310="Final",$L1310&lt;&gt;"",IFERROR(INDEX(nrCKfinalExamElig,MATCH($D1310,rngCadetPIDs,0)),"")="No"),"FINAL EXAM AFTER FAILED FINAL PT (500.1.H)","OK")))))))</f>
        <v/>
      </c>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IF($C1311="","",IF($K1311="","",IF(COUNTIFS(nrES_PID,$D1311,nrES_Code,$F1311,nrES_Att,"&gt;"&amp;$K1311,nrES_Raw,"&gt;=0")=0,"Yes","No")))</f>
        <v/>
      </c>
      <c r="Q1311" s="17">
        <f>IF($C1311="","",IF($L1311="","",IF(AND($K1311=1,ISNUMBER($L1311),$L1311&lt;$J1311,COUNTIFS(nrES_PID,$D1311,nrES_Code,$F1311,nrES_Att,2,nrES_Raw,"&gt;=0")=0),"Yes","No")))</f>
        <v/>
      </c>
      <c r="R1311" s="17">
        <f>IF($C1311="","",IF($L1311="","",IF(AND($K1311=2,ISNUMBER($L1311),$L1311&lt;$J1311),"Yes","No")))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OR($C1311="",$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RANGE",IF(COUNTIF(nrES_RecID,$B1311)&gt;1,"DUPLICATE RECORD",IF(AND($K1311=2,COUNTIFS(nrES_PID,$D1311,nrES_Code,$F1311,nrES_Att,1)=0),"ATTEMPT 2 WITHOUT ATTEMPT 1",IF(AND($K1311=2,$L1311=""),"RETEST ROW HAS NO SCORE",IF(AND($H1311="Final",$L1311&lt;&gt;"",IFERROR(INDEX(nrCKfinalExamElig,MATCH($D1311,rngCadetPIDs,0)),"")="No"),"FINAL EXAM AFTER FAILED FINAL PT (500.1.H)","OK")))))))</f>
        <v/>
      </c>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IF($C1312="","",IF($K1312="","",IF(COUNTIFS(nrES_PID,$D1312,nrES_Code,$F1312,nrES_Att,"&gt;"&amp;$K1312,nrES_Raw,"&gt;=0")=0,"Yes","No")))</f>
        <v/>
      </c>
      <c r="Q1312" s="17">
        <f>IF($C1312="","",IF($L1312="","",IF(AND($K1312=1,ISNUMBER($L1312),$L1312&lt;$J1312,COUNTIFS(nrES_PID,$D1312,nrES_Code,$F1312,nrES_Att,2,nrES_Raw,"&gt;=0")=0),"Yes","No")))</f>
        <v/>
      </c>
      <c r="R1312" s="17">
        <f>IF($C1312="","",IF($L1312="","",IF(AND($K1312=2,ISNUMBER($L1312),$L1312&lt;$J1312),"Yes","No")))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OR($C1312="",$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RANGE",IF(COUNTIF(nrES_RecID,$B1312)&gt;1,"DUPLICATE RECORD",IF(AND($K1312=2,COUNTIFS(nrES_PID,$D1312,nrES_Code,$F1312,nrES_Att,1)=0),"ATTEMPT 2 WITHOUT ATTEMPT 1",IF(AND($K1312=2,$L1312=""),"RETEST ROW HAS NO SCORE",IF(AND($H1312="Final",$L1312&lt;&gt;"",IFERROR(INDEX(nrCKfinalExamElig,MATCH($D1312,rngCadetPIDs,0)),"")="No"),"FINAL EXAM AFTER FAILED FINAL PT (500.1.H)","OK")))))))</f>
        <v/>
      </c>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IF($C1313="","",IF($K1313="","",IF(COUNTIFS(nrES_PID,$D1313,nrES_Code,$F1313,nrES_Att,"&gt;"&amp;$K1313,nrES_Raw,"&gt;=0")=0,"Yes","No")))</f>
        <v/>
      </c>
      <c r="Q1313" s="17">
        <f>IF($C1313="","",IF($L1313="","",IF(AND($K1313=1,ISNUMBER($L1313),$L1313&lt;$J1313,COUNTIFS(nrES_PID,$D1313,nrES_Code,$F1313,nrES_Att,2,nrES_Raw,"&gt;=0")=0),"Yes","No")))</f>
        <v/>
      </c>
      <c r="R1313" s="17">
        <f>IF($C1313="","",IF($L1313="","",IF(AND($K1313=2,ISNUMBER($L1313),$L1313&lt;$J1313),"Yes","No")))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OR($C1313="",$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RANGE",IF(COUNTIF(nrES_RecID,$B1313)&gt;1,"DUPLICATE RECORD",IF(AND($K1313=2,COUNTIFS(nrES_PID,$D1313,nrES_Code,$F1313,nrES_Att,1)=0),"ATTEMPT 2 WITHOUT ATTEMPT 1",IF(AND($K1313=2,$L1313=""),"RETEST ROW HAS NO SCORE",IF(AND($H1313="Final",$L1313&lt;&gt;"",IFERROR(INDEX(nrCKfinalExamElig,MATCH($D1313,rngCadetPIDs,0)),"")="No"),"FINAL EXAM AFTER FAILED FINAL PT (500.1.H)","OK")))))))</f>
        <v/>
      </c>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IF($C1314="","",IF($K1314="","",IF(COUNTIFS(nrES_PID,$D1314,nrES_Code,$F1314,nrES_Att,"&gt;"&amp;$K1314,nrES_Raw,"&gt;=0")=0,"Yes","No")))</f>
        <v/>
      </c>
      <c r="Q1314" s="17">
        <f>IF($C1314="","",IF($L1314="","",IF(AND($K1314=1,ISNUMBER($L1314),$L1314&lt;$J1314,COUNTIFS(nrES_PID,$D1314,nrES_Code,$F1314,nrES_Att,2,nrES_Raw,"&gt;=0")=0),"Yes","No")))</f>
        <v/>
      </c>
      <c r="R1314" s="17">
        <f>IF($C1314="","",IF($L1314="","",IF(AND($K1314=2,ISNUMBER($L1314),$L1314&lt;$J1314),"Yes","No")))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OR($C1314="",$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RANGE",IF(COUNTIF(nrES_RecID,$B1314)&gt;1,"DUPLICATE RECORD",IF(AND($K1314=2,COUNTIFS(nrES_PID,$D1314,nrES_Code,$F1314,nrES_Att,1)=0),"ATTEMPT 2 WITHOUT ATTEMPT 1",IF(AND($K1314=2,$L1314=""),"RETEST ROW HAS NO SCORE",IF(AND($H1314="Final",$L1314&lt;&gt;"",IFERROR(INDEX(nrCKfinalExamElig,MATCH($D1314,rngCadetPIDs,0)),"")="No"),"FINAL EXAM AFTER FAILED FINAL PT (500.1.H)","OK")))))))</f>
        <v/>
      </c>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IF($C1315="","",IF($K1315="","",IF(COUNTIFS(nrES_PID,$D1315,nrES_Code,$F1315,nrES_Att,"&gt;"&amp;$K1315,nrES_Raw,"&gt;=0")=0,"Yes","No")))</f>
        <v/>
      </c>
      <c r="Q1315" s="17">
        <f>IF($C1315="","",IF($L1315="","",IF(AND($K1315=1,ISNUMBER($L1315),$L1315&lt;$J1315,COUNTIFS(nrES_PID,$D1315,nrES_Code,$F1315,nrES_Att,2,nrES_Raw,"&gt;=0")=0),"Yes","No")))</f>
        <v/>
      </c>
      <c r="R1315" s="17">
        <f>IF($C1315="","",IF($L1315="","",IF(AND($K1315=2,ISNUMBER($L1315),$L1315&lt;$J1315),"Yes","No")))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OR($C1315="",$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RANGE",IF(COUNTIF(nrES_RecID,$B1315)&gt;1,"DUPLICATE RECORD",IF(AND($K1315=2,COUNTIFS(nrES_PID,$D1315,nrES_Code,$F1315,nrES_Att,1)=0),"ATTEMPT 2 WITHOUT ATTEMPT 1",IF(AND($K1315=2,$L1315=""),"RETEST ROW HAS NO SCORE",IF(AND($H1315="Final",$L1315&lt;&gt;"",IFERROR(INDEX(nrCKfinalExamElig,MATCH($D1315,rngCadetPIDs,0)),"")="No"),"FINAL EXAM AFTER FAILED FINAL PT (500.1.H)","OK")))))))</f>
        <v/>
      </c>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IF($C1316="","",IF($K1316="","",IF(COUNTIFS(nrES_PID,$D1316,nrES_Code,$F1316,nrES_Att,"&gt;"&amp;$K1316,nrES_Raw,"&gt;=0")=0,"Yes","No")))</f>
        <v/>
      </c>
      <c r="Q1316" s="17">
        <f>IF($C1316="","",IF($L1316="","",IF(AND($K1316=1,ISNUMBER($L1316),$L1316&lt;$J1316,COUNTIFS(nrES_PID,$D1316,nrES_Code,$F1316,nrES_Att,2,nrES_Raw,"&gt;=0")=0),"Yes","No")))</f>
        <v/>
      </c>
      <c r="R1316" s="17">
        <f>IF($C1316="","",IF($L1316="","",IF(AND($K1316=2,ISNUMBER($L1316),$L1316&lt;$J1316),"Yes","No")))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OR($C1316="",$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RANGE",IF(COUNTIF(nrES_RecID,$B1316)&gt;1,"DUPLICATE RECORD",IF(AND($K1316=2,COUNTIFS(nrES_PID,$D1316,nrES_Code,$F1316,nrES_Att,1)=0),"ATTEMPT 2 WITHOUT ATTEMPT 1",IF(AND($K1316=2,$L1316=""),"RETEST ROW HAS NO SCORE",IF(AND($H1316="Final",$L1316&lt;&gt;"",IFERROR(INDEX(nrCKfinalExamElig,MATCH($D1316,rngCadetPIDs,0)),"")="No"),"FINAL EXAM AFTER FAILED FINAL PT (500.1.H)","OK")))))))</f>
        <v/>
      </c>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IF($C1317="","",IF($K1317="","",IF(COUNTIFS(nrES_PID,$D1317,nrES_Code,$F1317,nrES_Att,"&gt;"&amp;$K1317,nrES_Raw,"&gt;=0")=0,"Yes","No")))</f>
        <v/>
      </c>
      <c r="Q1317" s="17">
        <f>IF($C1317="","",IF($L1317="","",IF(AND($K1317=1,ISNUMBER($L1317),$L1317&lt;$J1317,COUNTIFS(nrES_PID,$D1317,nrES_Code,$F1317,nrES_Att,2,nrES_Raw,"&gt;=0")=0),"Yes","No")))</f>
        <v/>
      </c>
      <c r="R1317" s="17">
        <f>IF($C1317="","",IF($L1317="","",IF(AND($K1317=2,ISNUMBER($L1317),$L1317&lt;$J1317),"Yes","No")))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OR($C1317="",$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RANGE",IF(COUNTIF(nrES_RecID,$B1317)&gt;1,"DUPLICATE RECORD",IF(AND($K1317=2,COUNTIFS(nrES_PID,$D1317,nrES_Code,$F1317,nrES_Att,1)=0),"ATTEMPT 2 WITHOUT ATTEMPT 1",IF(AND($K1317=2,$L1317=""),"RETEST ROW HAS NO SCORE",IF(AND($H1317="Final",$L1317&lt;&gt;"",IFERROR(INDEX(nrCKfinalExamElig,MATCH($D1317,rngCadetPIDs,0)),"")="No"),"FINAL EXAM AFTER FAILED FINAL PT (500.1.H)","OK")))))))</f>
        <v/>
      </c>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IF($C1318="","",IF($K1318="","",IF(COUNTIFS(nrES_PID,$D1318,nrES_Code,$F1318,nrES_Att,"&gt;"&amp;$K1318,nrES_Raw,"&gt;=0")=0,"Yes","No")))</f>
        <v/>
      </c>
      <c r="Q1318" s="17">
        <f>IF($C1318="","",IF($L1318="","",IF(AND($K1318=1,ISNUMBER($L1318),$L1318&lt;$J1318,COUNTIFS(nrES_PID,$D1318,nrES_Code,$F1318,nrES_Att,2,nrES_Raw,"&gt;=0")=0),"Yes","No")))</f>
        <v/>
      </c>
      <c r="R1318" s="17">
        <f>IF($C1318="","",IF($L1318="","",IF(AND($K1318=2,ISNUMBER($L1318),$L1318&lt;$J1318),"Yes","No")))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OR($C1318="",$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RANGE",IF(COUNTIF(nrES_RecID,$B1318)&gt;1,"DUPLICATE RECORD",IF(AND($K1318=2,COUNTIFS(nrES_PID,$D1318,nrES_Code,$F1318,nrES_Att,1)=0),"ATTEMPT 2 WITHOUT ATTEMPT 1",IF(AND($K1318=2,$L1318=""),"RETEST ROW HAS NO SCORE",IF(AND($H1318="Final",$L1318&lt;&gt;"",IFERROR(INDEX(nrCKfinalExamElig,MATCH($D1318,rngCadetPIDs,0)),"")="No"),"FINAL EXAM AFTER FAILED FINAL PT (500.1.H)","OK")))))))</f>
        <v/>
      </c>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IF($C1319="","",IF($K1319="","",IF(COUNTIFS(nrES_PID,$D1319,nrES_Code,$F1319,nrES_Att,"&gt;"&amp;$K1319,nrES_Raw,"&gt;=0")=0,"Yes","No")))</f>
        <v/>
      </c>
      <c r="Q1319" s="17">
        <f>IF($C1319="","",IF($L1319="","",IF(AND($K1319=1,ISNUMBER($L1319),$L1319&lt;$J1319,COUNTIFS(nrES_PID,$D1319,nrES_Code,$F1319,nrES_Att,2,nrES_Raw,"&gt;=0")=0),"Yes","No")))</f>
        <v/>
      </c>
      <c r="R1319" s="17">
        <f>IF($C1319="","",IF($L1319="","",IF(AND($K1319=2,ISNUMBER($L1319),$L1319&lt;$J1319),"Yes","No")))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OR($C1319="",$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RANGE",IF(COUNTIF(nrES_RecID,$B1319)&gt;1,"DUPLICATE RECORD",IF(AND($K1319=2,COUNTIFS(nrES_PID,$D1319,nrES_Code,$F1319,nrES_Att,1)=0),"ATTEMPT 2 WITHOUT ATTEMPT 1",IF(AND($K1319=2,$L1319=""),"RETEST ROW HAS NO SCORE",IF(AND($H1319="Final",$L1319&lt;&gt;"",IFERROR(INDEX(nrCKfinalExamElig,MATCH($D1319,rngCadetPIDs,0)),"")="No"),"FINAL EXAM AFTER FAILED FINAL PT (500.1.H)","OK")))))))</f>
        <v/>
      </c>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IF($C1320="","",IF($K1320="","",IF(COUNTIFS(nrES_PID,$D1320,nrES_Code,$F1320,nrES_Att,"&gt;"&amp;$K1320,nrES_Raw,"&gt;=0")=0,"Yes","No")))</f>
        <v/>
      </c>
      <c r="Q1320" s="17">
        <f>IF($C1320="","",IF($L1320="","",IF(AND($K1320=1,ISNUMBER($L1320),$L1320&lt;$J1320,COUNTIFS(nrES_PID,$D1320,nrES_Code,$F1320,nrES_Att,2,nrES_Raw,"&gt;=0")=0),"Yes","No")))</f>
        <v/>
      </c>
      <c r="R1320" s="17">
        <f>IF($C1320="","",IF($L1320="","",IF(AND($K1320=2,ISNUMBER($L1320),$L1320&lt;$J1320),"Yes","No")))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OR($C1320="",$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RANGE",IF(COUNTIF(nrES_RecID,$B1320)&gt;1,"DUPLICATE RECORD",IF(AND($K1320=2,COUNTIFS(nrES_PID,$D1320,nrES_Code,$F1320,nrES_Att,1)=0),"ATTEMPT 2 WITHOUT ATTEMPT 1",IF(AND($K1320=2,$L1320=""),"RETEST ROW HAS NO SCORE",IF(AND($H1320="Final",$L1320&lt;&gt;"",IFERROR(INDEX(nrCKfinalExamElig,MATCH($D1320,rngCadetPIDs,0)),"")="No"),"FINAL EXAM AFTER FAILED FINAL PT (500.1.H)","OK")))))))</f>
        <v/>
      </c>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IF($C1321="","",IF($K1321="","",IF(COUNTIFS(nrES_PID,$D1321,nrES_Code,$F1321,nrES_Att,"&gt;"&amp;$K1321,nrES_Raw,"&gt;=0")=0,"Yes","No")))</f>
        <v/>
      </c>
      <c r="Q1321" s="17">
        <f>IF($C1321="","",IF($L1321="","",IF(AND($K1321=1,ISNUMBER($L1321),$L1321&lt;$J1321,COUNTIFS(nrES_PID,$D1321,nrES_Code,$F1321,nrES_Att,2,nrES_Raw,"&gt;=0")=0),"Yes","No")))</f>
        <v/>
      </c>
      <c r="R1321" s="17">
        <f>IF($C1321="","",IF($L1321="","",IF(AND($K1321=2,ISNUMBER($L1321),$L1321&lt;$J1321),"Yes","No")))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OR($C1321="",$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RANGE",IF(COUNTIF(nrES_RecID,$B1321)&gt;1,"DUPLICATE RECORD",IF(AND($K1321=2,COUNTIFS(nrES_PID,$D1321,nrES_Code,$F1321,nrES_Att,1)=0),"ATTEMPT 2 WITHOUT ATTEMPT 1",IF(AND($K1321=2,$L1321=""),"RETEST ROW HAS NO SCORE",IF(AND($H1321="Final",$L1321&lt;&gt;"",IFERROR(INDEX(nrCKfinalExamElig,MATCH($D1321,rngCadetPIDs,0)),"")="No"),"FINAL EXAM AFTER FAILED FINAL PT (500.1.H)","OK")))))))</f>
        <v/>
      </c>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IF($C1322="","",IF($K1322="","",IF(COUNTIFS(nrES_PID,$D1322,nrES_Code,$F1322,nrES_Att,"&gt;"&amp;$K1322,nrES_Raw,"&gt;=0")=0,"Yes","No")))</f>
        <v/>
      </c>
      <c r="Q1322" s="17">
        <f>IF($C1322="","",IF($L1322="","",IF(AND($K1322=1,ISNUMBER($L1322),$L1322&lt;$J1322,COUNTIFS(nrES_PID,$D1322,nrES_Code,$F1322,nrES_Att,2,nrES_Raw,"&gt;=0")=0),"Yes","No")))</f>
        <v/>
      </c>
      <c r="R1322" s="17">
        <f>IF($C1322="","",IF($L1322="","",IF(AND($K1322=2,ISNUMBER($L1322),$L1322&lt;$J1322),"Yes","No")))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OR($C1322="",$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RANGE",IF(COUNTIF(nrES_RecID,$B1322)&gt;1,"DUPLICATE RECORD",IF(AND($K1322=2,COUNTIFS(nrES_PID,$D1322,nrES_Code,$F1322,nrES_Att,1)=0),"ATTEMPT 2 WITHOUT ATTEMPT 1",IF(AND($K1322=2,$L1322=""),"RETEST ROW HAS NO SCORE",IF(AND($H1322="Final",$L1322&lt;&gt;"",IFERROR(INDEX(nrCKfinalExamElig,MATCH($D1322,rngCadetPIDs,0)),"")="No"),"FINAL EXAM AFTER FAILED FINAL PT (500.1.H)","OK")))))))</f>
        <v/>
      </c>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IF($C1323="","",IF($K1323="","",IF(COUNTIFS(nrES_PID,$D1323,nrES_Code,$F1323,nrES_Att,"&gt;"&amp;$K1323,nrES_Raw,"&gt;=0")=0,"Yes","No")))</f>
        <v/>
      </c>
      <c r="Q1323" s="17">
        <f>IF($C1323="","",IF($L1323="","",IF(AND($K1323=1,ISNUMBER($L1323),$L1323&lt;$J1323,COUNTIFS(nrES_PID,$D1323,nrES_Code,$F1323,nrES_Att,2,nrES_Raw,"&gt;=0")=0),"Yes","No")))</f>
        <v/>
      </c>
      <c r="R1323" s="17">
        <f>IF($C1323="","",IF($L1323="","",IF(AND($K1323=2,ISNUMBER($L1323),$L1323&lt;$J1323),"Yes","No")))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OR($C1323="",$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RANGE",IF(COUNTIF(nrES_RecID,$B1323)&gt;1,"DUPLICATE RECORD",IF(AND($K1323=2,COUNTIFS(nrES_PID,$D1323,nrES_Code,$F1323,nrES_Att,1)=0),"ATTEMPT 2 WITHOUT ATTEMPT 1",IF(AND($K1323=2,$L1323=""),"RETEST ROW HAS NO SCORE",IF(AND($H1323="Final",$L1323&lt;&gt;"",IFERROR(INDEX(nrCKfinalExamElig,MATCH($D1323,rngCadetPIDs,0)),"")="No"),"FINAL EXAM AFTER FAILED FINAL PT (500.1.H)","OK")))))))</f>
        <v/>
      </c>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IF($C1324="","",IF($K1324="","",IF(COUNTIFS(nrES_PID,$D1324,nrES_Code,$F1324,nrES_Att,"&gt;"&amp;$K1324,nrES_Raw,"&gt;=0")=0,"Yes","No")))</f>
        <v/>
      </c>
      <c r="Q1324" s="17">
        <f>IF($C1324="","",IF($L1324="","",IF(AND($K1324=1,ISNUMBER($L1324),$L1324&lt;$J1324,COUNTIFS(nrES_PID,$D1324,nrES_Code,$F1324,nrES_Att,2,nrES_Raw,"&gt;=0")=0),"Yes","No")))</f>
        <v/>
      </c>
      <c r="R1324" s="17">
        <f>IF($C1324="","",IF($L1324="","",IF(AND($K1324=2,ISNUMBER($L1324),$L1324&lt;$J1324),"Yes","No")))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OR($C1324="",$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RANGE",IF(COUNTIF(nrES_RecID,$B1324)&gt;1,"DUPLICATE RECORD",IF(AND($K1324=2,COUNTIFS(nrES_PID,$D1324,nrES_Code,$F1324,nrES_Att,1)=0),"ATTEMPT 2 WITHOUT ATTEMPT 1",IF(AND($K1324=2,$L1324=""),"RETEST ROW HAS NO SCORE",IF(AND($H1324="Final",$L1324&lt;&gt;"",IFERROR(INDEX(nrCKfinalExamElig,MATCH($D1324,rngCadetPIDs,0)),"")="No"),"FINAL EXAM AFTER FAILED FINAL PT (500.1.H)","OK")))))))</f>
        <v/>
      </c>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IF($C1325="","",IF($K1325="","",IF(COUNTIFS(nrES_PID,$D1325,nrES_Code,$F1325,nrES_Att,"&gt;"&amp;$K1325,nrES_Raw,"&gt;=0")=0,"Yes","No")))</f>
        <v/>
      </c>
      <c r="Q1325" s="17">
        <f>IF($C1325="","",IF($L1325="","",IF(AND($K1325=1,ISNUMBER($L1325),$L1325&lt;$J1325,COUNTIFS(nrES_PID,$D1325,nrES_Code,$F1325,nrES_Att,2,nrES_Raw,"&gt;=0")=0),"Yes","No")))</f>
        <v/>
      </c>
      <c r="R1325" s="17">
        <f>IF($C1325="","",IF($L1325="","",IF(AND($K1325=2,ISNUMBER($L1325),$L1325&lt;$J1325),"Yes","No")))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OR($C1325="",$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RANGE",IF(COUNTIF(nrES_RecID,$B1325)&gt;1,"DUPLICATE RECORD",IF(AND($K1325=2,COUNTIFS(nrES_PID,$D1325,nrES_Code,$F1325,nrES_Att,1)=0),"ATTEMPT 2 WITHOUT ATTEMPT 1",IF(AND($K1325=2,$L1325=""),"RETEST ROW HAS NO SCORE",IF(AND($H1325="Final",$L1325&lt;&gt;"",IFERROR(INDEX(nrCKfinalExamElig,MATCH($D1325,rngCadetPIDs,0)),"")="No"),"FINAL EXAM AFTER FAILED FINAL PT (500.1.H)","OK")))))))</f>
        <v/>
      </c>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IF($C1326="","",IF($K1326="","",IF(COUNTIFS(nrES_PID,$D1326,nrES_Code,$F1326,nrES_Att,"&gt;"&amp;$K1326,nrES_Raw,"&gt;=0")=0,"Yes","No")))</f>
        <v/>
      </c>
      <c r="Q1326" s="17">
        <f>IF($C1326="","",IF($L1326="","",IF(AND($K1326=1,ISNUMBER($L1326),$L1326&lt;$J1326,COUNTIFS(nrES_PID,$D1326,nrES_Code,$F1326,nrES_Att,2,nrES_Raw,"&gt;=0")=0),"Yes","No")))</f>
        <v/>
      </c>
      <c r="R1326" s="17">
        <f>IF($C1326="","",IF($L1326="","",IF(AND($K1326=2,ISNUMBER($L1326),$L1326&lt;$J1326),"Yes","No")))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OR($C1326="",$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RANGE",IF(COUNTIF(nrES_RecID,$B1326)&gt;1,"DUPLICATE RECORD",IF(AND($K1326=2,COUNTIFS(nrES_PID,$D1326,nrES_Code,$F1326,nrES_Att,1)=0),"ATTEMPT 2 WITHOUT ATTEMPT 1",IF(AND($K1326=2,$L1326=""),"RETEST ROW HAS NO SCORE",IF(AND($H1326="Final",$L1326&lt;&gt;"",IFERROR(INDEX(nrCKfinalExamElig,MATCH($D1326,rngCadetPIDs,0)),"")="No"),"FINAL EXAM AFTER FAILED FINAL PT (500.1.H)","OK")))))))</f>
        <v/>
      </c>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IF($C1327="","",IF($K1327="","",IF(COUNTIFS(nrES_PID,$D1327,nrES_Code,$F1327,nrES_Att,"&gt;"&amp;$K1327,nrES_Raw,"&gt;=0")=0,"Yes","No")))</f>
        <v/>
      </c>
      <c r="Q1327" s="17">
        <f>IF($C1327="","",IF($L1327="","",IF(AND($K1327=1,ISNUMBER($L1327),$L1327&lt;$J1327,COUNTIFS(nrES_PID,$D1327,nrES_Code,$F1327,nrES_Att,2,nrES_Raw,"&gt;=0")=0),"Yes","No")))</f>
        <v/>
      </c>
      <c r="R1327" s="17">
        <f>IF($C1327="","",IF($L1327="","",IF(AND($K1327=2,ISNUMBER($L1327),$L1327&lt;$J1327),"Yes","No")))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OR($C1327="",$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RANGE",IF(COUNTIF(nrES_RecID,$B1327)&gt;1,"DUPLICATE RECORD",IF(AND($K1327=2,COUNTIFS(nrES_PID,$D1327,nrES_Code,$F1327,nrES_Att,1)=0),"ATTEMPT 2 WITHOUT ATTEMPT 1",IF(AND($K1327=2,$L1327=""),"RETEST ROW HAS NO SCORE",IF(AND($H1327="Final",$L1327&lt;&gt;"",IFERROR(INDEX(nrCKfinalExamElig,MATCH($D1327,rngCadetPIDs,0)),"")="No"),"FINAL EXAM AFTER FAILED FINAL PT (500.1.H)","OK")))))))</f>
        <v/>
      </c>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IF($C1328="","",IF($K1328="","",IF(COUNTIFS(nrES_PID,$D1328,nrES_Code,$F1328,nrES_Att,"&gt;"&amp;$K1328,nrES_Raw,"&gt;=0")=0,"Yes","No")))</f>
        <v/>
      </c>
      <c r="Q1328" s="17">
        <f>IF($C1328="","",IF($L1328="","",IF(AND($K1328=1,ISNUMBER($L1328),$L1328&lt;$J1328,COUNTIFS(nrES_PID,$D1328,nrES_Code,$F1328,nrES_Att,2,nrES_Raw,"&gt;=0")=0),"Yes","No")))</f>
        <v/>
      </c>
      <c r="R1328" s="17">
        <f>IF($C1328="","",IF($L1328="","",IF(AND($K1328=2,ISNUMBER($L1328),$L1328&lt;$J1328),"Yes","No")))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OR($C1328="",$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RANGE",IF(COUNTIF(nrES_RecID,$B1328)&gt;1,"DUPLICATE RECORD",IF(AND($K1328=2,COUNTIFS(nrES_PID,$D1328,nrES_Code,$F1328,nrES_Att,1)=0),"ATTEMPT 2 WITHOUT ATTEMPT 1",IF(AND($K1328=2,$L1328=""),"RETEST ROW HAS NO SCORE",IF(AND($H1328="Final",$L1328&lt;&gt;"",IFERROR(INDEX(nrCKfinalExamElig,MATCH($D1328,rngCadetPIDs,0)),"")="No"),"FINAL EXAM AFTER FAILED FINAL PT (500.1.H)","OK")))))))</f>
        <v/>
      </c>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IF($C1329="","",IF($K1329="","",IF(COUNTIFS(nrES_PID,$D1329,nrES_Code,$F1329,nrES_Att,"&gt;"&amp;$K1329,nrES_Raw,"&gt;=0")=0,"Yes","No")))</f>
        <v/>
      </c>
      <c r="Q1329" s="17">
        <f>IF($C1329="","",IF($L1329="","",IF(AND($K1329=1,ISNUMBER($L1329),$L1329&lt;$J1329,COUNTIFS(nrES_PID,$D1329,nrES_Code,$F1329,nrES_Att,2,nrES_Raw,"&gt;=0")=0),"Yes","No")))</f>
        <v/>
      </c>
      <c r="R1329" s="17">
        <f>IF($C1329="","",IF($L1329="","",IF(AND($K1329=2,ISNUMBER($L1329),$L1329&lt;$J1329),"Yes","No")))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OR($C1329="",$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RANGE",IF(COUNTIF(nrES_RecID,$B1329)&gt;1,"DUPLICATE RECORD",IF(AND($K1329=2,COUNTIFS(nrES_PID,$D1329,nrES_Code,$F1329,nrES_Att,1)=0),"ATTEMPT 2 WITHOUT ATTEMPT 1",IF(AND($K1329=2,$L1329=""),"RETEST ROW HAS NO SCORE",IF(AND($H1329="Final",$L1329&lt;&gt;"",IFERROR(INDEX(nrCKfinalExamElig,MATCH($D1329,rngCadetPIDs,0)),"")="No"),"FINAL EXAM AFTER FAILED FINAL PT (500.1.H)","OK")))))))</f>
        <v/>
      </c>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IF($C1330="","",IF($K1330="","",IF(COUNTIFS(nrES_PID,$D1330,nrES_Code,$F1330,nrES_Att,"&gt;"&amp;$K1330,nrES_Raw,"&gt;=0")=0,"Yes","No")))</f>
        <v/>
      </c>
      <c r="Q1330" s="17">
        <f>IF($C1330="","",IF($L1330="","",IF(AND($K1330=1,ISNUMBER($L1330),$L1330&lt;$J1330,COUNTIFS(nrES_PID,$D1330,nrES_Code,$F1330,nrES_Att,2,nrES_Raw,"&gt;=0")=0),"Yes","No")))</f>
        <v/>
      </c>
      <c r="R1330" s="17">
        <f>IF($C1330="","",IF($L1330="","",IF(AND($K1330=2,ISNUMBER($L1330),$L1330&lt;$J1330),"Yes","No")))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OR($C1330="",$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RANGE",IF(COUNTIF(nrES_RecID,$B1330)&gt;1,"DUPLICATE RECORD",IF(AND($K1330=2,COUNTIFS(nrES_PID,$D1330,nrES_Code,$F1330,nrES_Att,1)=0),"ATTEMPT 2 WITHOUT ATTEMPT 1",IF(AND($K1330=2,$L1330=""),"RETEST ROW HAS NO SCORE",IF(AND($H1330="Final",$L1330&lt;&gt;"",IFERROR(INDEX(nrCKfinalExamElig,MATCH($D1330,rngCadetPIDs,0)),"")="No"),"FINAL EXAM AFTER FAILED FINAL PT (500.1.H)","OK")))))))</f>
        <v/>
      </c>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IF($C1331="","",IF($K1331="","",IF(COUNTIFS(nrES_PID,$D1331,nrES_Code,$F1331,nrES_Att,"&gt;"&amp;$K1331,nrES_Raw,"&gt;=0")=0,"Yes","No")))</f>
        <v/>
      </c>
      <c r="Q1331" s="17">
        <f>IF($C1331="","",IF($L1331="","",IF(AND($K1331=1,ISNUMBER($L1331),$L1331&lt;$J1331,COUNTIFS(nrES_PID,$D1331,nrES_Code,$F1331,nrES_Att,2,nrES_Raw,"&gt;=0")=0),"Yes","No")))</f>
        <v/>
      </c>
      <c r="R1331" s="17">
        <f>IF($C1331="","",IF($L1331="","",IF(AND($K1331=2,ISNUMBER($L1331),$L1331&lt;$J1331),"Yes","No")))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OR($C1331="",$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RANGE",IF(COUNTIF(nrES_RecID,$B1331)&gt;1,"DUPLICATE RECORD",IF(AND($K1331=2,COUNTIFS(nrES_PID,$D1331,nrES_Code,$F1331,nrES_Att,1)=0),"ATTEMPT 2 WITHOUT ATTEMPT 1",IF(AND($K1331=2,$L1331=""),"RETEST ROW HAS NO SCORE",IF(AND($H1331="Final",$L1331&lt;&gt;"",IFERROR(INDEX(nrCKfinalExamElig,MATCH($D1331,rngCadetPIDs,0)),"")="No"),"FINAL EXAM AFTER FAILED FINAL PT (500.1.H)","OK")))))))</f>
        <v/>
      </c>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IF($C1332="","",IF($K1332="","",IF(COUNTIFS(nrES_PID,$D1332,nrES_Code,$F1332,nrES_Att,"&gt;"&amp;$K1332,nrES_Raw,"&gt;=0")=0,"Yes","No")))</f>
        <v/>
      </c>
      <c r="Q1332" s="17">
        <f>IF($C1332="","",IF($L1332="","",IF(AND($K1332=1,ISNUMBER($L1332),$L1332&lt;$J1332,COUNTIFS(nrES_PID,$D1332,nrES_Code,$F1332,nrES_Att,2,nrES_Raw,"&gt;=0")=0),"Yes","No")))</f>
        <v/>
      </c>
      <c r="R1332" s="17">
        <f>IF($C1332="","",IF($L1332="","",IF(AND($K1332=2,ISNUMBER($L1332),$L1332&lt;$J1332),"Yes","No")))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OR($C1332="",$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RANGE",IF(COUNTIF(nrES_RecID,$B1332)&gt;1,"DUPLICATE RECORD",IF(AND($K1332=2,COUNTIFS(nrES_PID,$D1332,nrES_Code,$F1332,nrES_Att,1)=0),"ATTEMPT 2 WITHOUT ATTEMPT 1",IF(AND($K1332=2,$L1332=""),"RETEST ROW HAS NO SCORE",IF(AND($H1332="Final",$L1332&lt;&gt;"",IFERROR(INDEX(nrCKfinalExamElig,MATCH($D1332,rngCadetPIDs,0)),"")="No"),"FINAL EXAM AFTER FAILED FINAL PT (500.1.H)","OK")))))))</f>
        <v/>
      </c>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IF($C1333="","",IF($K1333="","",IF(COUNTIFS(nrES_PID,$D1333,nrES_Code,$F1333,nrES_Att,"&gt;"&amp;$K1333,nrES_Raw,"&gt;=0")=0,"Yes","No")))</f>
        <v/>
      </c>
      <c r="Q1333" s="17">
        <f>IF($C1333="","",IF($L1333="","",IF(AND($K1333=1,ISNUMBER($L1333),$L1333&lt;$J1333,COUNTIFS(nrES_PID,$D1333,nrES_Code,$F1333,nrES_Att,2,nrES_Raw,"&gt;=0")=0),"Yes","No")))</f>
        <v/>
      </c>
      <c r="R1333" s="17">
        <f>IF($C1333="","",IF($L1333="","",IF(AND($K1333=2,ISNUMBER($L1333),$L1333&lt;$J1333),"Yes","No")))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OR($C1333="",$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RANGE",IF(COUNTIF(nrES_RecID,$B1333)&gt;1,"DUPLICATE RECORD",IF(AND($K1333=2,COUNTIFS(nrES_PID,$D1333,nrES_Code,$F1333,nrES_Att,1)=0),"ATTEMPT 2 WITHOUT ATTEMPT 1",IF(AND($K1333=2,$L1333=""),"RETEST ROW HAS NO SCORE",IF(AND($H1333="Final",$L1333&lt;&gt;"",IFERROR(INDEX(nrCKfinalExamElig,MATCH($D1333,rngCadetPIDs,0)),"")="No"),"FINAL EXAM AFTER FAILED FINAL PT (500.1.H)","OK")))))))</f>
        <v/>
      </c>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IF($C1334="","",IF($K1334="","",IF(COUNTIFS(nrES_PID,$D1334,nrES_Code,$F1334,nrES_Att,"&gt;"&amp;$K1334,nrES_Raw,"&gt;=0")=0,"Yes","No")))</f>
        <v/>
      </c>
      <c r="Q1334" s="17">
        <f>IF($C1334="","",IF($L1334="","",IF(AND($K1334=1,ISNUMBER($L1334),$L1334&lt;$J1334,COUNTIFS(nrES_PID,$D1334,nrES_Code,$F1334,nrES_Att,2,nrES_Raw,"&gt;=0")=0),"Yes","No")))</f>
        <v/>
      </c>
      <c r="R1334" s="17">
        <f>IF($C1334="","",IF($L1334="","",IF(AND($K1334=2,ISNUMBER($L1334),$L1334&lt;$J1334),"Yes","No")))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OR($C1334="",$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RANGE",IF(COUNTIF(nrES_RecID,$B1334)&gt;1,"DUPLICATE RECORD",IF(AND($K1334=2,COUNTIFS(nrES_PID,$D1334,nrES_Code,$F1334,nrES_Att,1)=0),"ATTEMPT 2 WITHOUT ATTEMPT 1",IF(AND($K1334=2,$L1334=""),"RETEST ROW HAS NO SCORE",IF(AND($H1334="Final",$L1334&lt;&gt;"",IFERROR(INDEX(nrCKfinalExamElig,MATCH($D1334,rngCadetPIDs,0)),"")="No"),"FINAL EXAM AFTER FAILED FINAL PT (500.1.H)","OK")))))))</f>
        <v/>
      </c>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IF($C1335="","",IF($K1335="","",IF(COUNTIFS(nrES_PID,$D1335,nrES_Code,$F1335,nrES_Att,"&gt;"&amp;$K1335,nrES_Raw,"&gt;=0")=0,"Yes","No")))</f>
        <v/>
      </c>
      <c r="Q1335" s="17">
        <f>IF($C1335="","",IF($L1335="","",IF(AND($K1335=1,ISNUMBER($L1335),$L1335&lt;$J1335,COUNTIFS(nrES_PID,$D1335,nrES_Code,$F1335,nrES_Att,2,nrES_Raw,"&gt;=0")=0),"Yes","No")))</f>
        <v/>
      </c>
      <c r="R1335" s="17">
        <f>IF($C1335="","",IF($L1335="","",IF(AND($K1335=2,ISNUMBER($L1335),$L1335&lt;$J1335),"Yes","No")))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OR($C1335="",$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RANGE",IF(COUNTIF(nrES_RecID,$B1335)&gt;1,"DUPLICATE RECORD",IF(AND($K1335=2,COUNTIFS(nrES_PID,$D1335,nrES_Code,$F1335,nrES_Att,1)=0),"ATTEMPT 2 WITHOUT ATTEMPT 1",IF(AND($K1335=2,$L1335=""),"RETEST ROW HAS NO SCORE",IF(AND($H1335="Final",$L1335&lt;&gt;"",IFERROR(INDEX(nrCKfinalExamElig,MATCH($D1335,rngCadetPIDs,0)),"")="No"),"FINAL EXAM AFTER FAILED FINAL PT (500.1.H)","OK")))))))</f>
        <v/>
      </c>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IF($C1336="","",IF($K1336="","",IF(COUNTIFS(nrES_PID,$D1336,nrES_Code,$F1336,nrES_Att,"&gt;"&amp;$K1336,nrES_Raw,"&gt;=0")=0,"Yes","No")))</f>
        <v/>
      </c>
      <c r="Q1336" s="17">
        <f>IF($C1336="","",IF($L1336="","",IF(AND($K1336=1,ISNUMBER($L1336),$L1336&lt;$J1336,COUNTIFS(nrES_PID,$D1336,nrES_Code,$F1336,nrES_Att,2,nrES_Raw,"&gt;=0")=0),"Yes","No")))</f>
        <v/>
      </c>
      <c r="R1336" s="17">
        <f>IF($C1336="","",IF($L1336="","",IF(AND($K1336=2,ISNUMBER($L1336),$L1336&lt;$J1336),"Yes","No")))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OR($C1336="",$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RANGE",IF(COUNTIF(nrES_RecID,$B1336)&gt;1,"DUPLICATE RECORD",IF(AND($K1336=2,COUNTIFS(nrES_PID,$D1336,nrES_Code,$F1336,nrES_Att,1)=0),"ATTEMPT 2 WITHOUT ATTEMPT 1",IF(AND($K1336=2,$L1336=""),"RETEST ROW HAS NO SCORE",IF(AND($H1336="Final",$L1336&lt;&gt;"",IFERROR(INDEX(nrCKfinalExamElig,MATCH($D1336,rngCadetPIDs,0)),"")="No"),"FINAL EXAM AFTER FAILED FINAL PT (500.1.H)","OK")))))))</f>
        <v/>
      </c>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IF($C1337="","",IF($K1337="","",IF(COUNTIFS(nrES_PID,$D1337,nrES_Code,$F1337,nrES_Att,"&gt;"&amp;$K1337,nrES_Raw,"&gt;=0")=0,"Yes","No")))</f>
        <v/>
      </c>
      <c r="Q1337" s="17">
        <f>IF($C1337="","",IF($L1337="","",IF(AND($K1337=1,ISNUMBER($L1337),$L1337&lt;$J1337,COUNTIFS(nrES_PID,$D1337,nrES_Code,$F1337,nrES_Att,2,nrES_Raw,"&gt;=0")=0),"Yes","No")))</f>
        <v/>
      </c>
      <c r="R1337" s="17">
        <f>IF($C1337="","",IF($L1337="","",IF(AND($K1337=2,ISNUMBER($L1337),$L1337&lt;$J1337),"Yes","No")))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OR($C1337="",$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RANGE",IF(COUNTIF(nrES_RecID,$B1337)&gt;1,"DUPLICATE RECORD",IF(AND($K1337=2,COUNTIFS(nrES_PID,$D1337,nrES_Code,$F1337,nrES_Att,1)=0),"ATTEMPT 2 WITHOUT ATTEMPT 1",IF(AND($K1337=2,$L1337=""),"RETEST ROW HAS NO SCORE",IF(AND($H1337="Final",$L1337&lt;&gt;"",IFERROR(INDEX(nrCKfinalExamElig,MATCH($D1337,rngCadetPIDs,0)),"")="No"),"FINAL EXAM AFTER FAILED FINAL PT (500.1.H)","OK")))))))</f>
        <v/>
      </c>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IF($C1338="","",IF($K1338="","",IF(COUNTIFS(nrES_PID,$D1338,nrES_Code,$F1338,nrES_Att,"&gt;"&amp;$K1338,nrES_Raw,"&gt;=0")=0,"Yes","No")))</f>
        <v/>
      </c>
      <c r="Q1338" s="17">
        <f>IF($C1338="","",IF($L1338="","",IF(AND($K1338=1,ISNUMBER($L1338),$L1338&lt;$J1338,COUNTIFS(nrES_PID,$D1338,nrES_Code,$F1338,nrES_Att,2,nrES_Raw,"&gt;=0")=0),"Yes","No")))</f>
        <v/>
      </c>
      <c r="R1338" s="17">
        <f>IF($C1338="","",IF($L1338="","",IF(AND($K1338=2,ISNUMBER($L1338),$L1338&lt;$J1338),"Yes","No")))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OR($C1338="",$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RANGE",IF(COUNTIF(nrES_RecID,$B1338)&gt;1,"DUPLICATE RECORD",IF(AND($K1338=2,COUNTIFS(nrES_PID,$D1338,nrES_Code,$F1338,nrES_Att,1)=0),"ATTEMPT 2 WITHOUT ATTEMPT 1",IF(AND($K1338=2,$L1338=""),"RETEST ROW HAS NO SCORE",IF(AND($H1338="Final",$L1338&lt;&gt;"",IFERROR(INDEX(nrCKfinalExamElig,MATCH($D1338,rngCadetPIDs,0)),"")="No"),"FINAL EXAM AFTER FAILED FINAL PT (500.1.H)","OK")))))))</f>
        <v/>
      </c>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IF($C1339="","",IF($K1339="","",IF(COUNTIFS(nrES_PID,$D1339,nrES_Code,$F1339,nrES_Att,"&gt;"&amp;$K1339,nrES_Raw,"&gt;=0")=0,"Yes","No")))</f>
        <v/>
      </c>
      <c r="Q1339" s="17">
        <f>IF($C1339="","",IF($L1339="","",IF(AND($K1339=1,ISNUMBER($L1339),$L1339&lt;$J1339,COUNTIFS(nrES_PID,$D1339,nrES_Code,$F1339,nrES_Att,2,nrES_Raw,"&gt;=0")=0),"Yes","No")))</f>
        <v/>
      </c>
      <c r="R1339" s="17">
        <f>IF($C1339="","",IF($L1339="","",IF(AND($K1339=2,ISNUMBER($L1339),$L1339&lt;$J1339),"Yes","No")))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OR($C1339="",$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RANGE",IF(COUNTIF(nrES_RecID,$B1339)&gt;1,"DUPLICATE RECORD",IF(AND($K1339=2,COUNTIFS(nrES_PID,$D1339,nrES_Code,$F1339,nrES_Att,1)=0),"ATTEMPT 2 WITHOUT ATTEMPT 1",IF(AND($K1339=2,$L1339=""),"RETEST ROW HAS NO SCORE",IF(AND($H1339="Final",$L1339&lt;&gt;"",IFERROR(INDEX(nrCKfinalExamElig,MATCH($D1339,rngCadetPIDs,0)),"")="No"),"FINAL EXAM AFTER FAILED FINAL PT (500.1.H)","OK")))))))</f>
        <v/>
      </c>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IF($C1340="","",IF($K1340="","",IF(COUNTIFS(nrES_PID,$D1340,nrES_Code,$F1340,nrES_Att,"&gt;"&amp;$K1340,nrES_Raw,"&gt;=0")=0,"Yes","No")))</f>
        <v/>
      </c>
      <c r="Q1340" s="17">
        <f>IF($C1340="","",IF($L1340="","",IF(AND($K1340=1,ISNUMBER($L1340),$L1340&lt;$J1340,COUNTIFS(nrES_PID,$D1340,nrES_Code,$F1340,nrES_Att,2,nrES_Raw,"&gt;=0")=0),"Yes","No")))</f>
        <v/>
      </c>
      <c r="R1340" s="17">
        <f>IF($C1340="","",IF($L1340="","",IF(AND($K1340=2,ISNUMBER($L1340),$L1340&lt;$J1340),"Yes","No")))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OR($C1340="",$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RANGE",IF(COUNTIF(nrES_RecID,$B1340)&gt;1,"DUPLICATE RECORD",IF(AND($K1340=2,COUNTIFS(nrES_PID,$D1340,nrES_Code,$F1340,nrES_Att,1)=0),"ATTEMPT 2 WITHOUT ATTEMPT 1",IF(AND($K1340=2,$L1340=""),"RETEST ROW HAS NO SCORE",IF(AND($H1340="Final",$L1340&lt;&gt;"",IFERROR(INDEX(nrCKfinalExamElig,MATCH($D1340,rngCadetPIDs,0)),"")="No"),"FINAL EXAM AFTER FAILED FINAL PT (500.1.H)","OK")))))))</f>
        <v/>
      </c>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IF($C1341="","",IF($K1341="","",IF(COUNTIFS(nrES_PID,$D1341,nrES_Code,$F1341,nrES_Att,"&gt;"&amp;$K1341,nrES_Raw,"&gt;=0")=0,"Yes","No")))</f>
        <v/>
      </c>
      <c r="Q1341" s="17">
        <f>IF($C1341="","",IF($L1341="","",IF(AND($K1341=1,ISNUMBER($L1341),$L1341&lt;$J1341,COUNTIFS(nrES_PID,$D1341,nrES_Code,$F1341,nrES_Att,2,nrES_Raw,"&gt;=0")=0),"Yes","No")))</f>
        <v/>
      </c>
      <c r="R1341" s="17">
        <f>IF($C1341="","",IF($L1341="","",IF(AND($K1341=2,ISNUMBER($L1341),$L1341&lt;$J1341),"Yes","No")))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OR($C1341="",$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RANGE",IF(COUNTIF(nrES_RecID,$B1341)&gt;1,"DUPLICATE RECORD",IF(AND($K1341=2,COUNTIFS(nrES_PID,$D1341,nrES_Code,$F1341,nrES_Att,1)=0),"ATTEMPT 2 WITHOUT ATTEMPT 1",IF(AND($K1341=2,$L1341=""),"RETEST ROW HAS NO SCORE",IF(AND($H1341="Final",$L1341&lt;&gt;"",IFERROR(INDEX(nrCKfinalExamElig,MATCH($D1341,rngCadetPIDs,0)),"")="No"),"FINAL EXAM AFTER FAILED FINAL PT (500.1.H)","OK")))))))</f>
        <v/>
      </c>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IF($C1342="","",IF($K1342="","",IF(COUNTIFS(nrES_PID,$D1342,nrES_Code,$F1342,nrES_Att,"&gt;"&amp;$K1342,nrES_Raw,"&gt;=0")=0,"Yes","No")))</f>
        <v/>
      </c>
      <c r="Q1342" s="17">
        <f>IF($C1342="","",IF($L1342="","",IF(AND($K1342=1,ISNUMBER($L1342),$L1342&lt;$J1342,COUNTIFS(nrES_PID,$D1342,nrES_Code,$F1342,nrES_Att,2,nrES_Raw,"&gt;=0")=0),"Yes","No")))</f>
        <v/>
      </c>
      <c r="R1342" s="17">
        <f>IF($C1342="","",IF($L1342="","",IF(AND($K1342=2,ISNUMBER($L1342),$L1342&lt;$J1342),"Yes","No")))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OR($C1342="",$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RANGE",IF(COUNTIF(nrES_RecID,$B1342)&gt;1,"DUPLICATE RECORD",IF(AND($K1342=2,COUNTIFS(nrES_PID,$D1342,nrES_Code,$F1342,nrES_Att,1)=0),"ATTEMPT 2 WITHOUT ATTEMPT 1",IF(AND($K1342=2,$L1342=""),"RETEST ROW HAS NO SCORE",IF(AND($H1342="Final",$L1342&lt;&gt;"",IFERROR(INDEX(nrCKfinalExamElig,MATCH($D1342,rngCadetPIDs,0)),"")="No"),"FINAL EXAM AFTER FAILED FINAL PT (500.1.H)","OK")))))))</f>
        <v/>
      </c>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IF($C1343="","",IF($K1343="","",IF(COUNTIFS(nrES_PID,$D1343,nrES_Code,$F1343,nrES_Att,"&gt;"&amp;$K1343,nrES_Raw,"&gt;=0")=0,"Yes","No")))</f>
        <v/>
      </c>
      <c r="Q1343" s="17">
        <f>IF($C1343="","",IF($L1343="","",IF(AND($K1343=1,ISNUMBER($L1343),$L1343&lt;$J1343,COUNTIFS(nrES_PID,$D1343,nrES_Code,$F1343,nrES_Att,2,nrES_Raw,"&gt;=0")=0),"Yes","No")))</f>
        <v/>
      </c>
      <c r="R1343" s="17">
        <f>IF($C1343="","",IF($L1343="","",IF(AND($K1343=2,ISNUMBER($L1343),$L1343&lt;$J1343),"Yes","No")))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OR($C1343="",$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RANGE",IF(COUNTIF(nrES_RecID,$B1343)&gt;1,"DUPLICATE RECORD",IF(AND($K1343=2,COUNTIFS(nrES_PID,$D1343,nrES_Code,$F1343,nrES_Att,1)=0),"ATTEMPT 2 WITHOUT ATTEMPT 1",IF(AND($K1343=2,$L1343=""),"RETEST ROW HAS NO SCORE",IF(AND($H1343="Final",$L1343&lt;&gt;"",IFERROR(INDEX(nrCKfinalExamElig,MATCH($D1343,rngCadetPIDs,0)),"")="No"),"FINAL EXAM AFTER FAILED FINAL PT (500.1.H)","OK")))))))</f>
        <v/>
      </c>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IF($C1344="","",IF($K1344="","",IF(COUNTIFS(nrES_PID,$D1344,nrES_Code,$F1344,nrES_Att,"&gt;"&amp;$K1344,nrES_Raw,"&gt;=0")=0,"Yes","No")))</f>
        <v/>
      </c>
      <c r="Q1344" s="17">
        <f>IF($C1344="","",IF($L1344="","",IF(AND($K1344=1,ISNUMBER($L1344),$L1344&lt;$J1344,COUNTIFS(nrES_PID,$D1344,nrES_Code,$F1344,nrES_Att,2,nrES_Raw,"&gt;=0")=0),"Yes","No")))</f>
        <v/>
      </c>
      <c r="R1344" s="17">
        <f>IF($C1344="","",IF($L1344="","",IF(AND($K1344=2,ISNUMBER($L1344),$L1344&lt;$J1344),"Yes","No")))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OR($C1344="",$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RANGE",IF(COUNTIF(nrES_RecID,$B1344)&gt;1,"DUPLICATE RECORD",IF(AND($K1344=2,COUNTIFS(nrES_PID,$D1344,nrES_Code,$F1344,nrES_Att,1)=0),"ATTEMPT 2 WITHOUT ATTEMPT 1",IF(AND($K1344=2,$L1344=""),"RETEST ROW HAS NO SCORE",IF(AND($H1344="Final",$L1344&lt;&gt;"",IFERROR(INDEX(nrCKfinalExamElig,MATCH($D1344,rngCadetPIDs,0)),"")="No"),"FINAL EXAM AFTER FAILED FINAL PT (500.1.H)","OK")))))))</f>
        <v/>
      </c>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IF($C1345="","",IF($K1345="","",IF(COUNTIFS(nrES_PID,$D1345,nrES_Code,$F1345,nrES_Att,"&gt;"&amp;$K1345,nrES_Raw,"&gt;=0")=0,"Yes","No")))</f>
        <v/>
      </c>
      <c r="Q1345" s="17">
        <f>IF($C1345="","",IF($L1345="","",IF(AND($K1345=1,ISNUMBER($L1345),$L1345&lt;$J1345,COUNTIFS(nrES_PID,$D1345,nrES_Code,$F1345,nrES_Att,2,nrES_Raw,"&gt;=0")=0),"Yes","No")))</f>
        <v/>
      </c>
      <c r="R1345" s="17">
        <f>IF($C1345="","",IF($L1345="","",IF(AND($K1345=2,ISNUMBER($L1345),$L1345&lt;$J1345),"Yes","No")))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OR($C1345="",$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RANGE",IF(COUNTIF(nrES_RecID,$B1345)&gt;1,"DUPLICATE RECORD",IF(AND($K1345=2,COUNTIFS(nrES_PID,$D1345,nrES_Code,$F1345,nrES_Att,1)=0),"ATTEMPT 2 WITHOUT ATTEMPT 1",IF(AND($K1345=2,$L1345=""),"RETEST ROW HAS NO SCORE",IF(AND($H1345="Final",$L1345&lt;&gt;"",IFERROR(INDEX(nrCKfinalExamElig,MATCH($D1345,rngCadetPIDs,0)),"")="No"),"FINAL EXAM AFTER FAILED FINAL PT (500.1.H)","OK")))))))</f>
        <v/>
      </c>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IF($C1346="","",IF($K1346="","",IF(COUNTIFS(nrES_PID,$D1346,nrES_Code,$F1346,nrES_Att,"&gt;"&amp;$K1346,nrES_Raw,"&gt;=0")=0,"Yes","No")))</f>
        <v/>
      </c>
      <c r="Q1346" s="17">
        <f>IF($C1346="","",IF($L1346="","",IF(AND($K1346=1,ISNUMBER($L1346),$L1346&lt;$J1346,COUNTIFS(nrES_PID,$D1346,nrES_Code,$F1346,nrES_Att,2,nrES_Raw,"&gt;=0")=0),"Yes","No")))</f>
        <v/>
      </c>
      <c r="R1346" s="17">
        <f>IF($C1346="","",IF($L1346="","",IF(AND($K1346=2,ISNUMBER($L1346),$L1346&lt;$J1346),"Yes","No")))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OR($C1346="",$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RANGE",IF(COUNTIF(nrES_RecID,$B1346)&gt;1,"DUPLICATE RECORD",IF(AND($K1346=2,COUNTIFS(nrES_PID,$D1346,nrES_Code,$F1346,nrES_Att,1)=0),"ATTEMPT 2 WITHOUT ATTEMPT 1",IF(AND($K1346=2,$L1346=""),"RETEST ROW HAS NO SCORE",IF(AND($H1346="Final",$L1346&lt;&gt;"",IFERROR(INDEX(nrCKfinalExamElig,MATCH($D1346,rngCadetPIDs,0)),"")="No"),"FINAL EXAM AFTER FAILED FINAL PT (500.1.H)","OK")))))))</f>
        <v/>
      </c>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IF($C1347="","",IF($K1347="","",IF(COUNTIFS(nrES_PID,$D1347,nrES_Code,$F1347,nrES_Att,"&gt;"&amp;$K1347,nrES_Raw,"&gt;=0")=0,"Yes","No")))</f>
        <v/>
      </c>
      <c r="Q1347" s="17">
        <f>IF($C1347="","",IF($L1347="","",IF(AND($K1347=1,ISNUMBER($L1347),$L1347&lt;$J1347,COUNTIFS(nrES_PID,$D1347,nrES_Code,$F1347,nrES_Att,2,nrES_Raw,"&gt;=0")=0),"Yes","No")))</f>
        <v/>
      </c>
      <c r="R1347" s="17">
        <f>IF($C1347="","",IF($L1347="","",IF(AND($K1347=2,ISNUMBER($L1347),$L1347&lt;$J1347),"Yes","No")))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OR($C1347="",$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RANGE",IF(COUNTIF(nrES_RecID,$B1347)&gt;1,"DUPLICATE RECORD",IF(AND($K1347=2,COUNTIFS(nrES_PID,$D1347,nrES_Code,$F1347,nrES_Att,1)=0),"ATTEMPT 2 WITHOUT ATTEMPT 1",IF(AND($K1347=2,$L1347=""),"RETEST ROW HAS NO SCORE",IF(AND($H1347="Final",$L1347&lt;&gt;"",IFERROR(INDEX(nrCKfinalExamElig,MATCH($D1347,rngCadetPIDs,0)),"")="No"),"FINAL EXAM AFTER FAILED FINAL PT (500.1.H)","OK")))))))</f>
        <v/>
      </c>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IF($C1348="","",IF($K1348="","",IF(COUNTIFS(nrES_PID,$D1348,nrES_Code,$F1348,nrES_Att,"&gt;"&amp;$K1348,nrES_Raw,"&gt;=0")=0,"Yes","No")))</f>
        <v/>
      </c>
      <c r="Q1348" s="17">
        <f>IF($C1348="","",IF($L1348="","",IF(AND($K1348=1,ISNUMBER($L1348),$L1348&lt;$J1348,COUNTIFS(nrES_PID,$D1348,nrES_Code,$F1348,nrES_Att,2,nrES_Raw,"&gt;=0")=0),"Yes","No")))</f>
        <v/>
      </c>
      <c r="R1348" s="17">
        <f>IF($C1348="","",IF($L1348="","",IF(AND($K1348=2,ISNUMBER($L1348),$L1348&lt;$J1348),"Yes","No")))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OR($C1348="",$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RANGE",IF(COUNTIF(nrES_RecID,$B1348)&gt;1,"DUPLICATE RECORD",IF(AND($K1348=2,COUNTIFS(nrES_PID,$D1348,nrES_Code,$F1348,nrES_Att,1)=0),"ATTEMPT 2 WITHOUT ATTEMPT 1",IF(AND($K1348=2,$L1348=""),"RETEST ROW HAS NO SCORE",IF(AND($H1348="Final",$L1348&lt;&gt;"",IFERROR(INDEX(nrCKfinalExamElig,MATCH($D1348,rngCadetPIDs,0)),"")="No"),"FINAL EXAM AFTER FAILED FINAL PT (500.1.H)","OK")))))))</f>
        <v/>
      </c>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IF($C1349="","",IF($K1349="","",IF(COUNTIFS(nrES_PID,$D1349,nrES_Code,$F1349,nrES_Att,"&gt;"&amp;$K1349,nrES_Raw,"&gt;=0")=0,"Yes","No")))</f>
        <v/>
      </c>
      <c r="Q1349" s="17">
        <f>IF($C1349="","",IF($L1349="","",IF(AND($K1349=1,ISNUMBER($L1349),$L1349&lt;$J1349,COUNTIFS(nrES_PID,$D1349,nrES_Code,$F1349,nrES_Att,2,nrES_Raw,"&gt;=0")=0),"Yes","No")))</f>
        <v/>
      </c>
      <c r="R1349" s="17">
        <f>IF($C1349="","",IF($L1349="","",IF(AND($K1349=2,ISNUMBER($L1349),$L1349&lt;$J1349),"Yes","No")))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OR($C1349="",$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RANGE",IF(COUNTIF(nrES_RecID,$B1349)&gt;1,"DUPLICATE RECORD",IF(AND($K1349=2,COUNTIFS(nrES_PID,$D1349,nrES_Code,$F1349,nrES_Att,1)=0),"ATTEMPT 2 WITHOUT ATTEMPT 1",IF(AND($K1349=2,$L1349=""),"RETEST ROW HAS NO SCORE",IF(AND($H1349="Final",$L1349&lt;&gt;"",IFERROR(INDEX(nrCKfinalExamElig,MATCH($D1349,rngCadetPIDs,0)),"")="No"),"FINAL EXAM AFTER FAILED FINAL PT (500.1.H)","OK")))))))</f>
        <v/>
      </c>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IF($C1350="","",IF($K1350="","",IF(COUNTIFS(nrES_PID,$D1350,nrES_Code,$F1350,nrES_Att,"&gt;"&amp;$K1350,nrES_Raw,"&gt;=0")=0,"Yes","No")))</f>
        <v/>
      </c>
      <c r="Q1350" s="17">
        <f>IF($C1350="","",IF($L1350="","",IF(AND($K1350=1,ISNUMBER($L1350),$L1350&lt;$J1350,COUNTIFS(nrES_PID,$D1350,nrES_Code,$F1350,nrES_Att,2,nrES_Raw,"&gt;=0")=0),"Yes","No")))</f>
        <v/>
      </c>
      <c r="R1350" s="17">
        <f>IF($C1350="","",IF($L1350="","",IF(AND($K1350=2,ISNUMBER($L1350),$L1350&lt;$J1350),"Yes","No")))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OR($C1350="",$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RANGE",IF(COUNTIF(nrES_RecID,$B1350)&gt;1,"DUPLICATE RECORD",IF(AND($K1350=2,COUNTIFS(nrES_PID,$D1350,nrES_Code,$F1350,nrES_Att,1)=0),"ATTEMPT 2 WITHOUT ATTEMPT 1",IF(AND($K1350=2,$L1350=""),"RETEST ROW HAS NO SCORE",IF(AND($H1350="Final",$L1350&lt;&gt;"",IFERROR(INDEX(nrCKfinalExamElig,MATCH($D1350,rngCadetPIDs,0)),"")="No"),"FINAL EXAM AFTER FAILED FINAL PT (500.1.H)","OK")))))))</f>
        <v/>
      </c>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IF($C1351="","",IF($K1351="","",IF(COUNTIFS(nrES_PID,$D1351,nrES_Code,$F1351,nrES_Att,"&gt;"&amp;$K1351,nrES_Raw,"&gt;=0")=0,"Yes","No")))</f>
        <v/>
      </c>
      <c r="Q1351" s="17">
        <f>IF($C1351="","",IF($L1351="","",IF(AND($K1351=1,ISNUMBER($L1351),$L1351&lt;$J1351,COUNTIFS(nrES_PID,$D1351,nrES_Code,$F1351,nrES_Att,2,nrES_Raw,"&gt;=0")=0),"Yes","No")))</f>
        <v/>
      </c>
      <c r="R1351" s="17">
        <f>IF($C1351="","",IF($L1351="","",IF(AND($K1351=2,ISNUMBER($L1351),$L1351&lt;$J1351),"Yes","No")))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OR($C1351="",$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RANGE",IF(COUNTIF(nrES_RecID,$B1351)&gt;1,"DUPLICATE RECORD",IF(AND($K1351=2,COUNTIFS(nrES_PID,$D1351,nrES_Code,$F1351,nrES_Att,1)=0),"ATTEMPT 2 WITHOUT ATTEMPT 1",IF(AND($K1351=2,$L1351=""),"RETEST ROW HAS NO SCORE",IF(AND($H1351="Final",$L1351&lt;&gt;"",IFERROR(INDEX(nrCKfinalExamElig,MATCH($D1351,rngCadetPIDs,0)),"")="No"),"FINAL EXAM AFTER FAILED FINAL PT (500.1.H)","OK")))))))</f>
        <v/>
      </c>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IF($C1352="","",IF($K1352="","",IF(COUNTIFS(nrES_PID,$D1352,nrES_Code,$F1352,nrES_Att,"&gt;"&amp;$K1352,nrES_Raw,"&gt;=0")=0,"Yes","No")))</f>
        <v/>
      </c>
      <c r="Q1352" s="17">
        <f>IF($C1352="","",IF($L1352="","",IF(AND($K1352=1,ISNUMBER($L1352),$L1352&lt;$J1352,COUNTIFS(nrES_PID,$D1352,nrES_Code,$F1352,nrES_Att,2,nrES_Raw,"&gt;=0")=0),"Yes","No")))</f>
        <v/>
      </c>
      <c r="R1352" s="17">
        <f>IF($C1352="","",IF($L1352="","",IF(AND($K1352=2,ISNUMBER($L1352),$L1352&lt;$J1352),"Yes","No")))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OR($C1352="",$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RANGE",IF(COUNTIF(nrES_RecID,$B1352)&gt;1,"DUPLICATE RECORD",IF(AND($K1352=2,COUNTIFS(nrES_PID,$D1352,nrES_Code,$F1352,nrES_Att,1)=0),"ATTEMPT 2 WITHOUT ATTEMPT 1",IF(AND($K1352=2,$L1352=""),"RETEST ROW HAS NO SCORE",IF(AND($H1352="Final",$L1352&lt;&gt;"",IFERROR(INDEX(nrCKfinalExamElig,MATCH($D1352,rngCadetPIDs,0)),"")="No"),"FINAL EXAM AFTER FAILED FINAL PT (500.1.H)","OK")))))))</f>
        <v/>
      </c>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IF($C1353="","",IF($K1353="","",IF(COUNTIFS(nrES_PID,$D1353,nrES_Code,$F1353,nrES_Att,"&gt;"&amp;$K1353,nrES_Raw,"&gt;=0")=0,"Yes","No")))</f>
        <v/>
      </c>
      <c r="Q1353" s="17">
        <f>IF($C1353="","",IF($L1353="","",IF(AND($K1353=1,ISNUMBER($L1353),$L1353&lt;$J1353,COUNTIFS(nrES_PID,$D1353,nrES_Code,$F1353,nrES_Att,2,nrES_Raw,"&gt;=0")=0),"Yes","No")))</f>
        <v/>
      </c>
      <c r="R1353" s="17">
        <f>IF($C1353="","",IF($L1353="","",IF(AND($K1353=2,ISNUMBER($L1353),$L1353&lt;$J1353),"Yes","No")))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OR($C1353="",$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RANGE",IF(COUNTIF(nrES_RecID,$B1353)&gt;1,"DUPLICATE RECORD",IF(AND($K1353=2,COUNTIFS(nrES_PID,$D1353,nrES_Code,$F1353,nrES_Att,1)=0),"ATTEMPT 2 WITHOUT ATTEMPT 1",IF(AND($K1353=2,$L1353=""),"RETEST ROW HAS NO SCORE",IF(AND($H1353="Final",$L1353&lt;&gt;"",IFERROR(INDEX(nrCKfinalExamElig,MATCH($D1353,rngCadetPIDs,0)),"")="No"),"FINAL EXAM AFTER FAILED FINAL PT (500.1.H)","OK")))))))</f>
        <v/>
      </c>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IF($C1354="","",IF($K1354="","",IF(COUNTIFS(nrES_PID,$D1354,nrES_Code,$F1354,nrES_Att,"&gt;"&amp;$K1354,nrES_Raw,"&gt;=0")=0,"Yes","No")))</f>
        <v/>
      </c>
      <c r="Q1354" s="17">
        <f>IF($C1354="","",IF($L1354="","",IF(AND($K1354=1,ISNUMBER($L1354),$L1354&lt;$J1354,COUNTIFS(nrES_PID,$D1354,nrES_Code,$F1354,nrES_Att,2,nrES_Raw,"&gt;=0")=0),"Yes","No")))</f>
        <v/>
      </c>
      <c r="R1354" s="17">
        <f>IF($C1354="","",IF($L1354="","",IF(AND($K1354=2,ISNUMBER($L1354),$L1354&lt;$J1354),"Yes","No")))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OR($C1354="",$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RANGE",IF(COUNTIF(nrES_RecID,$B1354)&gt;1,"DUPLICATE RECORD",IF(AND($K1354=2,COUNTIFS(nrES_PID,$D1354,nrES_Code,$F1354,nrES_Att,1)=0),"ATTEMPT 2 WITHOUT ATTEMPT 1",IF(AND($K1354=2,$L1354=""),"RETEST ROW HAS NO SCORE",IF(AND($H1354="Final",$L1354&lt;&gt;"",IFERROR(INDEX(nrCKfinalExamElig,MATCH($D1354,rngCadetPIDs,0)),"")="No"),"FINAL EXAM AFTER FAILED FINAL PT (500.1.H)","OK")))))))</f>
        <v/>
      </c>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IF($C1355="","",IF($K1355="","",IF(COUNTIFS(nrES_PID,$D1355,nrES_Code,$F1355,nrES_Att,"&gt;"&amp;$K1355,nrES_Raw,"&gt;=0")=0,"Yes","No")))</f>
        <v/>
      </c>
      <c r="Q1355" s="17">
        <f>IF($C1355="","",IF($L1355="","",IF(AND($K1355=1,ISNUMBER($L1355),$L1355&lt;$J1355,COUNTIFS(nrES_PID,$D1355,nrES_Code,$F1355,nrES_Att,2,nrES_Raw,"&gt;=0")=0),"Yes","No")))</f>
        <v/>
      </c>
      <c r="R1355" s="17">
        <f>IF($C1355="","",IF($L1355="","",IF(AND($K1355=2,ISNUMBER($L1355),$L1355&lt;$J1355),"Yes","No")))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OR($C1355="",$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RANGE",IF(COUNTIF(nrES_RecID,$B1355)&gt;1,"DUPLICATE RECORD",IF(AND($K1355=2,COUNTIFS(nrES_PID,$D1355,nrES_Code,$F1355,nrES_Att,1)=0),"ATTEMPT 2 WITHOUT ATTEMPT 1",IF(AND($K1355=2,$L1355=""),"RETEST ROW HAS NO SCORE",IF(AND($H1355="Final",$L1355&lt;&gt;"",IFERROR(INDEX(nrCKfinalExamElig,MATCH($D1355,rngCadetPIDs,0)),"")="No"),"FINAL EXAM AFTER FAILED FINAL PT (500.1.H)","OK")))))))</f>
        <v/>
      </c>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IF($C1356="","",IF($K1356="","",IF(COUNTIFS(nrES_PID,$D1356,nrES_Code,$F1356,nrES_Att,"&gt;"&amp;$K1356,nrES_Raw,"&gt;=0")=0,"Yes","No")))</f>
        <v/>
      </c>
      <c r="Q1356" s="17">
        <f>IF($C1356="","",IF($L1356="","",IF(AND($K1356=1,ISNUMBER($L1356),$L1356&lt;$J1356,COUNTIFS(nrES_PID,$D1356,nrES_Code,$F1356,nrES_Att,2,nrES_Raw,"&gt;=0")=0),"Yes","No")))</f>
        <v/>
      </c>
      <c r="R1356" s="17">
        <f>IF($C1356="","",IF($L1356="","",IF(AND($K1356=2,ISNUMBER($L1356),$L1356&lt;$J1356),"Yes","No")))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OR($C1356="",$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RANGE",IF(COUNTIF(nrES_RecID,$B1356)&gt;1,"DUPLICATE RECORD",IF(AND($K1356=2,COUNTIFS(nrES_PID,$D1356,nrES_Code,$F1356,nrES_Att,1)=0),"ATTEMPT 2 WITHOUT ATTEMPT 1",IF(AND($K1356=2,$L1356=""),"RETEST ROW HAS NO SCORE",IF(AND($H1356="Final",$L1356&lt;&gt;"",IFERROR(INDEX(nrCKfinalExamElig,MATCH($D1356,rngCadetPIDs,0)),"")="No"),"FINAL EXAM AFTER FAILED FINAL PT (500.1.H)","OK")))))))</f>
        <v/>
      </c>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IF($C1357="","",IF($K1357="","",IF(COUNTIFS(nrES_PID,$D1357,nrES_Code,$F1357,nrES_Att,"&gt;"&amp;$K1357,nrES_Raw,"&gt;=0")=0,"Yes","No")))</f>
        <v/>
      </c>
      <c r="Q1357" s="17">
        <f>IF($C1357="","",IF($L1357="","",IF(AND($K1357=1,ISNUMBER($L1357),$L1357&lt;$J1357,COUNTIFS(nrES_PID,$D1357,nrES_Code,$F1357,nrES_Att,2,nrES_Raw,"&gt;=0")=0),"Yes","No")))</f>
        <v/>
      </c>
      <c r="R1357" s="17">
        <f>IF($C1357="","",IF($L1357="","",IF(AND($K1357=2,ISNUMBER($L1357),$L1357&lt;$J1357),"Yes","No")))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OR($C1357="",$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RANGE",IF(COUNTIF(nrES_RecID,$B1357)&gt;1,"DUPLICATE RECORD",IF(AND($K1357=2,COUNTIFS(nrES_PID,$D1357,nrES_Code,$F1357,nrES_Att,1)=0),"ATTEMPT 2 WITHOUT ATTEMPT 1",IF(AND($K1357=2,$L1357=""),"RETEST ROW HAS NO SCORE",IF(AND($H1357="Final",$L1357&lt;&gt;"",IFERROR(INDEX(nrCKfinalExamElig,MATCH($D1357,rngCadetPIDs,0)),"")="No"),"FINAL EXAM AFTER FAILED FINAL PT (500.1.H)","OK")))))))</f>
        <v/>
      </c>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IF($C1358="","",IF($K1358="","",IF(COUNTIFS(nrES_PID,$D1358,nrES_Code,$F1358,nrES_Att,"&gt;"&amp;$K1358,nrES_Raw,"&gt;=0")=0,"Yes","No")))</f>
        <v/>
      </c>
      <c r="Q1358" s="17">
        <f>IF($C1358="","",IF($L1358="","",IF(AND($K1358=1,ISNUMBER($L1358),$L1358&lt;$J1358,COUNTIFS(nrES_PID,$D1358,nrES_Code,$F1358,nrES_Att,2,nrES_Raw,"&gt;=0")=0),"Yes","No")))</f>
        <v/>
      </c>
      <c r="R1358" s="17">
        <f>IF($C1358="","",IF($L1358="","",IF(AND($K1358=2,ISNUMBER($L1358),$L1358&lt;$J1358),"Yes","No")))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OR($C1358="",$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RANGE",IF(COUNTIF(nrES_RecID,$B1358)&gt;1,"DUPLICATE RECORD",IF(AND($K1358=2,COUNTIFS(nrES_PID,$D1358,nrES_Code,$F1358,nrES_Att,1)=0),"ATTEMPT 2 WITHOUT ATTEMPT 1",IF(AND($K1358=2,$L1358=""),"RETEST ROW HAS NO SCORE",IF(AND($H1358="Final",$L1358&lt;&gt;"",IFERROR(INDEX(nrCKfinalExamElig,MATCH($D1358,rngCadetPIDs,0)),"")="No"),"FINAL EXAM AFTER FAILED FINAL PT (500.1.H)","OK")))))))</f>
        <v/>
      </c>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IF($C1359="","",IF($K1359="","",IF(COUNTIFS(nrES_PID,$D1359,nrES_Code,$F1359,nrES_Att,"&gt;"&amp;$K1359,nrES_Raw,"&gt;=0")=0,"Yes","No")))</f>
        <v/>
      </c>
      <c r="Q1359" s="17">
        <f>IF($C1359="","",IF($L1359="","",IF(AND($K1359=1,ISNUMBER($L1359),$L1359&lt;$J1359,COUNTIFS(nrES_PID,$D1359,nrES_Code,$F1359,nrES_Att,2,nrES_Raw,"&gt;=0")=0),"Yes","No")))</f>
        <v/>
      </c>
      <c r="R1359" s="17">
        <f>IF($C1359="","",IF($L1359="","",IF(AND($K1359=2,ISNUMBER($L1359),$L1359&lt;$J1359),"Yes","No")))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OR($C1359="",$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RANGE",IF(COUNTIF(nrES_RecID,$B1359)&gt;1,"DUPLICATE RECORD",IF(AND($K1359=2,COUNTIFS(nrES_PID,$D1359,nrES_Code,$F1359,nrES_Att,1)=0),"ATTEMPT 2 WITHOUT ATTEMPT 1",IF(AND($K1359=2,$L1359=""),"RETEST ROW HAS NO SCORE",IF(AND($H1359="Final",$L1359&lt;&gt;"",IFERROR(INDEX(nrCKfinalExamElig,MATCH($D1359,rngCadetPIDs,0)),"")="No"),"FINAL EXAM AFTER FAILED FINAL PT (500.1.H)","OK")))))))</f>
        <v/>
      </c>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IF($C1360="","",IF($K1360="","",IF(COUNTIFS(nrES_PID,$D1360,nrES_Code,$F1360,nrES_Att,"&gt;"&amp;$K1360,nrES_Raw,"&gt;=0")=0,"Yes","No")))</f>
        <v/>
      </c>
      <c r="Q1360" s="17">
        <f>IF($C1360="","",IF($L1360="","",IF(AND($K1360=1,ISNUMBER($L1360),$L1360&lt;$J1360,COUNTIFS(nrES_PID,$D1360,nrES_Code,$F1360,nrES_Att,2,nrES_Raw,"&gt;=0")=0),"Yes","No")))</f>
        <v/>
      </c>
      <c r="R1360" s="17">
        <f>IF($C1360="","",IF($L1360="","",IF(AND($K1360=2,ISNUMBER($L1360),$L1360&lt;$J1360),"Yes","No")))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OR($C1360="",$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RANGE",IF(COUNTIF(nrES_RecID,$B1360)&gt;1,"DUPLICATE RECORD",IF(AND($K1360=2,COUNTIFS(nrES_PID,$D1360,nrES_Code,$F1360,nrES_Att,1)=0),"ATTEMPT 2 WITHOUT ATTEMPT 1",IF(AND($K1360=2,$L1360=""),"RETEST ROW HAS NO SCORE",IF(AND($H1360="Final",$L1360&lt;&gt;"",IFERROR(INDEX(nrCKfinalExamElig,MATCH($D1360,rngCadetPIDs,0)),"")="No"),"FINAL EXAM AFTER FAILED FINAL PT (500.1.H)","OK")))))))</f>
        <v/>
      </c>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IF($C1361="","",IF($K1361="","",IF(COUNTIFS(nrES_PID,$D1361,nrES_Code,$F1361,nrES_Att,"&gt;"&amp;$K1361,nrES_Raw,"&gt;=0")=0,"Yes","No")))</f>
        <v/>
      </c>
      <c r="Q1361" s="17">
        <f>IF($C1361="","",IF($L1361="","",IF(AND($K1361=1,ISNUMBER($L1361),$L1361&lt;$J1361,COUNTIFS(nrES_PID,$D1361,nrES_Code,$F1361,nrES_Att,2,nrES_Raw,"&gt;=0")=0),"Yes","No")))</f>
        <v/>
      </c>
      <c r="R1361" s="17">
        <f>IF($C1361="","",IF($L1361="","",IF(AND($K1361=2,ISNUMBER($L1361),$L1361&lt;$J1361),"Yes","No")))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OR($C1361="",$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RANGE",IF(COUNTIF(nrES_RecID,$B1361)&gt;1,"DUPLICATE RECORD",IF(AND($K1361=2,COUNTIFS(nrES_PID,$D1361,nrES_Code,$F1361,nrES_Att,1)=0),"ATTEMPT 2 WITHOUT ATTEMPT 1",IF(AND($K1361=2,$L1361=""),"RETEST ROW HAS NO SCORE",IF(AND($H1361="Final",$L1361&lt;&gt;"",IFERROR(INDEX(nrCKfinalExamElig,MATCH($D1361,rngCadetPIDs,0)),"")="No"),"FINAL EXAM AFTER FAILED FINAL PT (500.1.H)","OK")))))))</f>
        <v/>
      </c>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IF($C1362="","",IF($K1362="","",IF(COUNTIFS(nrES_PID,$D1362,nrES_Code,$F1362,nrES_Att,"&gt;"&amp;$K1362,nrES_Raw,"&gt;=0")=0,"Yes","No")))</f>
        <v/>
      </c>
      <c r="Q1362" s="17">
        <f>IF($C1362="","",IF($L1362="","",IF(AND($K1362=1,ISNUMBER($L1362),$L1362&lt;$J1362,COUNTIFS(nrES_PID,$D1362,nrES_Code,$F1362,nrES_Att,2,nrES_Raw,"&gt;=0")=0),"Yes","No")))</f>
        <v/>
      </c>
      <c r="R1362" s="17">
        <f>IF($C1362="","",IF($L1362="","",IF(AND($K1362=2,ISNUMBER($L1362),$L1362&lt;$J1362),"Yes","No")))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OR($C1362="",$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RANGE",IF(COUNTIF(nrES_RecID,$B1362)&gt;1,"DUPLICATE RECORD",IF(AND($K1362=2,COUNTIFS(nrES_PID,$D1362,nrES_Code,$F1362,nrES_Att,1)=0),"ATTEMPT 2 WITHOUT ATTEMPT 1",IF(AND($K1362=2,$L1362=""),"RETEST ROW HAS NO SCORE",IF(AND($H1362="Final",$L1362&lt;&gt;"",IFERROR(INDEX(nrCKfinalExamElig,MATCH($D1362,rngCadetPIDs,0)),"")="No"),"FINAL EXAM AFTER FAILED FINAL PT (500.1.H)","OK")))))))</f>
        <v/>
      </c>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IF($C1363="","",IF($K1363="","",IF(COUNTIFS(nrES_PID,$D1363,nrES_Code,$F1363,nrES_Att,"&gt;"&amp;$K1363,nrES_Raw,"&gt;=0")=0,"Yes","No")))</f>
        <v/>
      </c>
      <c r="Q1363" s="17">
        <f>IF($C1363="","",IF($L1363="","",IF(AND($K1363=1,ISNUMBER($L1363),$L1363&lt;$J1363,COUNTIFS(nrES_PID,$D1363,nrES_Code,$F1363,nrES_Att,2,nrES_Raw,"&gt;=0")=0),"Yes","No")))</f>
        <v/>
      </c>
      <c r="R1363" s="17">
        <f>IF($C1363="","",IF($L1363="","",IF(AND($K1363=2,ISNUMBER($L1363),$L1363&lt;$J1363),"Yes","No")))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OR($C1363="",$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RANGE",IF(COUNTIF(nrES_RecID,$B1363)&gt;1,"DUPLICATE RECORD",IF(AND($K1363=2,COUNTIFS(nrES_PID,$D1363,nrES_Code,$F1363,nrES_Att,1)=0),"ATTEMPT 2 WITHOUT ATTEMPT 1",IF(AND($K1363=2,$L1363=""),"RETEST ROW HAS NO SCORE",IF(AND($H1363="Final",$L1363&lt;&gt;"",IFERROR(INDEX(nrCKfinalExamElig,MATCH($D1363,rngCadetPIDs,0)),"")="No"),"FINAL EXAM AFTER FAILED FINAL PT (500.1.H)","OK")))))))</f>
        <v/>
      </c>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IF($C1364="","",IF($K1364="","",IF(COUNTIFS(nrES_PID,$D1364,nrES_Code,$F1364,nrES_Att,"&gt;"&amp;$K1364,nrES_Raw,"&gt;=0")=0,"Yes","No")))</f>
        <v/>
      </c>
      <c r="Q1364" s="17">
        <f>IF($C1364="","",IF($L1364="","",IF(AND($K1364=1,ISNUMBER($L1364),$L1364&lt;$J1364,COUNTIFS(nrES_PID,$D1364,nrES_Code,$F1364,nrES_Att,2,nrES_Raw,"&gt;=0")=0),"Yes","No")))</f>
        <v/>
      </c>
      <c r="R1364" s="17">
        <f>IF($C1364="","",IF($L1364="","",IF(AND($K1364=2,ISNUMBER($L1364),$L1364&lt;$J1364),"Yes","No")))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OR($C1364="",$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RANGE",IF(COUNTIF(nrES_RecID,$B1364)&gt;1,"DUPLICATE RECORD",IF(AND($K1364=2,COUNTIFS(nrES_PID,$D1364,nrES_Code,$F1364,nrES_Att,1)=0),"ATTEMPT 2 WITHOUT ATTEMPT 1",IF(AND($K1364=2,$L1364=""),"RETEST ROW HAS NO SCORE",IF(AND($H1364="Final",$L1364&lt;&gt;"",IFERROR(INDEX(nrCKfinalExamElig,MATCH($D1364,rngCadetPIDs,0)),"")="No"),"FINAL EXAM AFTER FAILED FINAL PT (500.1.H)","OK")))))))</f>
        <v/>
      </c>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IF($C1365="","",IF($K1365="","",IF(COUNTIFS(nrES_PID,$D1365,nrES_Code,$F1365,nrES_Att,"&gt;"&amp;$K1365,nrES_Raw,"&gt;=0")=0,"Yes","No")))</f>
        <v/>
      </c>
      <c r="Q1365" s="17">
        <f>IF($C1365="","",IF($L1365="","",IF(AND($K1365=1,ISNUMBER($L1365),$L1365&lt;$J1365,COUNTIFS(nrES_PID,$D1365,nrES_Code,$F1365,nrES_Att,2,nrES_Raw,"&gt;=0")=0),"Yes","No")))</f>
        <v/>
      </c>
      <c r="R1365" s="17">
        <f>IF($C1365="","",IF($L1365="","",IF(AND($K1365=2,ISNUMBER($L1365),$L1365&lt;$J1365),"Yes","No")))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OR($C1365="",$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RANGE",IF(COUNTIF(nrES_RecID,$B1365)&gt;1,"DUPLICATE RECORD",IF(AND($K1365=2,COUNTIFS(nrES_PID,$D1365,nrES_Code,$F1365,nrES_Att,1)=0),"ATTEMPT 2 WITHOUT ATTEMPT 1",IF(AND($K1365=2,$L1365=""),"RETEST ROW HAS NO SCORE",IF(AND($H1365="Final",$L1365&lt;&gt;"",IFERROR(INDEX(nrCKfinalExamElig,MATCH($D1365,rngCadetPIDs,0)),"")="No"),"FINAL EXAM AFTER FAILED FINAL PT (500.1.H)","OK")))))))</f>
        <v/>
      </c>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IF($C1366="","",IF($K1366="","",IF(COUNTIFS(nrES_PID,$D1366,nrES_Code,$F1366,nrES_Att,"&gt;"&amp;$K1366,nrES_Raw,"&gt;=0")=0,"Yes","No")))</f>
        <v/>
      </c>
      <c r="Q1366" s="17">
        <f>IF($C1366="","",IF($L1366="","",IF(AND($K1366=1,ISNUMBER($L1366),$L1366&lt;$J1366,COUNTIFS(nrES_PID,$D1366,nrES_Code,$F1366,nrES_Att,2,nrES_Raw,"&gt;=0")=0),"Yes","No")))</f>
        <v/>
      </c>
      <c r="R1366" s="17">
        <f>IF($C1366="","",IF($L1366="","",IF(AND($K1366=2,ISNUMBER($L1366),$L1366&lt;$J1366),"Yes","No")))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OR($C1366="",$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RANGE",IF(COUNTIF(nrES_RecID,$B1366)&gt;1,"DUPLICATE RECORD",IF(AND($K1366=2,COUNTIFS(nrES_PID,$D1366,nrES_Code,$F1366,nrES_Att,1)=0),"ATTEMPT 2 WITHOUT ATTEMPT 1",IF(AND($K1366=2,$L1366=""),"RETEST ROW HAS NO SCORE",IF(AND($H1366="Final",$L1366&lt;&gt;"",IFERROR(INDEX(nrCKfinalExamElig,MATCH($D1366,rngCadetPIDs,0)),"")="No"),"FINAL EXAM AFTER FAILED FINAL PT (500.1.H)","OK")))))))</f>
        <v/>
      </c>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IF($C1367="","",IF($K1367="","",IF(COUNTIFS(nrES_PID,$D1367,nrES_Code,$F1367,nrES_Att,"&gt;"&amp;$K1367,nrES_Raw,"&gt;=0")=0,"Yes","No")))</f>
        <v/>
      </c>
      <c r="Q1367" s="17">
        <f>IF($C1367="","",IF($L1367="","",IF(AND($K1367=1,ISNUMBER($L1367),$L1367&lt;$J1367,COUNTIFS(nrES_PID,$D1367,nrES_Code,$F1367,nrES_Att,2,nrES_Raw,"&gt;=0")=0),"Yes","No")))</f>
        <v/>
      </c>
      <c r="R1367" s="17">
        <f>IF($C1367="","",IF($L1367="","",IF(AND($K1367=2,ISNUMBER($L1367),$L1367&lt;$J1367),"Yes","No")))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OR($C1367="",$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RANGE",IF(COUNTIF(nrES_RecID,$B1367)&gt;1,"DUPLICATE RECORD",IF(AND($K1367=2,COUNTIFS(nrES_PID,$D1367,nrES_Code,$F1367,nrES_Att,1)=0),"ATTEMPT 2 WITHOUT ATTEMPT 1",IF(AND($K1367=2,$L1367=""),"RETEST ROW HAS NO SCORE",IF(AND($H1367="Final",$L1367&lt;&gt;"",IFERROR(INDEX(nrCKfinalExamElig,MATCH($D1367,rngCadetPIDs,0)),"")="No"),"FINAL EXAM AFTER FAILED FINAL PT (500.1.H)","OK")))))))</f>
        <v/>
      </c>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IF($C1368="","",IF($K1368="","",IF(COUNTIFS(nrES_PID,$D1368,nrES_Code,$F1368,nrES_Att,"&gt;"&amp;$K1368,nrES_Raw,"&gt;=0")=0,"Yes","No")))</f>
        <v/>
      </c>
      <c r="Q1368" s="17">
        <f>IF($C1368="","",IF($L1368="","",IF(AND($K1368=1,ISNUMBER($L1368),$L1368&lt;$J1368,COUNTIFS(nrES_PID,$D1368,nrES_Code,$F1368,nrES_Att,2,nrES_Raw,"&gt;=0")=0),"Yes","No")))</f>
        <v/>
      </c>
      <c r="R1368" s="17">
        <f>IF($C1368="","",IF($L1368="","",IF(AND($K1368=2,ISNUMBER($L1368),$L1368&lt;$J1368),"Yes","No")))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OR($C1368="",$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RANGE",IF(COUNTIF(nrES_RecID,$B1368)&gt;1,"DUPLICATE RECORD",IF(AND($K1368=2,COUNTIFS(nrES_PID,$D1368,nrES_Code,$F1368,nrES_Att,1)=0),"ATTEMPT 2 WITHOUT ATTEMPT 1",IF(AND($K1368=2,$L1368=""),"RETEST ROW HAS NO SCORE",IF(AND($H1368="Final",$L1368&lt;&gt;"",IFERROR(INDEX(nrCKfinalExamElig,MATCH($D1368,rngCadetPIDs,0)),"")="No"),"FINAL EXAM AFTER FAILED FINAL PT (500.1.H)","OK")))))))</f>
        <v/>
      </c>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IF($C1369="","",IF($K1369="","",IF(COUNTIFS(nrES_PID,$D1369,nrES_Code,$F1369,nrES_Att,"&gt;"&amp;$K1369,nrES_Raw,"&gt;=0")=0,"Yes","No")))</f>
        <v/>
      </c>
      <c r="Q1369" s="17">
        <f>IF($C1369="","",IF($L1369="","",IF(AND($K1369=1,ISNUMBER($L1369),$L1369&lt;$J1369,COUNTIFS(nrES_PID,$D1369,nrES_Code,$F1369,nrES_Att,2,nrES_Raw,"&gt;=0")=0),"Yes","No")))</f>
        <v/>
      </c>
      <c r="R1369" s="17">
        <f>IF($C1369="","",IF($L1369="","",IF(AND($K1369=2,ISNUMBER($L1369),$L1369&lt;$J1369),"Yes","No")))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OR($C1369="",$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RANGE",IF(COUNTIF(nrES_RecID,$B1369)&gt;1,"DUPLICATE RECORD",IF(AND($K1369=2,COUNTIFS(nrES_PID,$D1369,nrES_Code,$F1369,nrES_Att,1)=0),"ATTEMPT 2 WITHOUT ATTEMPT 1",IF(AND($K1369=2,$L1369=""),"RETEST ROW HAS NO SCORE",IF(AND($H1369="Final",$L1369&lt;&gt;"",IFERROR(INDEX(nrCKfinalExamElig,MATCH($D1369,rngCadetPIDs,0)),"")="No"),"FINAL EXAM AFTER FAILED FINAL PT (500.1.H)","OK")))))))</f>
        <v/>
      </c>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IF($C1370="","",IF($K1370="","",IF(COUNTIFS(nrES_PID,$D1370,nrES_Code,$F1370,nrES_Att,"&gt;"&amp;$K1370,nrES_Raw,"&gt;=0")=0,"Yes","No")))</f>
        <v/>
      </c>
      <c r="Q1370" s="17">
        <f>IF($C1370="","",IF($L1370="","",IF(AND($K1370=1,ISNUMBER($L1370),$L1370&lt;$J1370,COUNTIFS(nrES_PID,$D1370,nrES_Code,$F1370,nrES_Att,2,nrES_Raw,"&gt;=0")=0),"Yes","No")))</f>
        <v/>
      </c>
      <c r="R1370" s="17">
        <f>IF($C1370="","",IF($L1370="","",IF(AND($K1370=2,ISNUMBER($L1370),$L1370&lt;$J1370),"Yes","No")))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OR($C1370="",$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RANGE",IF(COUNTIF(nrES_RecID,$B1370)&gt;1,"DUPLICATE RECORD",IF(AND($K1370=2,COUNTIFS(nrES_PID,$D1370,nrES_Code,$F1370,nrES_Att,1)=0),"ATTEMPT 2 WITHOUT ATTEMPT 1",IF(AND($K1370=2,$L1370=""),"RETEST ROW HAS NO SCORE",IF(AND($H1370="Final",$L1370&lt;&gt;"",IFERROR(INDEX(nrCKfinalExamElig,MATCH($D1370,rngCadetPIDs,0)),"")="No"),"FINAL EXAM AFTER FAILED FINAL PT (500.1.H)","OK")))))))</f>
        <v/>
      </c>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IF($C1371="","",IF($K1371="","",IF(COUNTIFS(nrES_PID,$D1371,nrES_Code,$F1371,nrES_Att,"&gt;"&amp;$K1371,nrES_Raw,"&gt;=0")=0,"Yes","No")))</f>
        <v/>
      </c>
      <c r="Q1371" s="17">
        <f>IF($C1371="","",IF($L1371="","",IF(AND($K1371=1,ISNUMBER($L1371),$L1371&lt;$J1371,COUNTIFS(nrES_PID,$D1371,nrES_Code,$F1371,nrES_Att,2,nrES_Raw,"&gt;=0")=0),"Yes","No")))</f>
        <v/>
      </c>
      <c r="R1371" s="17">
        <f>IF($C1371="","",IF($L1371="","",IF(AND($K1371=2,ISNUMBER($L1371),$L1371&lt;$J1371),"Yes","No")))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OR($C1371="",$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RANGE",IF(COUNTIF(nrES_RecID,$B1371)&gt;1,"DUPLICATE RECORD",IF(AND($K1371=2,COUNTIFS(nrES_PID,$D1371,nrES_Code,$F1371,nrES_Att,1)=0),"ATTEMPT 2 WITHOUT ATTEMPT 1",IF(AND($K1371=2,$L1371=""),"RETEST ROW HAS NO SCORE",IF(AND($H1371="Final",$L1371&lt;&gt;"",IFERROR(INDEX(nrCKfinalExamElig,MATCH($D1371,rngCadetPIDs,0)),"")="No"),"FINAL EXAM AFTER FAILED FINAL PT (500.1.H)","OK")))))))</f>
        <v/>
      </c>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IF($C1372="","",IF($K1372="","",IF(COUNTIFS(nrES_PID,$D1372,nrES_Code,$F1372,nrES_Att,"&gt;"&amp;$K1372,nrES_Raw,"&gt;=0")=0,"Yes","No")))</f>
        <v/>
      </c>
      <c r="Q1372" s="17">
        <f>IF($C1372="","",IF($L1372="","",IF(AND($K1372=1,ISNUMBER($L1372),$L1372&lt;$J1372,COUNTIFS(nrES_PID,$D1372,nrES_Code,$F1372,nrES_Att,2,nrES_Raw,"&gt;=0")=0),"Yes","No")))</f>
        <v/>
      </c>
      <c r="R1372" s="17">
        <f>IF($C1372="","",IF($L1372="","",IF(AND($K1372=2,ISNUMBER($L1372),$L1372&lt;$J1372),"Yes","No")))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OR($C1372="",$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RANGE",IF(COUNTIF(nrES_RecID,$B1372)&gt;1,"DUPLICATE RECORD",IF(AND($K1372=2,COUNTIFS(nrES_PID,$D1372,nrES_Code,$F1372,nrES_Att,1)=0),"ATTEMPT 2 WITHOUT ATTEMPT 1",IF(AND($K1372=2,$L1372=""),"RETEST ROW HAS NO SCORE",IF(AND($H1372="Final",$L1372&lt;&gt;"",IFERROR(INDEX(nrCKfinalExamElig,MATCH($D1372,rngCadetPIDs,0)),"")="No"),"FINAL EXAM AFTER FAILED FINAL PT (500.1.H)","OK")))))))</f>
        <v/>
      </c>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IF($C1373="","",IF($K1373="","",IF(COUNTIFS(nrES_PID,$D1373,nrES_Code,$F1373,nrES_Att,"&gt;"&amp;$K1373,nrES_Raw,"&gt;=0")=0,"Yes","No")))</f>
        <v/>
      </c>
      <c r="Q1373" s="17">
        <f>IF($C1373="","",IF($L1373="","",IF(AND($K1373=1,ISNUMBER($L1373),$L1373&lt;$J1373,COUNTIFS(nrES_PID,$D1373,nrES_Code,$F1373,nrES_Att,2,nrES_Raw,"&gt;=0")=0),"Yes","No")))</f>
        <v/>
      </c>
      <c r="R1373" s="17">
        <f>IF($C1373="","",IF($L1373="","",IF(AND($K1373=2,ISNUMBER($L1373),$L1373&lt;$J1373),"Yes","No")))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OR($C1373="",$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RANGE",IF(COUNTIF(nrES_RecID,$B1373)&gt;1,"DUPLICATE RECORD",IF(AND($K1373=2,COUNTIFS(nrES_PID,$D1373,nrES_Code,$F1373,nrES_Att,1)=0),"ATTEMPT 2 WITHOUT ATTEMPT 1",IF(AND($K1373=2,$L1373=""),"RETEST ROW HAS NO SCORE",IF(AND($H1373="Final",$L1373&lt;&gt;"",IFERROR(INDEX(nrCKfinalExamElig,MATCH($D1373,rngCadetPIDs,0)),"")="No"),"FINAL EXAM AFTER FAILED FINAL PT (500.1.H)","OK")))))))</f>
        <v/>
      </c>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IF($C1374="","",IF($K1374="","",IF(COUNTIFS(nrES_PID,$D1374,nrES_Code,$F1374,nrES_Att,"&gt;"&amp;$K1374,nrES_Raw,"&gt;=0")=0,"Yes","No")))</f>
        <v/>
      </c>
      <c r="Q1374" s="17">
        <f>IF($C1374="","",IF($L1374="","",IF(AND($K1374=1,ISNUMBER($L1374),$L1374&lt;$J1374,COUNTIFS(nrES_PID,$D1374,nrES_Code,$F1374,nrES_Att,2,nrES_Raw,"&gt;=0")=0),"Yes","No")))</f>
        <v/>
      </c>
      <c r="R1374" s="17">
        <f>IF($C1374="","",IF($L1374="","",IF(AND($K1374=2,ISNUMBER($L1374),$L1374&lt;$J1374),"Yes","No")))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OR($C1374="",$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RANGE",IF(COUNTIF(nrES_RecID,$B1374)&gt;1,"DUPLICATE RECORD",IF(AND($K1374=2,COUNTIFS(nrES_PID,$D1374,nrES_Code,$F1374,nrES_Att,1)=0),"ATTEMPT 2 WITHOUT ATTEMPT 1",IF(AND($K1374=2,$L1374=""),"RETEST ROW HAS NO SCORE",IF(AND($H1374="Final",$L1374&lt;&gt;"",IFERROR(INDEX(nrCKfinalExamElig,MATCH($D1374,rngCadetPIDs,0)),"")="No"),"FINAL EXAM AFTER FAILED FINAL PT (500.1.H)","OK")))))))</f>
        <v/>
      </c>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IF($C1375="","",IF($K1375="","",IF(COUNTIFS(nrES_PID,$D1375,nrES_Code,$F1375,nrES_Att,"&gt;"&amp;$K1375,nrES_Raw,"&gt;=0")=0,"Yes","No")))</f>
        <v/>
      </c>
      <c r="Q1375" s="17">
        <f>IF($C1375="","",IF($L1375="","",IF(AND($K1375=1,ISNUMBER($L1375),$L1375&lt;$J1375,COUNTIFS(nrES_PID,$D1375,nrES_Code,$F1375,nrES_Att,2,nrES_Raw,"&gt;=0")=0),"Yes","No")))</f>
        <v/>
      </c>
      <c r="R1375" s="17">
        <f>IF($C1375="","",IF($L1375="","",IF(AND($K1375=2,ISNUMBER($L1375),$L1375&lt;$J1375),"Yes","No")))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OR($C1375="",$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RANGE",IF(COUNTIF(nrES_RecID,$B1375)&gt;1,"DUPLICATE RECORD",IF(AND($K1375=2,COUNTIFS(nrES_PID,$D1375,nrES_Code,$F1375,nrES_Att,1)=0),"ATTEMPT 2 WITHOUT ATTEMPT 1",IF(AND($K1375=2,$L1375=""),"RETEST ROW HAS NO SCORE",IF(AND($H1375="Final",$L1375&lt;&gt;"",IFERROR(INDEX(nrCKfinalExamElig,MATCH($D1375,rngCadetPIDs,0)),"")="No"),"FINAL EXAM AFTER FAILED FINAL PT (500.1.H)","OK")))))))</f>
        <v/>
      </c>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IF($C1376="","",IF($K1376="","",IF(COUNTIFS(nrES_PID,$D1376,nrES_Code,$F1376,nrES_Att,"&gt;"&amp;$K1376,nrES_Raw,"&gt;=0")=0,"Yes","No")))</f>
        <v/>
      </c>
      <c r="Q1376" s="17">
        <f>IF($C1376="","",IF($L1376="","",IF(AND($K1376=1,ISNUMBER($L1376),$L1376&lt;$J1376,COUNTIFS(nrES_PID,$D1376,nrES_Code,$F1376,nrES_Att,2,nrES_Raw,"&gt;=0")=0),"Yes","No")))</f>
        <v/>
      </c>
      <c r="R1376" s="17">
        <f>IF($C1376="","",IF($L1376="","",IF(AND($K1376=2,ISNUMBER($L1376),$L1376&lt;$J1376),"Yes","No")))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OR($C1376="",$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RANGE",IF(COUNTIF(nrES_RecID,$B1376)&gt;1,"DUPLICATE RECORD",IF(AND($K1376=2,COUNTIFS(nrES_PID,$D1376,nrES_Code,$F1376,nrES_Att,1)=0),"ATTEMPT 2 WITHOUT ATTEMPT 1",IF(AND($K1376=2,$L1376=""),"RETEST ROW HAS NO SCORE",IF(AND($H1376="Final",$L1376&lt;&gt;"",IFERROR(INDEX(nrCKfinalExamElig,MATCH($D1376,rngCadetPIDs,0)),"")="No"),"FINAL EXAM AFTER FAILED FINAL PT (500.1.H)","OK")))))))</f>
        <v/>
      </c>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IF($C1377="","",IF($K1377="","",IF(COUNTIFS(nrES_PID,$D1377,nrES_Code,$F1377,nrES_Att,"&gt;"&amp;$K1377,nrES_Raw,"&gt;=0")=0,"Yes","No")))</f>
        <v/>
      </c>
      <c r="Q1377" s="17">
        <f>IF($C1377="","",IF($L1377="","",IF(AND($K1377=1,ISNUMBER($L1377),$L1377&lt;$J1377,COUNTIFS(nrES_PID,$D1377,nrES_Code,$F1377,nrES_Att,2,nrES_Raw,"&gt;=0")=0),"Yes","No")))</f>
        <v/>
      </c>
      <c r="R1377" s="17">
        <f>IF($C1377="","",IF($L1377="","",IF(AND($K1377=2,ISNUMBER($L1377),$L1377&lt;$J1377),"Yes","No")))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OR($C1377="",$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RANGE",IF(COUNTIF(nrES_RecID,$B1377)&gt;1,"DUPLICATE RECORD",IF(AND($K1377=2,COUNTIFS(nrES_PID,$D1377,nrES_Code,$F1377,nrES_Att,1)=0),"ATTEMPT 2 WITHOUT ATTEMPT 1",IF(AND($K1377=2,$L1377=""),"RETEST ROW HAS NO SCORE",IF(AND($H1377="Final",$L1377&lt;&gt;"",IFERROR(INDEX(nrCKfinalExamElig,MATCH($D1377,rngCadetPIDs,0)),"")="No"),"FINAL EXAM AFTER FAILED FINAL PT (500.1.H)","OK")))))))</f>
        <v/>
      </c>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IF($C1378="","",IF($K1378="","",IF(COUNTIFS(nrES_PID,$D1378,nrES_Code,$F1378,nrES_Att,"&gt;"&amp;$K1378,nrES_Raw,"&gt;=0")=0,"Yes","No")))</f>
        <v/>
      </c>
      <c r="Q1378" s="17">
        <f>IF($C1378="","",IF($L1378="","",IF(AND($K1378=1,ISNUMBER($L1378),$L1378&lt;$J1378,COUNTIFS(nrES_PID,$D1378,nrES_Code,$F1378,nrES_Att,2,nrES_Raw,"&gt;=0")=0),"Yes","No")))</f>
        <v/>
      </c>
      <c r="R1378" s="17">
        <f>IF($C1378="","",IF($L1378="","",IF(AND($K1378=2,ISNUMBER($L1378),$L1378&lt;$J1378),"Yes","No")))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OR($C1378="",$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RANGE",IF(COUNTIF(nrES_RecID,$B1378)&gt;1,"DUPLICATE RECORD",IF(AND($K1378=2,COUNTIFS(nrES_PID,$D1378,nrES_Code,$F1378,nrES_Att,1)=0),"ATTEMPT 2 WITHOUT ATTEMPT 1",IF(AND($K1378=2,$L1378=""),"RETEST ROW HAS NO SCORE",IF(AND($H1378="Final",$L1378&lt;&gt;"",IFERROR(INDEX(nrCKfinalExamElig,MATCH($D1378,rngCadetPIDs,0)),"")="No"),"FINAL EXAM AFTER FAILED FINAL PT (500.1.H)","OK")))))))</f>
        <v/>
      </c>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IF($C1379="","",IF($K1379="","",IF(COUNTIFS(nrES_PID,$D1379,nrES_Code,$F1379,nrES_Att,"&gt;"&amp;$K1379,nrES_Raw,"&gt;=0")=0,"Yes","No")))</f>
        <v/>
      </c>
      <c r="Q1379" s="17">
        <f>IF($C1379="","",IF($L1379="","",IF(AND($K1379=1,ISNUMBER($L1379),$L1379&lt;$J1379,COUNTIFS(nrES_PID,$D1379,nrES_Code,$F1379,nrES_Att,2,nrES_Raw,"&gt;=0")=0),"Yes","No")))</f>
        <v/>
      </c>
      <c r="R1379" s="17">
        <f>IF($C1379="","",IF($L1379="","",IF(AND($K1379=2,ISNUMBER($L1379),$L1379&lt;$J1379),"Yes","No")))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OR($C1379="",$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RANGE",IF(COUNTIF(nrES_RecID,$B1379)&gt;1,"DUPLICATE RECORD",IF(AND($K1379=2,COUNTIFS(nrES_PID,$D1379,nrES_Code,$F1379,nrES_Att,1)=0),"ATTEMPT 2 WITHOUT ATTEMPT 1",IF(AND($K1379=2,$L1379=""),"RETEST ROW HAS NO SCORE",IF(AND($H1379="Final",$L1379&lt;&gt;"",IFERROR(INDEX(nrCKfinalExamElig,MATCH($D1379,rngCadetPIDs,0)),"")="No"),"FINAL EXAM AFTER FAILED FINAL PT (500.1.H)","OK")))))))</f>
        <v/>
      </c>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IF($C1380="","",IF($K1380="","",IF(COUNTIFS(nrES_PID,$D1380,nrES_Code,$F1380,nrES_Att,"&gt;"&amp;$K1380,nrES_Raw,"&gt;=0")=0,"Yes","No")))</f>
        <v/>
      </c>
      <c r="Q1380" s="17">
        <f>IF($C1380="","",IF($L1380="","",IF(AND($K1380=1,ISNUMBER($L1380),$L1380&lt;$J1380,COUNTIFS(nrES_PID,$D1380,nrES_Code,$F1380,nrES_Att,2,nrES_Raw,"&gt;=0")=0),"Yes","No")))</f>
        <v/>
      </c>
      <c r="R1380" s="17">
        <f>IF($C1380="","",IF($L1380="","",IF(AND($K1380=2,ISNUMBER($L1380),$L1380&lt;$J1380),"Yes","No")))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OR($C1380="",$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RANGE",IF(COUNTIF(nrES_RecID,$B1380)&gt;1,"DUPLICATE RECORD",IF(AND($K1380=2,COUNTIFS(nrES_PID,$D1380,nrES_Code,$F1380,nrES_Att,1)=0),"ATTEMPT 2 WITHOUT ATTEMPT 1",IF(AND($K1380=2,$L1380=""),"RETEST ROW HAS NO SCORE",IF(AND($H1380="Final",$L1380&lt;&gt;"",IFERROR(INDEX(nrCKfinalExamElig,MATCH($D1380,rngCadetPIDs,0)),"")="No"),"FINAL EXAM AFTER FAILED FINAL PT (500.1.H)","OK")))))))</f>
        <v/>
      </c>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IF($C1381="","",IF($K1381="","",IF(COUNTIFS(nrES_PID,$D1381,nrES_Code,$F1381,nrES_Att,"&gt;"&amp;$K1381,nrES_Raw,"&gt;=0")=0,"Yes","No")))</f>
        <v/>
      </c>
      <c r="Q1381" s="17">
        <f>IF($C1381="","",IF($L1381="","",IF(AND($K1381=1,ISNUMBER($L1381),$L1381&lt;$J1381,COUNTIFS(nrES_PID,$D1381,nrES_Code,$F1381,nrES_Att,2,nrES_Raw,"&gt;=0")=0),"Yes","No")))</f>
        <v/>
      </c>
      <c r="R1381" s="17">
        <f>IF($C1381="","",IF($L1381="","",IF(AND($K1381=2,ISNUMBER($L1381),$L1381&lt;$J1381),"Yes","No")))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OR($C1381="",$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RANGE",IF(COUNTIF(nrES_RecID,$B1381)&gt;1,"DUPLICATE RECORD",IF(AND($K1381=2,COUNTIFS(nrES_PID,$D1381,nrES_Code,$F1381,nrES_Att,1)=0),"ATTEMPT 2 WITHOUT ATTEMPT 1",IF(AND($K1381=2,$L1381=""),"RETEST ROW HAS NO SCORE",IF(AND($H1381="Final",$L1381&lt;&gt;"",IFERROR(INDEX(nrCKfinalExamElig,MATCH($D1381,rngCadetPIDs,0)),"")="No"),"FINAL EXAM AFTER FAILED FINAL PT (500.1.H)","OK")))))))</f>
        <v/>
      </c>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IF($C1382="","",IF($K1382="","",IF(COUNTIFS(nrES_PID,$D1382,nrES_Code,$F1382,nrES_Att,"&gt;"&amp;$K1382,nrES_Raw,"&gt;=0")=0,"Yes","No")))</f>
        <v/>
      </c>
      <c r="Q1382" s="17">
        <f>IF($C1382="","",IF($L1382="","",IF(AND($K1382=1,ISNUMBER($L1382),$L1382&lt;$J1382,COUNTIFS(nrES_PID,$D1382,nrES_Code,$F1382,nrES_Att,2,nrES_Raw,"&gt;=0")=0),"Yes","No")))</f>
        <v/>
      </c>
      <c r="R1382" s="17">
        <f>IF($C1382="","",IF($L1382="","",IF(AND($K1382=2,ISNUMBER($L1382),$L1382&lt;$J1382),"Yes","No")))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OR($C1382="",$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RANGE",IF(COUNTIF(nrES_RecID,$B1382)&gt;1,"DUPLICATE RECORD",IF(AND($K1382=2,COUNTIFS(nrES_PID,$D1382,nrES_Code,$F1382,nrES_Att,1)=0),"ATTEMPT 2 WITHOUT ATTEMPT 1",IF(AND($K1382=2,$L1382=""),"RETEST ROW HAS NO SCORE",IF(AND($H1382="Final",$L1382&lt;&gt;"",IFERROR(INDEX(nrCKfinalExamElig,MATCH($D1382,rngCadetPIDs,0)),"")="No"),"FINAL EXAM AFTER FAILED FINAL PT (500.1.H)","OK")))))))</f>
        <v/>
      </c>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IF($C1383="","",IF($K1383="","",IF(COUNTIFS(nrES_PID,$D1383,nrES_Code,$F1383,nrES_Att,"&gt;"&amp;$K1383,nrES_Raw,"&gt;=0")=0,"Yes","No")))</f>
        <v/>
      </c>
      <c r="Q1383" s="17">
        <f>IF($C1383="","",IF($L1383="","",IF(AND($K1383=1,ISNUMBER($L1383),$L1383&lt;$J1383,COUNTIFS(nrES_PID,$D1383,nrES_Code,$F1383,nrES_Att,2,nrES_Raw,"&gt;=0")=0),"Yes","No")))</f>
        <v/>
      </c>
      <c r="R1383" s="17">
        <f>IF($C1383="","",IF($L1383="","",IF(AND($K1383=2,ISNUMBER($L1383),$L1383&lt;$J1383),"Yes","No")))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OR($C1383="",$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RANGE",IF(COUNTIF(nrES_RecID,$B1383)&gt;1,"DUPLICATE RECORD",IF(AND($K1383=2,COUNTIFS(nrES_PID,$D1383,nrES_Code,$F1383,nrES_Att,1)=0),"ATTEMPT 2 WITHOUT ATTEMPT 1",IF(AND($K1383=2,$L1383=""),"RETEST ROW HAS NO SCORE",IF(AND($H1383="Final",$L1383&lt;&gt;"",IFERROR(INDEX(nrCKfinalExamElig,MATCH($D1383,rngCadetPIDs,0)),"")="No"),"FINAL EXAM AFTER FAILED FINAL PT (500.1.H)","OK")))))))</f>
        <v/>
      </c>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IF($C1384="","",IF($K1384="","",IF(COUNTIFS(nrES_PID,$D1384,nrES_Code,$F1384,nrES_Att,"&gt;"&amp;$K1384,nrES_Raw,"&gt;=0")=0,"Yes","No")))</f>
        <v/>
      </c>
      <c r="Q1384" s="17">
        <f>IF($C1384="","",IF($L1384="","",IF(AND($K1384=1,ISNUMBER($L1384),$L1384&lt;$J1384,COUNTIFS(nrES_PID,$D1384,nrES_Code,$F1384,nrES_Att,2,nrES_Raw,"&gt;=0")=0),"Yes","No")))</f>
        <v/>
      </c>
      <c r="R1384" s="17">
        <f>IF($C1384="","",IF($L1384="","",IF(AND($K1384=2,ISNUMBER($L1384),$L1384&lt;$J1384),"Yes","No")))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OR($C1384="",$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RANGE",IF(COUNTIF(nrES_RecID,$B1384)&gt;1,"DUPLICATE RECORD",IF(AND($K1384=2,COUNTIFS(nrES_PID,$D1384,nrES_Code,$F1384,nrES_Att,1)=0),"ATTEMPT 2 WITHOUT ATTEMPT 1",IF(AND($K1384=2,$L1384=""),"RETEST ROW HAS NO SCORE",IF(AND($H1384="Final",$L1384&lt;&gt;"",IFERROR(INDEX(nrCKfinalExamElig,MATCH($D1384,rngCadetPIDs,0)),"")="No"),"FINAL EXAM AFTER FAILED FINAL PT (500.1.H)","OK")))))))</f>
        <v/>
      </c>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IF($C1385="","",IF($K1385="","",IF(COUNTIFS(nrES_PID,$D1385,nrES_Code,$F1385,nrES_Att,"&gt;"&amp;$K1385,nrES_Raw,"&gt;=0")=0,"Yes","No")))</f>
        <v/>
      </c>
      <c r="Q1385" s="17">
        <f>IF($C1385="","",IF($L1385="","",IF(AND($K1385=1,ISNUMBER($L1385),$L1385&lt;$J1385,COUNTIFS(nrES_PID,$D1385,nrES_Code,$F1385,nrES_Att,2,nrES_Raw,"&gt;=0")=0),"Yes","No")))</f>
        <v/>
      </c>
      <c r="R1385" s="17">
        <f>IF($C1385="","",IF($L1385="","",IF(AND($K1385=2,ISNUMBER($L1385),$L1385&lt;$J1385),"Yes","No")))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OR($C1385="",$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RANGE",IF(COUNTIF(nrES_RecID,$B1385)&gt;1,"DUPLICATE RECORD",IF(AND($K1385=2,COUNTIFS(nrES_PID,$D1385,nrES_Code,$F1385,nrES_Att,1)=0),"ATTEMPT 2 WITHOUT ATTEMPT 1",IF(AND($K1385=2,$L1385=""),"RETEST ROW HAS NO SCORE",IF(AND($H1385="Final",$L1385&lt;&gt;"",IFERROR(INDEX(nrCKfinalExamElig,MATCH($D1385,rngCadetPIDs,0)),"")="No"),"FINAL EXAM AFTER FAILED FINAL PT (500.1.H)","OK")))))))</f>
        <v/>
      </c>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IF($C1386="","",IF($K1386="","",IF(COUNTIFS(nrES_PID,$D1386,nrES_Code,$F1386,nrES_Att,"&gt;"&amp;$K1386,nrES_Raw,"&gt;=0")=0,"Yes","No")))</f>
        <v/>
      </c>
      <c r="Q1386" s="17">
        <f>IF($C1386="","",IF($L1386="","",IF(AND($K1386=1,ISNUMBER($L1386),$L1386&lt;$J1386,COUNTIFS(nrES_PID,$D1386,nrES_Code,$F1386,nrES_Att,2,nrES_Raw,"&gt;=0")=0),"Yes","No")))</f>
        <v/>
      </c>
      <c r="R1386" s="17">
        <f>IF($C1386="","",IF($L1386="","",IF(AND($K1386=2,ISNUMBER($L1386),$L1386&lt;$J1386),"Yes","No")))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OR($C1386="",$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RANGE",IF(COUNTIF(nrES_RecID,$B1386)&gt;1,"DUPLICATE RECORD",IF(AND($K1386=2,COUNTIFS(nrES_PID,$D1386,nrES_Code,$F1386,nrES_Att,1)=0),"ATTEMPT 2 WITHOUT ATTEMPT 1",IF(AND($K1386=2,$L1386=""),"RETEST ROW HAS NO SCORE",IF(AND($H1386="Final",$L1386&lt;&gt;"",IFERROR(INDEX(nrCKfinalExamElig,MATCH($D1386,rngCadetPIDs,0)),"")="No"),"FINAL EXAM AFTER FAILED FINAL PT (500.1.H)","OK")))))))</f>
        <v/>
      </c>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IF($C1387="","",IF($K1387="","",IF(COUNTIFS(nrES_PID,$D1387,nrES_Code,$F1387,nrES_Att,"&gt;"&amp;$K1387,nrES_Raw,"&gt;=0")=0,"Yes","No")))</f>
        <v/>
      </c>
      <c r="Q1387" s="17">
        <f>IF($C1387="","",IF($L1387="","",IF(AND($K1387=1,ISNUMBER($L1387),$L1387&lt;$J1387,COUNTIFS(nrES_PID,$D1387,nrES_Code,$F1387,nrES_Att,2,nrES_Raw,"&gt;=0")=0),"Yes","No")))</f>
        <v/>
      </c>
      <c r="R1387" s="17">
        <f>IF($C1387="","",IF($L1387="","",IF(AND($K1387=2,ISNUMBER($L1387),$L1387&lt;$J1387),"Yes","No")))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OR($C1387="",$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RANGE",IF(COUNTIF(nrES_RecID,$B1387)&gt;1,"DUPLICATE RECORD",IF(AND($K1387=2,COUNTIFS(nrES_PID,$D1387,nrES_Code,$F1387,nrES_Att,1)=0),"ATTEMPT 2 WITHOUT ATTEMPT 1",IF(AND($K1387=2,$L1387=""),"RETEST ROW HAS NO SCORE",IF(AND($H1387="Final",$L1387&lt;&gt;"",IFERROR(INDEX(nrCKfinalExamElig,MATCH($D1387,rngCadetPIDs,0)),"")="No"),"FINAL EXAM AFTER FAILED FINAL PT (500.1.H)","OK")))))))</f>
        <v/>
      </c>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IF($C1388="","",IF($K1388="","",IF(COUNTIFS(nrES_PID,$D1388,nrES_Code,$F1388,nrES_Att,"&gt;"&amp;$K1388,nrES_Raw,"&gt;=0")=0,"Yes","No")))</f>
        <v/>
      </c>
      <c r="Q1388" s="17">
        <f>IF($C1388="","",IF($L1388="","",IF(AND($K1388=1,ISNUMBER($L1388),$L1388&lt;$J1388,COUNTIFS(nrES_PID,$D1388,nrES_Code,$F1388,nrES_Att,2,nrES_Raw,"&gt;=0")=0),"Yes","No")))</f>
        <v/>
      </c>
      <c r="R1388" s="17">
        <f>IF($C1388="","",IF($L1388="","",IF(AND($K1388=2,ISNUMBER($L1388),$L1388&lt;$J1388),"Yes","No")))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OR($C1388="",$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RANGE",IF(COUNTIF(nrES_RecID,$B1388)&gt;1,"DUPLICATE RECORD",IF(AND($K1388=2,COUNTIFS(nrES_PID,$D1388,nrES_Code,$F1388,nrES_Att,1)=0),"ATTEMPT 2 WITHOUT ATTEMPT 1",IF(AND($K1388=2,$L1388=""),"RETEST ROW HAS NO SCORE",IF(AND($H1388="Final",$L1388&lt;&gt;"",IFERROR(INDEX(nrCKfinalExamElig,MATCH($D1388,rngCadetPIDs,0)),"")="No"),"FINAL EXAM AFTER FAILED FINAL PT (500.1.H)","OK")))))))</f>
        <v/>
      </c>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IF($C1389="","",IF($K1389="","",IF(COUNTIFS(nrES_PID,$D1389,nrES_Code,$F1389,nrES_Att,"&gt;"&amp;$K1389,nrES_Raw,"&gt;=0")=0,"Yes","No")))</f>
        <v/>
      </c>
      <c r="Q1389" s="17">
        <f>IF($C1389="","",IF($L1389="","",IF(AND($K1389=1,ISNUMBER($L1389),$L1389&lt;$J1389,COUNTIFS(nrES_PID,$D1389,nrES_Code,$F1389,nrES_Att,2,nrES_Raw,"&gt;=0")=0),"Yes","No")))</f>
        <v/>
      </c>
      <c r="R1389" s="17">
        <f>IF($C1389="","",IF($L1389="","",IF(AND($K1389=2,ISNUMBER($L1389),$L1389&lt;$J1389),"Yes","No")))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OR($C1389="",$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RANGE",IF(COUNTIF(nrES_RecID,$B1389)&gt;1,"DUPLICATE RECORD",IF(AND($K1389=2,COUNTIFS(nrES_PID,$D1389,nrES_Code,$F1389,nrES_Att,1)=0),"ATTEMPT 2 WITHOUT ATTEMPT 1",IF(AND($K1389=2,$L1389=""),"RETEST ROW HAS NO SCORE",IF(AND($H1389="Final",$L1389&lt;&gt;"",IFERROR(INDEX(nrCKfinalExamElig,MATCH($D1389,rngCadetPIDs,0)),"")="No"),"FINAL EXAM AFTER FAILED FINAL PT (500.1.H)","OK")))))))</f>
        <v/>
      </c>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IF($C1390="","",IF($K1390="","",IF(COUNTIFS(nrES_PID,$D1390,nrES_Code,$F1390,nrES_Att,"&gt;"&amp;$K1390,nrES_Raw,"&gt;=0")=0,"Yes","No")))</f>
        <v/>
      </c>
      <c r="Q1390" s="17">
        <f>IF($C1390="","",IF($L1390="","",IF(AND($K1390=1,ISNUMBER($L1390),$L1390&lt;$J1390,COUNTIFS(nrES_PID,$D1390,nrES_Code,$F1390,nrES_Att,2,nrES_Raw,"&gt;=0")=0),"Yes","No")))</f>
        <v/>
      </c>
      <c r="R1390" s="17">
        <f>IF($C1390="","",IF($L1390="","",IF(AND($K1390=2,ISNUMBER($L1390),$L1390&lt;$J1390),"Yes","No")))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OR($C1390="",$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RANGE",IF(COUNTIF(nrES_RecID,$B1390)&gt;1,"DUPLICATE RECORD",IF(AND($K1390=2,COUNTIFS(nrES_PID,$D1390,nrES_Code,$F1390,nrES_Att,1)=0),"ATTEMPT 2 WITHOUT ATTEMPT 1",IF(AND($K1390=2,$L1390=""),"RETEST ROW HAS NO SCORE",IF(AND($H1390="Final",$L1390&lt;&gt;"",IFERROR(INDEX(nrCKfinalExamElig,MATCH($D1390,rngCadetPIDs,0)),"")="No"),"FINAL EXAM AFTER FAILED FINAL PT (500.1.H)","OK")))))))</f>
        <v/>
      </c>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IF($C1391="","",IF($K1391="","",IF(COUNTIFS(nrES_PID,$D1391,nrES_Code,$F1391,nrES_Att,"&gt;"&amp;$K1391,nrES_Raw,"&gt;=0")=0,"Yes","No")))</f>
        <v/>
      </c>
      <c r="Q1391" s="17">
        <f>IF($C1391="","",IF($L1391="","",IF(AND($K1391=1,ISNUMBER($L1391),$L1391&lt;$J1391,COUNTIFS(nrES_PID,$D1391,nrES_Code,$F1391,nrES_Att,2,nrES_Raw,"&gt;=0")=0),"Yes","No")))</f>
        <v/>
      </c>
      <c r="R1391" s="17">
        <f>IF($C1391="","",IF($L1391="","",IF(AND($K1391=2,ISNUMBER($L1391),$L1391&lt;$J1391),"Yes","No")))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OR($C1391="",$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RANGE",IF(COUNTIF(nrES_RecID,$B1391)&gt;1,"DUPLICATE RECORD",IF(AND($K1391=2,COUNTIFS(nrES_PID,$D1391,nrES_Code,$F1391,nrES_Att,1)=0),"ATTEMPT 2 WITHOUT ATTEMPT 1",IF(AND($K1391=2,$L1391=""),"RETEST ROW HAS NO SCORE",IF(AND($H1391="Final",$L1391&lt;&gt;"",IFERROR(INDEX(nrCKfinalExamElig,MATCH($D1391,rngCadetPIDs,0)),"")="No"),"FINAL EXAM AFTER FAILED FINAL PT (500.1.H)","OK")))))))</f>
        <v/>
      </c>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IF($C1392="","",IF($K1392="","",IF(COUNTIFS(nrES_PID,$D1392,nrES_Code,$F1392,nrES_Att,"&gt;"&amp;$K1392,nrES_Raw,"&gt;=0")=0,"Yes","No")))</f>
        <v/>
      </c>
      <c r="Q1392" s="17">
        <f>IF($C1392="","",IF($L1392="","",IF(AND($K1392=1,ISNUMBER($L1392),$L1392&lt;$J1392,COUNTIFS(nrES_PID,$D1392,nrES_Code,$F1392,nrES_Att,2,nrES_Raw,"&gt;=0")=0),"Yes","No")))</f>
        <v/>
      </c>
      <c r="R1392" s="17">
        <f>IF($C1392="","",IF($L1392="","",IF(AND($K1392=2,ISNUMBER($L1392),$L1392&lt;$J1392),"Yes","No")))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OR($C1392="",$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RANGE",IF(COUNTIF(nrES_RecID,$B1392)&gt;1,"DUPLICATE RECORD",IF(AND($K1392=2,COUNTIFS(nrES_PID,$D1392,nrES_Code,$F1392,nrES_Att,1)=0),"ATTEMPT 2 WITHOUT ATTEMPT 1",IF(AND($K1392=2,$L1392=""),"RETEST ROW HAS NO SCORE",IF(AND($H1392="Final",$L1392&lt;&gt;"",IFERROR(INDEX(nrCKfinalExamElig,MATCH($D1392,rngCadetPIDs,0)),"")="No"),"FINAL EXAM AFTER FAILED FINAL PT (500.1.H)","OK")))))))</f>
        <v/>
      </c>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IF($C1393="","",IF($K1393="","",IF(COUNTIFS(nrES_PID,$D1393,nrES_Code,$F1393,nrES_Att,"&gt;"&amp;$K1393,nrES_Raw,"&gt;=0")=0,"Yes","No")))</f>
        <v/>
      </c>
      <c r="Q1393" s="17">
        <f>IF($C1393="","",IF($L1393="","",IF(AND($K1393=1,ISNUMBER($L1393),$L1393&lt;$J1393,COUNTIFS(nrES_PID,$D1393,nrES_Code,$F1393,nrES_Att,2,nrES_Raw,"&gt;=0")=0),"Yes","No")))</f>
        <v/>
      </c>
      <c r="R1393" s="17">
        <f>IF($C1393="","",IF($L1393="","",IF(AND($K1393=2,ISNUMBER($L1393),$L1393&lt;$J1393),"Yes","No")))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OR($C1393="",$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RANGE",IF(COUNTIF(nrES_RecID,$B1393)&gt;1,"DUPLICATE RECORD",IF(AND($K1393=2,COUNTIFS(nrES_PID,$D1393,nrES_Code,$F1393,nrES_Att,1)=0),"ATTEMPT 2 WITHOUT ATTEMPT 1",IF(AND($K1393=2,$L1393=""),"RETEST ROW HAS NO SCORE",IF(AND($H1393="Final",$L1393&lt;&gt;"",IFERROR(INDEX(nrCKfinalExamElig,MATCH($D1393,rngCadetPIDs,0)),"")="No"),"FINAL EXAM AFTER FAILED FINAL PT (500.1.H)","OK")))))))</f>
        <v/>
      </c>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IF($C1394="","",IF($K1394="","",IF(COUNTIFS(nrES_PID,$D1394,nrES_Code,$F1394,nrES_Att,"&gt;"&amp;$K1394,nrES_Raw,"&gt;=0")=0,"Yes","No")))</f>
        <v/>
      </c>
      <c r="Q1394" s="17">
        <f>IF($C1394="","",IF($L1394="","",IF(AND($K1394=1,ISNUMBER($L1394),$L1394&lt;$J1394,COUNTIFS(nrES_PID,$D1394,nrES_Code,$F1394,nrES_Att,2,nrES_Raw,"&gt;=0")=0),"Yes","No")))</f>
        <v/>
      </c>
      <c r="R1394" s="17">
        <f>IF($C1394="","",IF($L1394="","",IF(AND($K1394=2,ISNUMBER($L1394),$L1394&lt;$J1394),"Yes","No")))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OR($C1394="",$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RANGE",IF(COUNTIF(nrES_RecID,$B1394)&gt;1,"DUPLICATE RECORD",IF(AND($K1394=2,COUNTIFS(nrES_PID,$D1394,nrES_Code,$F1394,nrES_Att,1)=0),"ATTEMPT 2 WITHOUT ATTEMPT 1",IF(AND($K1394=2,$L1394=""),"RETEST ROW HAS NO SCORE",IF(AND($H1394="Final",$L1394&lt;&gt;"",IFERROR(INDEX(nrCKfinalExamElig,MATCH($D1394,rngCadetPIDs,0)),"")="No"),"FINAL EXAM AFTER FAILED FINAL PT (500.1.H)","OK")))))))</f>
        <v/>
      </c>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IF($C1395="","",IF($K1395="","",IF(COUNTIFS(nrES_PID,$D1395,nrES_Code,$F1395,nrES_Att,"&gt;"&amp;$K1395,nrES_Raw,"&gt;=0")=0,"Yes","No")))</f>
        <v/>
      </c>
      <c r="Q1395" s="17">
        <f>IF($C1395="","",IF($L1395="","",IF(AND($K1395=1,ISNUMBER($L1395),$L1395&lt;$J1395,COUNTIFS(nrES_PID,$D1395,nrES_Code,$F1395,nrES_Att,2,nrES_Raw,"&gt;=0")=0),"Yes","No")))</f>
        <v/>
      </c>
      <c r="R1395" s="17">
        <f>IF($C1395="","",IF($L1395="","",IF(AND($K1395=2,ISNUMBER($L1395),$L1395&lt;$J1395),"Yes","No")))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OR($C1395="",$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RANGE",IF(COUNTIF(nrES_RecID,$B1395)&gt;1,"DUPLICATE RECORD",IF(AND($K1395=2,COUNTIFS(nrES_PID,$D1395,nrES_Code,$F1395,nrES_Att,1)=0),"ATTEMPT 2 WITHOUT ATTEMPT 1",IF(AND($K1395=2,$L1395=""),"RETEST ROW HAS NO SCORE",IF(AND($H1395="Final",$L1395&lt;&gt;"",IFERROR(INDEX(nrCKfinalExamElig,MATCH($D1395,rngCadetPIDs,0)),"")="No"),"FINAL EXAM AFTER FAILED FINAL PT (500.1.H)","OK")))))))</f>
        <v/>
      </c>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IF($C1396="","",IF($K1396="","",IF(COUNTIFS(nrES_PID,$D1396,nrES_Code,$F1396,nrES_Att,"&gt;"&amp;$K1396,nrES_Raw,"&gt;=0")=0,"Yes","No")))</f>
        <v/>
      </c>
      <c r="Q1396" s="17">
        <f>IF($C1396="","",IF($L1396="","",IF(AND($K1396=1,ISNUMBER($L1396),$L1396&lt;$J1396,COUNTIFS(nrES_PID,$D1396,nrES_Code,$F1396,nrES_Att,2,nrES_Raw,"&gt;=0")=0),"Yes","No")))</f>
        <v/>
      </c>
      <c r="R1396" s="17">
        <f>IF($C1396="","",IF($L1396="","",IF(AND($K1396=2,ISNUMBER($L1396),$L1396&lt;$J1396),"Yes","No")))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OR($C1396="",$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RANGE",IF(COUNTIF(nrES_RecID,$B1396)&gt;1,"DUPLICATE RECORD",IF(AND($K1396=2,COUNTIFS(nrES_PID,$D1396,nrES_Code,$F1396,nrES_Att,1)=0),"ATTEMPT 2 WITHOUT ATTEMPT 1",IF(AND($K1396=2,$L1396=""),"RETEST ROW HAS NO SCORE",IF(AND($H1396="Final",$L1396&lt;&gt;"",IFERROR(INDEX(nrCKfinalExamElig,MATCH($D1396,rngCadetPIDs,0)),"")="No"),"FINAL EXAM AFTER FAILED FINAL PT (500.1.H)","OK")))))))</f>
        <v/>
      </c>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IF($C1397="","",IF($K1397="","",IF(COUNTIFS(nrES_PID,$D1397,nrES_Code,$F1397,nrES_Att,"&gt;"&amp;$K1397,nrES_Raw,"&gt;=0")=0,"Yes","No")))</f>
        <v/>
      </c>
      <c r="Q1397" s="17">
        <f>IF($C1397="","",IF($L1397="","",IF(AND($K1397=1,ISNUMBER($L1397),$L1397&lt;$J1397,COUNTIFS(nrES_PID,$D1397,nrES_Code,$F1397,nrES_Att,2,nrES_Raw,"&gt;=0")=0),"Yes","No")))</f>
        <v/>
      </c>
      <c r="R1397" s="17">
        <f>IF($C1397="","",IF($L1397="","",IF(AND($K1397=2,ISNUMBER($L1397),$L1397&lt;$J1397),"Yes","No")))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OR($C1397="",$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RANGE",IF(COUNTIF(nrES_RecID,$B1397)&gt;1,"DUPLICATE RECORD",IF(AND($K1397=2,COUNTIFS(nrES_PID,$D1397,nrES_Code,$F1397,nrES_Att,1)=0),"ATTEMPT 2 WITHOUT ATTEMPT 1",IF(AND($K1397=2,$L1397=""),"RETEST ROW HAS NO SCORE",IF(AND($H1397="Final",$L1397&lt;&gt;"",IFERROR(INDEX(nrCKfinalExamElig,MATCH($D1397,rngCadetPIDs,0)),"")="No"),"FINAL EXAM AFTER FAILED FINAL PT (500.1.H)","OK")))))))</f>
        <v/>
      </c>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IF($C1398="","",IF($K1398="","",IF(COUNTIFS(nrES_PID,$D1398,nrES_Code,$F1398,nrES_Att,"&gt;"&amp;$K1398,nrES_Raw,"&gt;=0")=0,"Yes","No")))</f>
        <v/>
      </c>
      <c r="Q1398" s="17">
        <f>IF($C1398="","",IF($L1398="","",IF(AND($K1398=1,ISNUMBER($L1398),$L1398&lt;$J1398,COUNTIFS(nrES_PID,$D1398,nrES_Code,$F1398,nrES_Att,2,nrES_Raw,"&gt;=0")=0),"Yes","No")))</f>
        <v/>
      </c>
      <c r="R1398" s="17">
        <f>IF($C1398="","",IF($L1398="","",IF(AND($K1398=2,ISNUMBER($L1398),$L1398&lt;$J1398),"Yes","No")))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OR($C1398="",$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RANGE",IF(COUNTIF(nrES_RecID,$B1398)&gt;1,"DUPLICATE RECORD",IF(AND($K1398=2,COUNTIFS(nrES_PID,$D1398,nrES_Code,$F1398,nrES_Att,1)=0),"ATTEMPT 2 WITHOUT ATTEMPT 1",IF(AND($K1398=2,$L1398=""),"RETEST ROW HAS NO SCORE",IF(AND($H1398="Final",$L1398&lt;&gt;"",IFERROR(INDEX(nrCKfinalExamElig,MATCH($D1398,rngCadetPIDs,0)),"")="No"),"FINAL EXAM AFTER FAILED FINAL PT (500.1.H)","OK")))))))</f>
        <v/>
      </c>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IF($C1399="","",IF($K1399="","",IF(COUNTIFS(nrES_PID,$D1399,nrES_Code,$F1399,nrES_Att,"&gt;"&amp;$K1399,nrES_Raw,"&gt;=0")=0,"Yes","No")))</f>
        <v/>
      </c>
      <c r="Q1399" s="17">
        <f>IF($C1399="","",IF($L1399="","",IF(AND($K1399=1,ISNUMBER($L1399),$L1399&lt;$J1399,COUNTIFS(nrES_PID,$D1399,nrES_Code,$F1399,nrES_Att,2,nrES_Raw,"&gt;=0")=0),"Yes","No")))</f>
        <v/>
      </c>
      <c r="R1399" s="17">
        <f>IF($C1399="","",IF($L1399="","",IF(AND($K1399=2,ISNUMBER($L1399),$L1399&lt;$J1399),"Yes","No")))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OR($C1399="",$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RANGE",IF(COUNTIF(nrES_RecID,$B1399)&gt;1,"DUPLICATE RECORD",IF(AND($K1399=2,COUNTIFS(nrES_PID,$D1399,nrES_Code,$F1399,nrES_Att,1)=0),"ATTEMPT 2 WITHOUT ATTEMPT 1",IF(AND($K1399=2,$L1399=""),"RETEST ROW HAS NO SCORE",IF(AND($H1399="Final",$L1399&lt;&gt;"",IFERROR(INDEX(nrCKfinalExamElig,MATCH($D1399,rngCadetPIDs,0)),"")="No"),"FINAL EXAM AFTER FAILED FINAL PT (500.1.H)","OK")))))))</f>
        <v/>
      </c>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IF($C1400="","",IF($K1400="","",IF(COUNTIFS(nrES_PID,$D1400,nrES_Code,$F1400,nrES_Att,"&gt;"&amp;$K1400,nrES_Raw,"&gt;=0")=0,"Yes","No")))</f>
        <v/>
      </c>
      <c r="Q1400" s="17">
        <f>IF($C1400="","",IF($L1400="","",IF(AND($K1400=1,ISNUMBER($L1400),$L1400&lt;$J1400,COUNTIFS(nrES_PID,$D1400,nrES_Code,$F1400,nrES_Att,2,nrES_Raw,"&gt;=0")=0),"Yes","No")))</f>
        <v/>
      </c>
      <c r="R1400" s="17">
        <f>IF($C1400="","",IF($L1400="","",IF(AND($K1400=2,ISNUMBER($L1400),$L1400&lt;$J1400),"Yes","No")))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OR($C1400="",$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RANGE",IF(COUNTIF(nrES_RecID,$B1400)&gt;1,"DUPLICATE RECORD",IF(AND($K1400=2,COUNTIFS(nrES_PID,$D1400,nrES_Code,$F1400,nrES_Att,1)=0),"ATTEMPT 2 WITHOUT ATTEMPT 1",IF(AND($K1400=2,$L1400=""),"RETEST ROW HAS NO SCORE",IF(AND($H1400="Final",$L1400&lt;&gt;"",IFERROR(INDEX(nrCKfinalExamElig,MATCH($D1400,rngCadetPIDs,0)),"")="No"),"FINAL EXAM AFTER FAILED FINAL PT (500.1.H)","OK")))))))</f>
        <v/>
      </c>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IF($C1401="","",IF($K1401="","",IF(COUNTIFS(nrES_PID,$D1401,nrES_Code,$F1401,nrES_Att,"&gt;"&amp;$K1401,nrES_Raw,"&gt;=0")=0,"Yes","No")))</f>
        <v/>
      </c>
      <c r="Q1401" s="17">
        <f>IF($C1401="","",IF($L1401="","",IF(AND($K1401=1,ISNUMBER($L1401),$L1401&lt;$J1401,COUNTIFS(nrES_PID,$D1401,nrES_Code,$F1401,nrES_Att,2,nrES_Raw,"&gt;=0")=0),"Yes","No")))</f>
        <v/>
      </c>
      <c r="R1401" s="17">
        <f>IF($C1401="","",IF($L1401="","",IF(AND($K1401=2,ISNUMBER($L1401),$L1401&lt;$J1401),"Yes","No")))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OR($C1401="",$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RANGE",IF(COUNTIF(nrES_RecID,$B1401)&gt;1,"DUPLICATE RECORD",IF(AND($K1401=2,COUNTIFS(nrES_PID,$D1401,nrES_Code,$F1401,nrES_Att,1)=0),"ATTEMPT 2 WITHOUT ATTEMPT 1",IF(AND($K1401=2,$L1401=""),"RETEST ROW HAS NO SCORE",IF(AND($H1401="Final",$L1401&lt;&gt;"",IFERROR(INDEX(nrCKfinalExamElig,MATCH($D1401,rngCadetPIDs,0)),"")="No"),"FINAL EXAM AFTER FAILED FINAL PT (500.1.H)","OK")))))))</f>
        <v/>
      </c>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IF($C1402="","",IF($K1402="","",IF(COUNTIFS(nrES_PID,$D1402,nrES_Code,$F1402,nrES_Att,"&gt;"&amp;$K1402,nrES_Raw,"&gt;=0")=0,"Yes","No")))</f>
        <v/>
      </c>
      <c r="Q1402" s="17">
        <f>IF($C1402="","",IF($L1402="","",IF(AND($K1402=1,ISNUMBER($L1402),$L1402&lt;$J1402,COUNTIFS(nrES_PID,$D1402,nrES_Code,$F1402,nrES_Att,2,nrES_Raw,"&gt;=0")=0),"Yes","No")))</f>
        <v/>
      </c>
      <c r="R1402" s="17">
        <f>IF($C1402="","",IF($L1402="","",IF(AND($K1402=2,ISNUMBER($L1402),$L1402&lt;$J1402),"Yes","No")))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OR($C1402="",$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RANGE",IF(COUNTIF(nrES_RecID,$B1402)&gt;1,"DUPLICATE RECORD",IF(AND($K1402=2,COUNTIFS(nrES_PID,$D1402,nrES_Code,$F1402,nrES_Att,1)=0),"ATTEMPT 2 WITHOUT ATTEMPT 1",IF(AND($K1402=2,$L1402=""),"RETEST ROW HAS NO SCORE",IF(AND($H1402="Final",$L1402&lt;&gt;"",IFERROR(INDEX(nrCKfinalExamElig,MATCH($D1402,rngCadetPIDs,0)),"")="No"),"FINAL EXAM AFTER FAILED FINAL PT (500.1.H)","OK")))))))</f>
        <v/>
      </c>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IF($C1403="","",IF($K1403="","",IF(COUNTIFS(nrES_PID,$D1403,nrES_Code,$F1403,nrES_Att,"&gt;"&amp;$K1403,nrES_Raw,"&gt;=0")=0,"Yes","No")))</f>
        <v/>
      </c>
      <c r="Q1403" s="17">
        <f>IF($C1403="","",IF($L1403="","",IF(AND($K1403=1,ISNUMBER($L1403),$L1403&lt;$J1403,COUNTIFS(nrES_PID,$D1403,nrES_Code,$F1403,nrES_Att,2,nrES_Raw,"&gt;=0")=0),"Yes","No")))</f>
        <v/>
      </c>
      <c r="R1403" s="17">
        <f>IF($C1403="","",IF($L1403="","",IF(AND($K1403=2,ISNUMBER($L1403),$L1403&lt;$J1403),"Yes","No")))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OR($C1403="",$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RANGE",IF(COUNTIF(nrES_RecID,$B1403)&gt;1,"DUPLICATE RECORD",IF(AND($K1403=2,COUNTIFS(nrES_PID,$D1403,nrES_Code,$F1403,nrES_Att,1)=0),"ATTEMPT 2 WITHOUT ATTEMPT 1",IF(AND($K1403=2,$L1403=""),"RETEST ROW HAS NO SCORE",IF(AND($H1403="Final",$L1403&lt;&gt;"",IFERROR(INDEX(nrCKfinalExamElig,MATCH($D1403,rngCadetPIDs,0)),"")="No"),"FINAL EXAM AFTER FAILED FINAL PT (500.1.H)","OK")))))))</f>
        <v/>
      </c>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IF($C1404="","",IF($K1404="","",IF(COUNTIFS(nrES_PID,$D1404,nrES_Code,$F1404,nrES_Att,"&gt;"&amp;$K1404,nrES_Raw,"&gt;=0")=0,"Yes","No")))</f>
        <v/>
      </c>
      <c r="Q1404" s="17">
        <f>IF($C1404="","",IF($L1404="","",IF(AND($K1404=1,ISNUMBER($L1404),$L1404&lt;$J1404,COUNTIFS(nrES_PID,$D1404,nrES_Code,$F1404,nrES_Att,2,nrES_Raw,"&gt;=0")=0),"Yes","No")))</f>
        <v/>
      </c>
      <c r="R1404" s="17">
        <f>IF($C1404="","",IF($L1404="","",IF(AND($K1404=2,ISNUMBER($L1404),$L1404&lt;$J1404),"Yes","No")))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OR($C1404="",$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RANGE",IF(COUNTIF(nrES_RecID,$B1404)&gt;1,"DUPLICATE RECORD",IF(AND($K1404=2,COUNTIFS(nrES_PID,$D1404,nrES_Code,$F1404,nrES_Att,1)=0),"ATTEMPT 2 WITHOUT ATTEMPT 1",IF(AND($K1404=2,$L1404=""),"RETEST ROW HAS NO SCORE",IF(AND($H1404="Final",$L1404&lt;&gt;"",IFERROR(INDEX(nrCKfinalExamElig,MATCH($D1404,rngCadetPIDs,0)),"")="No"),"FINAL EXAM AFTER FAILED FINAL PT (500.1.H)","OK")))))))</f>
        <v/>
      </c>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IF($C1405="","",IF($K1405="","",IF(COUNTIFS(nrES_PID,$D1405,nrES_Code,$F1405,nrES_Att,"&gt;"&amp;$K1405,nrES_Raw,"&gt;=0")=0,"Yes","No")))</f>
        <v/>
      </c>
      <c r="Q1405" s="17">
        <f>IF($C1405="","",IF($L1405="","",IF(AND($K1405=1,ISNUMBER($L1405),$L1405&lt;$J1405,COUNTIFS(nrES_PID,$D1405,nrES_Code,$F1405,nrES_Att,2,nrES_Raw,"&gt;=0")=0),"Yes","No")))</f>
        <v/>
      </c>
      <c r="R1405" s="17">
        <f>IF($C1405="","",IF($L1405="","",IF(AND($K1405=2,ISNUMBER($L1405),$L1405&lt;$J1405),"Yes","No")))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OR($C1405="",$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RANGE",IF(COUNTIF(nrES_RecID,$B1405)&gt;1,"DUPLICATE RECORD",IF(AND($K1405=2,COUNTIFS(nrES_PID,$D1405,nrES_Code,$F1405,nrES_Att,1)=0),"ATTEMPT 2 WITHOUT ATTEMPT 1",IF(AND($K1405=2,$L1405=""),"RETEST ROW HAS NO SCORE",IF(AND($H1405="Final",$L1405&lt;&gt;"",IFERROR(INDEX(nrCKfinalExamElig,MATCH($D1405,rngCadetPIDs,0)),"")="No"),"FINAL EXAM AFTER FAILED FINAL PT (500.1.H)","OK")))))))</f>
        <v/>
      </c>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IF($C1406="","",IF($K1406="","",IF(COUNTIFS(nrES_PID,$D1406,nrES_Code,$F1406,nrES_Att,"&gt;"&amp;$K1406,nrES_Raw,"&gt;=0")=0,"Yes","No")))</f>
        <v/>
      </c>
      <c r="Q1406" s="17">
        <f>IF($C1406="","",IF($L1406="","",IF(AND($K1406=1,ISNUMBER($L1406),$L1406&lt;$J1406,COUNTIFS(nrES_PID,$D1406,nrES_Code,$F1406,nrES_Att,2,nrES_Raw,"&gt;=0")=0),"Yes","No")))</f>
        <v/>
      </c>
      <c r="R1406" s="17">
        <f>IF($C1406="","",IF($L1406="","",IF(AND($K1406=2,ISNUMBER($L1406),$L1406&lt;$J1406),"Yes","No")))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OR($C1406="",$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RANGE",IF(COUNTIF(nrES_RecID,$B1406)&gt;1,"DUPLICATE RECORD",IF(AND($K1406=2,COUNTIFS(nrES_PID,$D1406,nrES_Code,$F1406,nrES_Att,1)=0),"ATTEMPT 2 WITHOUT ATTEMPT 1",IF(AND($K1406=2,$L1406=""),"RETEST ROW HAS NO SCORE",IF(AND($H1406="Final",$L1406&lt;&gt;"",IFERROR(INDEX(nrCKfinalExamElig,MATCH($D1406,rngCadetPIDs,0)),"")="No"),"FINAL EXAM AFTER FAILED FINAL PT (500.1.H)","OK")))))))</f>
        <v/>
      </c>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IF($C1407="","",IF($K1407="","",IF(COUNTIFS(nrES_PID,$D1407,nrES_Code,$F1407,nrES_Att,"&gt;"&amp;$K1407,nrES_Raw,"&gt;=0")=0,"Yes","No")))</f>
        <v/>
      </c>
      <c r="Q1407" s="17">
        <f>IF($C1407="","",IF($L1407="","",IF(AND($K1407=1,ISNUMBER($L1407),$L1407&lt;$J1407,COUNTIFS(nrES_PID,$D1407,nrES_Code,$F1407,nrES_Att,2,nrES_Raw,"&gt;=0")=0),"Yes","No")))</f>
        <v/>
      </c>
      <c r="R1407" s="17">
        <f>IF($C1407="","",IF($L1407="","",IF(AND($K1407=2,ISNUMBER($L1407),$L1407&lt;$J1407),"Yes","No")))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OR($C1407="",$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RANGE",IF(COUNTIF(nrES_RecID,$B1407)&gt;1,"DUPLICATE RECORD",IF(AND($K1407=2,COUNTIFS(nrES_PID,$D1407,nrES_Code,$F1407,nrES_Att,1)=0),"ATTEMPT 2 WITHOUT ATTEMPT 1",IF(AND($K1407=2,$L1407=""),"RETEST ROW HAS NO SCORE",IF(AND($H1407="Final",$L1407&lt;&gt;"",IFERROR(INDEX(nrCKfinalExamElig,MATCH($D1407,rngCadetPIDs,0)),"")="No"),"FINAL EXAM AFTER FAILED FINAL PT (500.1.H)","OK")))))))</f>
        <v/>
      </c>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IF($C1408="","",IF($K1408="","",IF(COUNTIFS(nrES_PID,$D1408,nrES_Code,$F1408,nrES_Att,"&gt;"&amp;$K1408,nrES_Raw,"&gt;=0")=0,"Yes","No")))</f>
        <v/>
      </c>
      <c r="Q1408" s="17">
        <f>IF($C1408="","",IF($L1408="","",IF(AND($K1408=1,ISNUMBER($L1408),$L1408&lt;$J1408,COUNTIFS(nrES_PID,$D1408,nrES_Code,$F1408,nrES_Att,2,nrES_Raw,"&gt;=0")=0),"Yes","No")))</f>
        <v/>
      </c>
      <c r="R1408" s="17">
        <f>IF($C1408="","",IF($L1408="","",IF(AND($K1408=2,ISNUMBER($L1408),$L1408&lt;$J1408),"Yes","No")))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OR($C1408="",$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RANGE",IF(COUNTIF(nrES_RecID,$B1408)&gt;1,"DUPLICATE RECORD",IF(AND($K1408=2,COUNTIFS(nrES_PID,$D1408,nrES_Code,$F1408,nrES_Att,1)=0),"ATTEMPT 2 WITHOUT ATTEMPT 1",IF(AND($K1408=2,$L1408=""),"RETEST ROW HAS NO SCORE",IF(AND($H1408="Final",$L1408&lt;&gt;"",IFERROR(INDEX(nrCKfinalExamElig,MATCH($D1408,rngCadetPIDs,0)),"")="No"),"FINAL EXAM AFTER FAILED FINAL PT (500.1.H)","OK")))))))</f>
        <v/>
      </c>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IF($C1409="","",IF($K1409="","",IF(COUNTIFS(nrES_PID,$D1409,nrES_Code,$F1409,nrES_Att,"&gt;"&amp;$K1409,nrES_Raw,"&gt;=0")=0,"Yes","No")))</f>
        <v/>
      </c>
      <c r="Q1409" s="17">
        <f>IF($C1409="","",IF($L1409="","",IF(AND($K1409=1,ISNUMBER($L1409),$L1409&lt;$J1409,COUNTIFS(nrES_PID,$D1409,nrES_Code,$F1409,nrES_Att,2,nrES_Raw,"&gt;=0")=0),"Yes","No")))</f>
        <v/>
      </c>
      <c r="R1409" s="17">
        <f>IF($C1409="","",IF($L1409="","",IF(AND($K1409=2,ISNUMBER($L1409),$L1409&lt;$J1409),"Yes","No")))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OR($C1409="",$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RANGE",IF(COUNTIF(nrES_RecID,$B1409)&gt;1,"DUPLICATE RECORD",IF(AND($K1409=2,COUNTIFS(nrES_PID,$D1409,nrES_Code,$F1409,nrES_Att,1)=0),"ATTEMPT 2 WITHOUT ATTEMPT 1",IF(AND($K1409=2,$L1409=""),"RETEST ROW HAS NO SCORE",IF(AND($H1409="Final",$L1409&lt;&gt;"",IFERROR(INDEX(nrCKfinalExamElig,MATCH($D1409,rngCadetPIDs,0)),"")="No"),"FINAL EXAM AFTER FAILED FINAL PT (500.1.H)","OK")))))))</f>
        <v/>
      </c>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IF($C1410="","",IF($K1410="","",IF(COUNTIFS(nrES_PID,$D1410,nrES_Code,$F1410,nrES_Att,"&gt;"&amp;$K1410,nrES_Raw,"&gt;=0")=0,"Yes","No")))</f>
        <v/>
      </c>
      <c r="Q1410" s="17">
        <f>IF($C1410="","",IF($L1410="","",IF(AND($K1410=1,ISNUMBER($L1410),$L1410&lt;$J1410,COUNTIFS(nrES_PID,$D1410,nrES_Code,$F1410,nrES_Att,2,nrES_Raw,"&gt;=0")=0),"Yes","No")))</f>
        <v/>
      </c>
      <c r="R1410" s="17">
        <f>IF($C1410="","",IF($L1410="","",IF(AND($K1410=2,ISNUMBER($L1410),$L1410&lt;$J1410),"Yes","No")))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OR($C1410="",$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RANGE",IF(COUNTIF(nrES_RecID,$B1410)&gt;1,"DUPLICATE RECORD",IF(AND($K1410=2,COUNTIFS(nrES_PID,$D1410,nrES_Code,$F1410,nrES_Att,1)=0),"ATTEMPT 2 WITHOUT ATTEMPT 1",IF(AND($K1410=2,$L1410=""),"RETEST ROW HAS NO SCORE",IF(AND($H1410="Final",$L1410&lt;&gt;"",IFERROR(INDEX(nrCKfinalExamElig,MATCH($D1410,rngCadetPIDs,0)),"")="No"),"FINAL EXAM AFTER FAILED FINAL PT (500.1.H)","OK")))))))</f>
        <v/>
      </c>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IF($C1411="","",IF($K1411="","",IF(COUNTIFS(nrES_PID,$D1411,nrES_Code,$F1411,nrES_Att,"&gt;"&amp;$K1411,nrES_Raw,"&gt;=0")=0,"Yes","No")))</f>
        <v/>
      </c>
      <c r="Q1411" s="17">
        <f>IF($C1411="","",IF($L1411="","",IF(AND($K1411=1,ISNUMBER($L1411),$L1411&lt;$J1411,COUNTIFS(nrES_PID,$D1411,nrES_Code,$F1411,nrES_Att,2,nrES_Raw,"&gt;=0")=0),"Yes","No")))</f>
        <v/>
      </c>
      <c r="R1411" s="17">
        <f>IF($C1411="","",IF($L1411="","",IF(AND($K1411=2,ISNUMBER($L1411),$L1411&lt;$J1411),"Yes","No")))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OR($C1411="",$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RANGE",IF(COUNTIF(nrES_RecID,$B1411)&gt;1,"DUPLICATE RECORD",IF(AND($K1411=2,COUNTIFS(nrES_PID,$D1411,nrES_Code,$F1411,nrES_Att,1)=0),"ATTEMPT 2 WITHOUT ATTEMPT 1",IF(AND($K1411=2,$L1411=""),"RETEST ROW HAS NO SCORE",IF(AND($H1411="Final",$L1411&lt;&gt;"",IFERROR(INDEX(nrCKfinalExamElig,MATCH($D1411,rngCadetPIDs,0)),"")="No"),"FINAL EXAM AFTER FAILED FINAL PT (500.1.H)","OK")))))))</f>
        <v/>
      </c>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IF($C1412="","",IF($K1412="","",IF(COUNTIFS(nrES_PID,$D1412,nrES_Code,$F1412,nrES_Att,"&gt;"&amp;$K1412,nrES_Raw,"&gt;=0")=0,"Yes","No")))</f>
        <v/>
      </c>
      <c r="Q1412" s="17">
        <f>IF($C1412="","",IF($L1412="","",IF(AND($K1412=1,ISNUMBER($L1412),$L1412&lt;$J1412,COUNTIFS(nrES_PID,$D1412,nrES_Code,$F1412,nrES_Att,2,nrES_Raw,"&gt;=0")=0),"Yes","No")))</f>
        <v/>
      </c>
      <c r="R1412" s="17">
        <f>IF($C1412="","",IF($L1412="","",IF(AND($K1412=2,ISNUMBER($L1412),$L1412&lt;$J1412),"Yes","No")))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OR($C1412="",$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RANGE",IF(COUNTIF(nrES_RecID,$B1412)&gt;1,"DUPLICATE RECORD",IF(AND($K1412=2,COUNTIFS(nrES_PID,$D1412,nrES_Code,$F1412,nrES_Att,1)=0),"ATTEMPT 2 WITHOUT ATTEMPT 1",IF(AND($K1412=2,$L1412=""),"RETEST ROW HAS NO SCORE",IF(AND($H1412="Final",$L1412&lt;&gt;"",IFERROR(INDEX(nrCKfinalExamElig,MATCH($D1412,rngCadetPIDs,0)),"")="No"),"FINAL EXAM AFTER FAILED FINAL PT (500.1.H)","OK")))))))</f>
        <v/>
      </c>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IF($C1413="","",IF($K1413="","",IF(COUNTIFS(nrES_PID,$D1413,nrES_Code,$F1413,nrES_Att,"&gt;"&amp;$K1413,nrES_Raw,"&gt;=0")=0,"Yes","No")))</f>
        <v/>
      </c>
      <c r="Q1413" s="17">
        <f>IF($C1413="","",IF($L1413="","",IF(AND($K1413=1,ISNUMBER($L1413),$L1413&lt;$J1413,COUNTIFS(nrES_PID,$D1413,nrES_Code,$F1413,nrES_Att,2,nrES_Raw,"&gt;=0")=0),"Yes","No")))</f>
        <v/>
      </c>
      <c r="R1413" s="17">
        <f>IF($C1413="","",IF($L1413="","",IF(AND($K1413=2,ISNUMBER($L1413),$L1413&lt;$J1413),"Yes","No")))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OR($C1413="",$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RANGE",IF(COUNTIF(nrES_RecID,$B1413)&gt;1,"DUPLICATE RECORD",IF(AND($K1413=2,COUNTIFS(nrES_PID,$D1413,nrES_Code,$F1413,nrES_Att,1)=0),"ATTEMPT 2 WITHOUT ATTEMPT 1",IF(AND($K1413=2,$L1413=""),"RETEST ROW HAS NO SCORE",IF(AND($H1413="Final",$L1413&lt;&gt;"",IFERROR(INDEX(nrCKfinalExamElig,MATCH($D1413,rngCadetPIDs,0)),"")="No"),"FINAL EXAM AFTER FAILED FINAL PT (500.1.H)","OK")))))))</f>
        <v/>
      </c>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IF($C1414="","",IF($K1414="","",IF(COUNTIFS(nrES_PID,$D1414,nrES_Code,$F1414,nrES_Att,"&gt;"&amp;$K1414,nrES_Raw,"&gt;=0")=0,"Yes","No")))</f>
        <v/>
      </c>
      <c r="Q1414" s="17">
        <f>IF($C1414="","",IF($L1414="","",IF(AND($K1414=1,ISNUMBER($L1414),$L1414&lt;$J1414,COUNTIFS(nrES_PID,$D1414,nrES_Code,$F1414,nrES_Att,2,nrES_Raw,"&gt;=0")=0),"Yes","No")))</f>
        <v/>
      </c>
      <c r="R1414" s="17">
        <f>IF($C1414="","",IF($L1414="","",IF(AND($K1414=2,ISNUMBER($L1414),$L1414&lt;$J1414),"Yes","No")))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OR($C1414="",$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RANGE",IF(COUNTIF(nrES_RecID,$B1414)&gt;1,"DUPLICATE RECORD",IF(AND($K1414=2,COUNTIFS(nrES_PID,$D1414,nrES_Code,$F1414,nrES_Att,1)=0),"ATTEMPT 2 WITHOUT ATTEMPT 1",IF(AND($K1414=2,$L1414=""),"RETEST ROW HAS NO SCORE",IF(AND($H1414="Final",$L1414&lt;&gt;"",IFERROR(INDEX(nrCKfinalExamElig,MATCH($D1414,rngCadetPIDs,0)),"")="No"),"FINAL EXAM AFTER FAILED FINAL PT (500.1.H)","OK")))))))</f>
        <v/>
      </c>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IF($C1415="","",IF($K1415="","",IF(COUNTIFS(nrES_PID,$D1415,nrES_Code,$F1415,nrES_Att,"&gt;"&amp;$K1415,nrES_Raw,"&gt;=0")=0,"Yes","No")))</f>
        <v/>
      </c>
      <c r="Q1415" s="17">
        <f>IF($C1415="","",IF($L1415="","",IF(AND($K1415=1,ISNUMBER($L1415),$L1415&lt;$J1415,COUNTIFS(nrES_PID,$D1415,nrES_Code,$F1415,nrES_Att,2,nrES_Raw,"&gt;=0")=0),"Yes","No")))</f>
        <v/>
      </c>
      <c r="R1415" s="17">
        <f>IF($C1415="","",IF($L1415="","",IF(AND($K1415=2,ISNUMBER($L1415),$L1415&lt;$J1415),"Yes","No")))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OR($C1415="",$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RANGE",IF(COUNTIF(nrES_RecID,$B1415)&gt;1,"DUPLICATE RECORD",IF(AND($K1415=2,COUNTIFS(nrES_PID,$D1415,nrES_Code,$F1415,nrES_Att,1)=0),"ATTEMPT 2 WITHOUT ATTEMPT 1",IF(AND($K1415=2,$L1415=""),"RETEST ROW HAS NO SCORE",IF(AND($H1415="Final",$L1415&lt;&gt;"",IFERROR(INDEX(nrCKfinalExamElig,MATCH($D1415,rngCadetPIDs,0)),"")="No"),"FINAL EXAM AFTER FAILED FINAL PT (500.1.H)","OK")))))))</f>
        <v/>
      </c>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IF($C1416="","",IF($K1416="","",IF(COUNTIFS(nrES_PID,$D1416,nrES_Code,$F1416,nrES_Att,"&gt;"&amp;$K1416,nrES_Raw,"&gt;=0")=0,"Yes","No")))</f>
        <v/>
      </c>
      <c r="Q1416" s="17">
        <f>IF($C1416="","",IF($L1416="","",IF(AND($K1416=1,ISNUMBER($L1416),$L1416&lt;$J1416,COUNTIFS(nrES_PID,$D1416,nrES_Code,$F1416,nrES_Att,2,nrES_Raw,"&gt;=0")=0),"Yes","No")))</f>
        <v/>
      </c>
      <c r="R1416" s="17">
        <f>IF($C1416="","",IF($L1416="","",IF(AND($K1416=2,ISNUMBER($L1416),$L1416&lt;$J1416),"Yes","No")))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OR($C1416="",$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RANGE",IF(COUNTIF(nrES_RecID,$B1416)&gt;1,"DUPLICATE RECORD",IF(AND($K1416=2,COUNTIFS(nrES_PID,$D1416,nrES_Code,$F1416,nrES_Att,1)=0),"ATTEMPT 2 WITHOUT ATTEMPT 1",IF(AND($K1416=2,$L1416=""),"RETEST ROW HAS NO SCORE",IF(AND($H1416="Final",$L1416&lt;&gt;"",IFERROR(INDEX(nrCKfinalExamElig,MATCH($D1416,rngCadetPIDs,0)),"")="No"),"FINAL EXAM AFTER FAILED FINAL PT (500.1.H)","OK")))))))</f>
        <v/>
      </c>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IF($C1417="","",IF($K1417="","",IF(COUNTIFS(nrES_PID,$D1417,nrES_Code,$F1417,nrES_Att,"&gt;"&amp;$K1417,nrES_Raw,"&gt;=0")=0,"Yes","No")))</f>
        <v/>
      </c>
      <c r="Q1417" s="17">
        <f>IF($C1417="","",IF($L1417="","",IF(AND($K1417=1,ISNUMBER($L1417),$L1417&lt;$J1417,COUNTIFS(nrES_PID,$D1417,nrES_Code,$F1417,nrES_Att,2,nrES_Raw,"&gt;=0")=0),"Yes","No")))</f>
        <v/>
      </c>
      <c r="R1417" s="17">
        <f>IF($C1417="","",IF($L1417="","",IF(AND($K1417=2,ISNUMBER($L1417),$L1417&lt;$J1417),"Yes","No")))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OR($C1417="",$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RANGE",IF(COUNTIF(nrES_RecID,$B1417)&gt;1,"DUPLICATE RECORD",IF(AND($K1417=2,COUNTIFS(nrES_PID,$D1417,nrES_Code,$F1417,nrES_Att,1)=0),"ATTEMPT 2 WITHOUT ATTEMPT 1",IF(AND($K1417=2,$L1417=""),"RETEST ROW HAS NO SCORE",IF(AND($H1417="Final",$L1417&lt;&gt;"",IFERROR(INDEX(nrCKfinalExamElig,MATCH($D1417,rngCadetPIDs,0)),"")="No"),"FINAL EXAM AFTER FAILED FINAL PT (500.1.H)","OK")))))))</f>
        <v/>
      </c>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IF($C1418="","",IF($K1418="","",IF(COUNTIFS(nrES_PID,$D1418,nrES_Code,$F1418,nrES_Att,"&gt;"&amp;$K1418,nrES_Raw,"&gt;=0")=0,"Yes","No")))</f>
        <v/>
      </c>
      <c r="Q1418" s="17">
        <f>IF($C1418="","",IF($L1418="","",IF(AND($K1418=1,ISNUMBER($L1418),$L1418&lt;$J1418,COUNTIFS(nrES_PID,$D1418,nrES_Code,$F1418,nrES_Att,2,nrES_Raw,"&gt;=0")=0),"Yes","No")))</f>
        <v/>
      </c>
      <c r="R1418" s="17">
        <f>IF($C1418="","",IF($L1418="","",IF(AND($K1418=2,ISNUMBER($L1418),$L1418&lt;$J1418),"Yes","No")))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OR($C1418="",$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RANGE",IF(COUNTIF(nrES_RecID,$B1418)&gt;1,"DUPLICATE RECORD",IF(AND($K1418=2,COUNTIFS(nrES_PID,$D1418,nrES_Code,$F1418,nrES_Att,1)=0),"ATTEMPT 2 WITHOUT ATTEMPT 1",IF(AND($K1418=2,$L1418=""),"RETEST ROW HAS NO SCORE",IF(AND($H1418="Final",$L1418&lt;&gt;"",IFERROR(INDEX(nrCKfinalExamElig,MATCH($D1418,rngCadetPIDs,0)),"")="No"),"FINAL EXAM AFTER FAILED FINAL PT (500.1.H)","OK")))))))</f>
        <v/>
      </c>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IF($C1419="","",IF($K1419="","",IF(COUNTIFS(nrES_PID,$D1419,nrES_Code,$F1419,nrES_Att,"&gt;"&amp;$K1419,nrES_Raw,"&gt;=0")=0,"Yes","No")))</f>
        <v/>
      </c>
      <c r="Q1419" s="17">
        <f>IF($C1419="","",IF($L1419="","",IF(AND($K1419=1,ISNUMBER($L1419),$L1419&lt;$J1419,COUNTIFS(nrES_PID,$D1419,nrES_Code,$F1419,nrES_Att,2,nrES_Raw,"&gt;=0")=0),"Yes","No")))</f>
        <v/>
      </c>
      <c r="R1419" s="17">
        <f>IF($C1419="","",IF($L1419="","",IF(AND($K1419=2,ISNUMBER($L1419),$L1419&lt;$J1419),"Yes","No")))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OR($C1419="",$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RANGE",IF(COUNTIF(nrES_RecID,$B1419)&gt;1,"DUPLICATE RECORD",IF(AND($K1419=2,COUNTIFS(nrES_PID,$D1419,nrES_Code,$F1419,nrES_Att,1)=0),"ATTEMPT 2 WITHOUT ATTEMPT 1",IF(AND($K1419=2,$L1419=""),"RETEST ROW HAS NO SCORE",IF(AND($H1419="Final",$L1419&lt;&gt;"",IFERROR(INDEX(nrCKfinalExamElig,MATCH($D1419,rngCadetPIDs,0)),"")="No"),"FINAL EXAM AFTER FAILED FINAL PT (500.1.H)","OK")))))))</f>
        <v/>
      </c>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IF($C1420="","",IF($K1420="","",IF(COUNTIFS(nrES_PID,$D1420,nrES_Code,$F1420,nrES_Att,"&gt;"&amp;$K1420,nrES_Raw,"&gt;=0")=0,"Yes","No")))</f>
        <v/>
      </c>
      <c r="Q1420" s="17">
        <f>IF($C1420="","",IF($L1420="","",IF(AND($K1420=1,ISNUMBER($L1420),$L1420&lt;$J1420,COUNTIFS(nrES_PID,$D1420,nrES_Code,$F1420,nrES_Att,2,nrES_Raw,"&gt;=0")=0),"Yes","No")))</f>
        <v/>
      </c>
      <c r="R1420" s="17">
        <f>IF($C1420="","",IF($L1420="","",IF(AND($K1420=2,ISNUMBER($L1420),$L1420&lt;$J1420),"Yes","No")))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OR($C1420="",$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RANGE",IF(COUNTIF(nrES_RecID,$B1420)&gt;1,"DUPLICATE RECORD",IF(AND($K1420=2,COUNTIFS(nrES_PID,$D1420,nrES_Code,$F1420,nrES_Att,1)=0),"ATTEMPT 2 WITHOUT ATTEMPT 1",IF(AND($K1420=2,$L1420=""),"RETEST ROW HAS NO SCORE",IF(AND($H1420="Final",$L1420&lt;&gt;"",IFERROR(INDEX(nrCKfinalExamElig,MATCH($D1420,rngCadetPIDs,0)),"")="No"),"FINAL EXAM AFTER FAILED FINAL PT (500.1.H)","OK")))))))</f>
        <v/>
      </c>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IF($C1421="","",IF($K1421="","",IF(COUNTIFS(nrES_PID,$D1421,nrES_Code,$F1421,nrES_Att,"&gt;"&amp;$K1421,nrES_Raw,"&gt;=0")=0,"Yes","No")))</f>
        <v/>
      </c>
      <c r="Q1421" s="17">
        <f>IF($C1421="","",IF($L1421="","",IF(AND($K1421=1,ISNUMBER($L1421),$L1421&lt;$J1421,COUNTIFS(nrES_PID,$D1421,nrES_Code,$F1421,nrES_Att,2,nrES_Raw,"&gt;=0")=0),"Yes","No")))</f>
        <v/>
      </c>
      <c r="R1421" s="17">
        <f>IF($C1421="","",IF($L1421="","",IF(AND($K1421=2,ISNUMBER($L1421),$L1421&lt;$J1421),"Yes","No")))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OR($C1421="",$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RANGE",IF(COUNTIF(nrES_RecID,$B1421)&gt;1,"DUPLICATE RECORD",IF(AND($K1421=2,COUNTIFS(nrES_PID,$D1421,nrES_Code,$F1421,nrES_Att,1)=0),"ATTEMPT 2 WITHOUT ATTEMPT 1",IF(AND($K1421=2,$L1421=""),"RETEST ROW HAS NO SCORE",IF(AND($H1421="Final",$L1421&lt;&gt;"",IFERROR(INDEX(nrCKfinalExamElig,MATCH($D1421,rngCadetPIDs,0)),"")="No"),"FINAL EXAM AFTER FAILED FINAL PT (500.1.H)","OK")))))))</f>
        <v/>
      </c>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IF($C1422="","",IF($K1422="","",IF(COUNTIFS(nrES_PID,$D1422,nrES_Code,$F1422,nrES_Att,"&gt;"&amp;$K1422,nrES_Raw,"&gt;=0")=0,"Yes","No")))</f>
        <v/>
      </c>
      <c r="Q1422" s="17">
        <f>IF($C1422="","",IF($L1422="","",IF(AND($K1422=1,ISNUMBER($L1422),$L1422&lt;$J1422,COUNTIFS(nrES_PID,$D1422,nrES_Code,$F1422,nrES_Att,2,nrES_Raw,"&gt;=0")=0),"Yes","No")))</f>
        <v/>
      </c>
      <c r="R1422" s="17">
        <f>IF($C1422="","",IF($L1422="","",IF(AND($K1422=2,ISNUMBER($L1422),$L1422&lt;$J1422),"Yes","No")))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OR($C1422="",$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RANGE",IF(COUNTIF(nrES_RecID,$B1422)&gt;1,"DUPLICATE RECORD",IF(AND($K1422=2,COUNTIFS(nrES_PID,$D1422,nrES_Code,$F1422,nrES_Att,1)=0),"ATTEMPT 2 WITHOUT ATTEMPT 1",IF(AND($K1422=2,$L1422=""),"RETEST ROW HAS NO SCORE",IF(AND($H1422="Final",$L1422&lt;&gt;"",IFERROR(INDEX(nrCKfinalExamElig,MATCH($D1422,rngCadetPIDs,0)),"")="No"),"FINAL EXAM AFTER FAILED FINAL PT (500.1.H)","OK")))))))</f>
        <v/>
      </c>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IF($C1423="","",IF($K1423="","",IF(COUNTIFS(nrES_PID,$D1423,nrES_Code,$F1423,nrES_Att,"&gt;"&amp;$K1423,nrES_Raw,"&gt;=0")=0,"Yes","No")))</f>
        <v/>
      </c>
      <c r="Q1423" s="17">
        <f>IF($C1423="","",IF($L1423="","",IF(AND($K1423=1,ISNUMBER($L1423),$L1423&lt;$J1423,COUNTIFS(nrES_PID,$D1423,nrES_Code,$F1423,nrES_Att,2,nrES_Raw,"&gt;=0")=0),"Yes","No")))</f>
        <v/>
      </c>
      <c r="R1423" s="17">
        <f>IF($C1423="","",IF($L1423="","",IF(AND($K1423=2,ISNUMBER($L1423),$L1423&lt;$J1423),"Yes","No")))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OR($C1423="",$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RANGE",IF(COUNTIF(nrES_RecID,$B1423)&gt;1,"DUPLICATE RECORD",IF(AND($K1423=2,COUNTIFS(nrES_PID,$D1423,nrES_Code,$F1423,nrES_Att,1)=0),"ATTEMPT 2 WITHOUT ATTEMPT 1",IF(AND($K1423=2,$L1423=""),"RETEST ROW HAS NO SCORE",IF(AND($H1423="Final",$L1423&lt;&gt;"",IFERROR(INDEX(nrCKfinalExamElig,MATCH($D1423,rngCadetPIDs,0)),"")="No"),"FINAL EXAM AFTER FAILED FINAL PT (500.1.H)","OK")))))))</f>
        <v/>
      </c>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IF($C1424="","",IF($K1424="","",IF(COUNTIFS(nrES_PID,$D1424,nrES_Code,$F1424,nrES_Att,"&gt;"&amp;$K1424,nrES_Raw,"&gt;=0")=0,"Yes","No")))</f>
        <v/>
      </c>
      <c r="Q1424" s="17">
        <f>IF($C1424="","",IF($L1424="","",IF(AND($K1424=1,ISNUMBER($L1424),$L1424&lt;$J1424,COUNTIFS(nrES_PID,$D1424,nrES_Code,$F1424,nrES_Att,2,nrES_Raw,"&gt;=0")=0),"Yes","No")))</f>
        <v/>
      </c>
      <c r="R1424" s="17">
        <f>IF($C1424="","",IF($L1424="","",IF(AND($K1424=2,ISNUMBER($L1424),$L1424&lt;$J1424),"Yes","No")))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OR($C1424="",$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RANGE",IF(COUNTIF(nrES_RecID,$B1424)&gt;1,"DUPLICATE RECORD",IF(AND($K1424=2,COUNTIFS(nrES_PID,$D1424,nrES_Code,$F1424,nrES_Att,1)=0),"ATTEMPT 2 WITHOUT ATTEMPT 1",IF(AND($K1424=2,$L1424=""),"RETEST ROW HAS NO SCORE",IF(AND($H1424="Final",$L1424&lt;&gt;"",IFERROR(INDEX(nrCKfinalExamElig,MATCH($D1424,rngCadetPIDs,0)),"")="No"),"FINAL EXAM AFTER FAILED FINAL PT (500.1.H)","OK")))))))</f>
        <v/>
      </c>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IF($C1425="","",IF($K1425="","",IF(COUNTIFS(nrES_PID,$D1425,nrES_Code,$F1425,nrES_Att,"&gt;"&amp;$K1425,nrES_Raw,"&gt;=0")=0,"Yes","No")))</f>
        <v/>
      </c>
      <c r="Q1425" s="17">
        <f>IF($C1425="","",IF($L1425="","",IF(AND($K1425=1,ISNUMBER($L1425),$L1425&lt;$J1425,COUNTIFS(nrES_PID,$D1425,nrES_Code,$F1425,nrES_Att,2,nrES_Raw,"&gt;=0")=0),"Yes","No")))</f>
        <v/>
      </c>
      <c r="R1425" s="17">
        <f>IF($C1425="","",IF($L1425="","",IF(AND($K1425=2,ISNUMBER($L1425),$L1425&lt;$J1425),"Yes","No")))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OR($C1425="",$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RANGE",IF(COUNTIF(nrES_RecID,$B1425)&gt;1,"DUPLICATE RECORD",IF(AND($K1425=2,COUNTIFS(nrES_PID,$D1425,nrES_Code,$F1425,nrES_Att,1)=0),"ATTEMPT 2 WITHOUT ATTEMPT 1",IF(AND($K1425=2,$L1425=""),"RETEST ROW HAS NO SCORE",IF(AND($H1425="Final",$L1425&lt;&gt;"",IFERROR(INDEX(nrCKfinalExamElig,MATCH($D1425,rngCadetPIDs,0)),"")="No"),"FINAL EXAM AFTER FAILED FINAL PT (500.1.H)","OK")))))))</f>
        <v/>
      </c>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IF($C1426="","",IF($K1426="","",IF(COUNTIFS(nrES_PID,$D1426,nrES_Code,$F1426,nrES_Att,"&gt;"&amp;$K1426,nrES_Raw,"&gt;=0")=0,"Yes","No")))</f>
        <v/>
      </c>
      <c r="Q1426" s="17">
        <f>IF($C1426="","",IF($L1426="","",IF(AND($K1426=1,ISNUMBER($L1426),$L1426&lt;$J1426,COUNTIFS(nrES_PID,$D1426,nrES_Code,$F1426,nrES_Att,2,nrES_Raw,"&gt;=0")=0),"Yes","No")))</f>
        <v/>
      </c>
      <c r="R1426" s="17">
        <f>IF($C1426="","",IF($L1426="","",IF(AND($K1426=2,ISNUMBER($L1426),$L1426&lt;$J1426),"Yes","No")))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OR($C1426="",$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RANGE",IF(COUNTIF(nrES_RecID,$B1426)&gt;1,"DUPLICATE RECORD",IF(AND($K1426=2,COUNTIFS(nrES_PID,$D1426,nrES_Code,$F1426,nrES_Att,1)=0),"ATTEMPT 2 WITHOUT ATTEMPT 1",IF(AND($K1426=2,$L1426=""),"RETEST ROW HAS NO SCORE",IF(AND($H1426="Final",$L1426&lt;&gt;"",IFERROR(INDEX(nrCKfinalExamElig,MATCH($D1426,rngCadetPIDs,0)),"")="No"),"FINAL EXAM AFTER FAILED FINAL PT (500.1.H)","OK")))))))</f>
        <v/>
      </c>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IF($C1427="","",IF($K1427="","",IF(COUNTIFS(nrES_PID,$D1427,nrES_Code,$F1427,nrES_Att,"&gt;"&amp;$K1427,nrES_Raw,"&gt;=0")=0,"Yes","No")))</f>
        <v/>
      </c>
      <c r="Q1427" s="17">
        <f>IF($C1427="","",IF($L1427="","",IF(AND($K1427=1,ISNUMBER($L1427),$L1427&lt;$J1427,COUNTIFS(nrES_PID,$D1427,nrES_Code,$F1427,nrES_Att,2,nrES_Raw,"&gt;=0")=0),"Yes","No")))</f>
        <v/>
      </c>
      <c r="R1427" s="17">
        <f>IF($C1427="","",IF($L1427="","",IF(AND($K1427=2,ISNUMBER($L1427),$L1427&lt;$J1427),"Yes","No")))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OR($C1427="",$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RANGE",IF(COUNTIF(nrES_RecID,$B1427)&gt;1,"DUPLICATE RECORD",IF(AND($K1427=2,COUNTIFS(nrES_PID,$D1427,nrES_Code,$F1427,nrES_Att,1)=0),"ATTEMPT 2 WITHOUT ATTEMPT 1",IF(AND($K1427=2,$L1427=""),"RETEST ROW HAS NO SCORE",IF(AND($H1427="Final",$L1427&lt;&gt;"",IFERROR(INDEX(nrCKfinalExamElig,MATCH($D1427,rngCadetPIDs,0)),"")="No"),"FINAL EXAM AFTER FAILED FINAL PT (500.1.H)","OK")))))))</f>
        <v/>
      </c>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IF($C1428="","",IF($K1428="","",IF(COUNTIFS(nrES_PID,$D1428,nrES_Code,$F1428,nrES_Att,"&gt;"&amp;$K1428,nrES_Raw,"&gt;=0")=0,"Yes","No")))</f>
        <v/>
      </c>
      <c r="Q1428" s="17">
        <f>IF($C1428="","",IF($L1428="","",IF(AND($K1428=1,ISNUMBER($L1428),$L1428&lt;$J1428,COUNTIFS(nrES_PID,$D1428,nrES_Code,$F1428,nrES_Att,2,nrES_Raw,"&gt;=0")=0),"Yes","No")))</f>
        <v/>
      </c>
      <c r="R1428" s="17">
        <f>IF($C1428="","",IF($L1428="","",IF(AND($K1428=2,ISNUMBER($L1428),$L1428&lt;$J1428),"Yes","No")))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OR($C1428="",$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RANGE",IF(COUNTIF(nrES_RecID,$B1428)&gt;1,"DUPLICATE RECORD",IF(AND($K1428=2,COUNTIFS(nrES_PID,$D1428,nrES_Code,$F1428,nrES_Att,1)=0),"ATTEMPT 2 WITHOUT ATTEMPT 1",IF(AND($K1428=2,$L1428=""),"RETEST ROW HAS NO SCORE",IF(AND($H1428="Final",$L1428&lt;&gt;"",IFERROR(INDEX(nrCKfinalExamElig,MATCH($D1428,rngCadetPIDs,0)),"")="No"),"FINAL EXAM AFTER FAILED FINAL PT (500.1.H)","OK")))))))</f>
        <v/>
      </c>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IF($C1429="","",IF($K1429="","",IF(COUNTIFS(nrES_PID,$D1429,nrES_Code,$F1429,nrES_Att,"&gt;"&amp;$K1429,nrES_Raw,"&gt;=0")=0,"Yes","No")))</f>
        <v/>
      </c>
      <c r="Q1429" s="17">
        <f>IF($C1429="","",IF($L1429="","",IF(AND($K1429=1,ISNUMBER($L1429),$L1429&lt;$J1429,COUNTIFS(nrES_PID,$D1429,nrES_Code,$F1429,nrES_Att,2,nrES_Raw,"&gt;=0")=0),"Yes","No")))</f>
        <v/>
      </c>
      <c r="R1429" s="17">
        <f>IF($C1429="","",IF($L1429="","",IF(AND($K1429=2,ISNUMBER($L1429),$L1429&lt;$J1429),"Yes","No")))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OR($C1429="",$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RANGE",IF(COUNTIF(nrES_RecID,$B1429)&gt;1,"DUPLICATE RECORD",IF(AND($K1429=2,COUNTIFS(nrES_PID,$D1429,nrES_Code,$F1429,nrES_Att,1)=0),"ATTEMPT 2 WITHOUT ATTEMPT 1",IF(AND($K1429=2,$L1429=""),"RETEST ROW HAS NO SCORE",IF(AND($H1429="Final",$L1429&lt;&gt;"",IFERROR(INDEX(nrCKfinalExamElig,MATCH($D1429,rngCadetPIDs,0)),"")="No"),"FINAL EXAM AFTER FAILED FINAL PT (500.1.H)","OK")))))))</f>
        <v/>
      </c>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IF($C1430="","",IF($K1430="","",IF(COUNTIFS(nrES_PID,$D1430,nrES_Code,$F1430,nrES_Att,"&gt;"&amp;$K1430,nrES_Raw,"&gt;=0")=0,"Yes","No")))</f>
        <v/>
      </c>
      <c r="Q1430" s="17">
        <f>IF($C1430="","",IF($L1430="","",IF(AND($K1430=1,ISNUMBER($L1430),$L1430&lt;$J1430,COUNTIFS(nrES_PID,$D1430,nrES_Code,$F1430,nrES_Att,2,nrES_Raw,"&gt;=0")=0),"Yes","No")))</f>
        <v/>
      </c>
      <c r="R1430" s="17">
        <f>IF($C1430="","",IF($L1430="","",IF(AND($K1430=2,ISNUMBER($L1430),$L1430&lt;$J1430),"Yes","No")))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OR($C1430="",$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RANGE",IF(COUNTIF(nrES_RecID,$B1430)&gt;1,"DUPLICATE RECORD",IF(AND($K1430=2,COUNTIFS(nrES_PID,$D1430,nrES_Code,$F1430,nrES_Att,1)=0),"ATTEMPT 2 WITHOUT ATTEMPT 1",IF(AND($K1430=2,$L1430=""),"RETEST ROW HAS NO SCORE",IF(AND($H1430="Final",$L1430&lt;&gt;"",IFERROR(INDEX(nrCKfinalExamElig,MATCH($D1430,rngCadetPIDs,0)),"")="No"),"FINAL EXAM AFTER FAILED FINAL PT (500.1.H)","OK")))))))</f>
        <v/>
      </c>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IF($C1431="","",IF($K1431="","",IF(COUNTIFS(nrES_PID,$D1431,nrES_Code,$F1431,nrES_Att,"&gt;"&amp;$K1431,nrES_Raw,"&gt;=0")=0,"Yes","No")))</f>
        <v/>
      </c>
      <c r="Q1431" s="17">
        <f>IF($C1431="","",IF($L1431="","",IF(AND($K1431=1,ISNUMBER($L1431),$L1431&lt;$J1431,COUNTIFS(nrES_PID,$D1431,nrES_Code,$F1431,nrES_Att,2,nrES_Raw,"&gt;=0")=0),"Yes","No")))</f>
        <v/>
      </c>
      <c r="R1431" s="17">
        <f>IF($C1431="","",IF($L1431="","",IF(AND($K1431=2,ISNUMBER($L1431),$L1431&lt;$J1431),"Yes","No")))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OR($C1431="",$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RANGE",IF(COUNTIF(nrES_RecID,$B1431)&gt;1,"DUPLICATE RECORD",IF(AND($K1431=2,COUNTIFS(nrES_PID,$D1431,nrES_Code,$F1431,nrES_Att,1)=0),"ATTEMPT 2 WITHOUT ATTEMPT 1",IF(AND($K1431=2,$L1431=""),"RETEST ROW HAS NO SCORE",IF(AND($H1431="Final",$L1431&lt;&gt;"",IFERROR(INDEX(nrCKfinalExamElig,MATCH($D1431,rngCadetPIDs,0)),"")="No"),"FINAL EXAM AFTER FAILED FINAL PT (500.1.H)","OK")))))))</f>
        <v/>
      </c>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IF($C1432="","",IF($K1432="","",IF(COUNTIFS(nrES_PID,$D1432,nrES_Code,$F1432,nrES_Att,"&gt;"&amp;$K1432,nrES_Raw,"&gt;=0")=0,"Yes","No")))</f>
        <v/>
      </c>
      <c r="Q1432" s="17">
        <f>IF($C1432="","",IF($L1432="","",IF(AND($K1432=1,ISNUMBER($L1432),$L1432&lt;$J1432,COUNTIFS(nrES_PID,$D1432,nrES_Code,$F1432,nrES_Att,2,nrES_Raw,"&gt;=0")=0),"Yes","No")))</f>
        <v/>
      </c>
      <c r="R1432" s="17">
        <f>IF($C1432="","",IF($L1432="","",IF(AND($K1432=2,ISNUMBER($L1432),$L1432&lt;$J1432),"Yes","No")))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OR($C1432="",$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RANGE",IF(COUNTIF(nrES_RecID,$B1432)&gt;1,"DUPLICATE RECORD",IF(AND($K1432=2,COUNTIFS(nrES_PID,$D1432,nrES_Code,$F1432,nrES_Att,1)=0),"ATTEMPT 2 WITHOUT ATTEMPT 1",IF(AND($K1432=2,$L1432=""),"RETEST ROW HAS NO SCORE",IF(AND($H1432="Final",$L1432&lt;&gt;"",IFERROR(INDEX(nrCKfinalExamElig,MATCH($D1432,rngCadetPIDs,0)),"")="No"),"FINAL EXAM AFTER FAILED FINAL PT (500.1.H)","OK")))))))</f>
        <v/>
      </c>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IF($C1433="","",IF($K1433="","",IF(COUNTIFS(nrES_PID,$D1433,nrES_Code,$F1433,nrES_Att,"&gt;"&amp;$K1433,nrES_Raw,"&gt;=0")=0,"Yes","No")))</f>
        <v/>
      </c>
      <c r="Q1433" s="17">
        <f>IF($C1433="","",IF($L1433="","",IF(AND($K1433=1,ISNUMBER($L1433),$L1433&lt;$J1433,COUNTIFS(nrES_PID,$D1433,nrES_Code,$F1433,nrES_Att,2,nrES_Raw,"&gt;=0")=0),"Yes","No")))</f>
        <v/>
      </c>
      <c r="R1433" s="17">
        <f>IF($C1433="","",IF($L1433="","",IF(AND($K1433=2,ISNUMBER($L1433),$L1433&lt;$J1433),"Yes","No")))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OR($C1433="",$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RANGE",IF(COUNTIF(nrES_RecID,$B1433)&gt;1,"DUPLICATE RECORD",IF(AND($K1433=2,COUNTIFS(nrES_PID,$D1433,nrES_Code,$F1433,nrES_Att,1)=0),"ATTEMPT 2 WITHOUT ATTEMPT 1",IF(AND($K1433=2,$L1433=""),"RETEST ROW HAS NO SCORE",IF(AND($H1433="Final",$L1433&lt;&gt;"",IFERROR(INDEX(nrCKfinalExamElig,MATCH($D1433,rngCadetPIDs,0)),"")="No"),"FINAL EXAM AFTER FAILED FINAL PT (500.1.H)","OK")))))))</f>
        <v/>
      </c>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IF($C1434="","",IF($K1434="","",IF(COUNTIFS(nrES_PID,$D1434,nrES_Code,$F1434,nrES_Att,"&gt;"&amp;$K1434,nrES_Raw,"&gt;=0")=0,"Yes","No")))</f>
        <v/>
      </c>
      <c r="Q1434" s="17">
        <f>IF($C1434="","",IF($L1434="","",IF(AND($K1434=1,ISNUMBER($L1434),$L1434&lt;$J1434,COUNTIFS(nrES_PID,$D1434,nrES_Code,$F1434,nrES_Att,2,nrES_Raw,"&gt;=0")=0),"Yes","No")))</f>
        <v/>
      </c>
      <c r="R1434" s="17">
        <f>IF($C1434="","",IF($L1434="","",IF(AND($K1434=2,ISNUMBER($L1434),$L1434&lt;$J1434),"Yes","No")))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OR($C1434="",$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RANGE",IF(COUNTIF(nrES_RecID,$B1434)&gt;1,"DUPLICATE RECORD",IF(AND($K1434=2,COUNTIFS(nrES_PID,$D1434,nrES_Code,$F1434,nrES_Att,1)=0),"ATTEMPT 2 WITHOUT ATTEMPT 1",IF(AND($K1434=2,$L1434=""),"RETEST ROW HAS NO SCORE",IF(AND($H1434="Final",$L1434&lt;&gt;"",IFERROR(INDEX(nrCKfinalExamElig,MATCH($D1434,rngCadetPIDs,0)),"")="No"),"FINAL EXAM AFTER FAILED FINAL PT (500.1.H)","OK")))))))</f>
        <v/>
      </c>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IF($C1435="","",IF($K1435="","",IF(COUNTIFS(nrES_PID,$D1435,nrES_Code,$F1435,nrES_Att,"&gt;"&amp;$K1435,nrES_Raw,"&gt;=0")=0,"Yes","No")))</f>
        <v/>
      </c>
      <c r="Q1435" s="17">
        <f>IF($C1435="","",IF($L1435="","",IF(AND($K1435=1,ISNUMBER($L1435),$L1435&lt;$J1435,COUNTIFS(nrES_PID,$D1435,nrES_Code,$F1435,nrES_Att,2,nrES_Raw,"&gt;=0")=0),"Yes","No")))</f>
        <v/>
      </c>
      <c r="R1435" s="17">
        <f>IF($C1435="","",IF($L1435="","",IF(AND($K1435=2,ISNUMBER($L1435),$L1435&lt;$J1435),"Yes","No")))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OR($C1435="",$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RANGE",IF(COUNTIF(nrES_RecID,$B1435)&gt;1,"DUPLICATE RECORD",IF(AND($K1435=2,COUNTIFS(nrES_PID,$D1435,nrES_Code,$F1435,nrES_Att,1)=0),"ATTEMPT 2 WITHOUT ATTEMPT 1",IF(AND($K1435=2,$L1435=""),"RETEST ROW HAS NO SCORE",IF(AND($H1435="Final",$L1435&lt;&gt;"",IFERROR(INDEX(nrCKfinalExamElig,MATCH($D1435,rngCadetPIDs,0)),"")="No"),"FINAL EXAM AFTER FAILED FINAL PT (500.1.H)","OK")))))))</f>
        <v/>
      </c>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IF($C1436="","",IF($K1436="","",IF(COUNTIFS(nrES_PID,$D1436,nrES_Code,$F1436,nrES_Att,"&gt;"&amp;$K1436,nrES_Raw,"&gt;=0")=0,"Yes","No")))</f>
        <v/>
      </c>
      <c r="Q1436" s="17">
        <f>IF($C1436="","",IF($L1436="","",IF(AND($K1436=1,ISNUMBER($L1436),$L1436&lt;$J1436,COUNTIFS(nrES_PID,$D1436,nrES_Code,$F1436,nrES_Att,2,nrES_Raw,"&gt;=0")=0),"Yes","No")))</f>
        <v/>
      </c>
      <c r="R1436" s="17">
        <f>IF($C1436="","",IF($L1436="","",IF(AND($K1436=2,ISNUMBER($L1436),$L1436&lt;$J1436),"Yes","No")))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OR($C1436="",$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RANGE",IF(COUNTIF(nrES_RecID,$B1436)&gt;1,"DUPLICATE RECORD",IF(AND($K1436=2,COUNTIFS(nrES_PID,$D1436,nrES_Code,$F1436,nrES_Att,1)=0),"ATTEMPT 2 WITHOUT ATTEMPT 1",IF(AND($K1436=2,$L1436=""),"RETEST ROW HAS NO SCORE",IF(AND($H1436="Final",$L1436&lt;&gt;"",IFERROR(INDEX(nrCKfinalExamElig,MATCH($D1436,rngCadetPIDs,0)),"")="No"),"FINAL EXAM AFTER FAILED FINAL PT (500.1.H)","OK")))))))</f>
        <v/>
      </c>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IF($C1437="","",IF($K1437="","",IF(COUNTIFS(nrES_PID,$D1437,nrES_Code,$F1437,nrES_Att,"&gt;"&amp;$K1437,nrES_Raw,"&gt;=0")=0,"Yes","No")))</f>
        <v/>
      </c>
      <c r="Q1437" s="17">
        <f>IF($C1437="","",IF($L1437="","",IF(AND($K1437=1,ISNUMBER($L1437),$L1437&lt;$J1437,COUNTIFS(nrES_PID,$D1437,nrES_Code,$F1437,nrES_Att,2,nrES_Raw,"&gt;=0")=0),"Yes","No")))</f>
        <v/>
      </c>
      <c r="R1437" s="17">
        <f>IF($C1437="","",IF($L1437="","",IF(AND($K1437=2,ISNUMBER($L1437),$L1437&lt;$J1437),"Yes","No")))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OR($C1437="",$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RANGE",IF(COUNTIF(nrES_RecID,$B1437)&gt;1,"DUPLICATE RECORD",IF(AND($K1437=2,COUNTIFS(nrES_PID,$D1437,nrES_Code,$F1437,nrES_Att,1)=0),"ATTEMPT 2 WITHOUT ATTEMPT 1",IF(AND($K1437=2,$L1437=""),"RETEST ROW HAS NO SCORE",IF(AND($H1437="Final",$L1437&lt;&gt;"",IFERROR(INDEX(nrCKfinalExamElig,MATCH($D1437,rngCadetPIDs,0)),"")="No"),"FINAL EXAM AFTER FAILED FINAL PT (500.1.H)","OK")))))))</f>
        <v/>
      </c>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IF($C1438="","",IF($K1438="","",IF(COUNTIFS(nrES_PID,$D1438,nrES_Code,$F1438,nrES_Att,"&gt;"&amp;$K1438,nrES_Raw,"&gt;=0")=0,"Yes","No")))</f>
        <v/>
      </c>
      <c r="Q1438" s="17">
        <f>IF($C1438="","",IF($L1438="","",IF(AND($K1438=1,ISNUMBER($L1438),$L1438&lt;$J1438,COUNTIFS(nrES_PID,$D1438,nrES_Code,$F1438,nrES_Att,2,nrES_Raw,"&gt;=0")=0),"Yes","No")))</f>
        <v/>
      </c>
      <c r="R1438" s="17">
        <f>IF($C1438="","",IF($L1438="","",IF(AND($K1438=2,ISNUMBER($L1438),$L1438&lt;$J1438),"Yes","No")))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OR($C1438="",$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RANGE",IF(COUNTIF(nrES_RecID,$B1438)&gt;1,"DUPLICATE RECORD",IF(AND($K1438=2,COUNTIFS(nrES_PID,$D1438,nrES_Code,$F1438,nrES_Att,1)=0),"ATTEMPT 2 WITHOUT ATTEMPT 1",IF(AND($K1438=2,$L1438=""),"RETEST ROW HAS NO SCORE",IF(AND($H1438="Final",$L1438&lt;&gt;"",IFERROR(INDEX(nrCKfinalExamElig,MATCH($D1438,rngCadetPIDs,0)),"")="No"),"FINAL EXAM AFTER FAILED FINAL PT (500.1.H)","OK")))))))</f>
        <v/>
      </c>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IF($C1439="","",IF($K1439="","",IF(COUNTIFS(nrES_PID,$D1439,nrES_Code,$F1439,nrES_Att,"&gt;"&amp;$K1439,nrES_Raw,"&gt;=0")=0,"Yes","No")))</f>
        <v/>
      </c>
      <c r="Q1439" s="17">
        <f>IF($C1439="","",IF($L1439="","",IF(AND($K1439=1,ISNUMBER($L1439),$L1439&lt;$J1439,COUNTIFS(nrES_PID,$D1439,nrES_Code,$F1439,nrES_Att,2,nrES_Raw,"&gt;=0")=0),"Yes","No")))</f>
        <v/>
      </c>
      <c r="R1439" s="17">
        <f>IF($C1439="","",IF($L1439="","",IF(AND($K1439=2,ISNUMBER($L1439),$L1439&lt;$J1439),"Yes","No")))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OR($C1439="",$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RANGE",IF(COUNTIF(nrES_RecID,$B1439)&gt;1,"DUPLICATE RECORD",IF(AND($K1439=2,COUNTIFS(nrES_PID,$D1439,nrES_Code,$F1439,nrES_Att,1)=0),"ATTEMPT 2 WITHOUT ATTEMPT 1",IF(AND($K1439=2,$L1439=""),"RETEST ROW HAS NO SCORE",IF(AND($H1439="Final",$L1439&lt;&gt;"",IFERROR(INDEX(nrCKfinalExamElig,MATCH($D1439,rngCadetPIDs,0)),"")="No"),"FINAL EXAM AFTER FAILED FINAL PT (500.1.H)","OK")))))))</f>
        <v/>
      </c>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IF($C1440="","",IF($K1440="","",IF(COUNTIFS(nrES_PID,$D1440,nrES_Code,$F1440,nrES_Att,"&gt;"&amp;$K1440,nrES_Raw,"&gt;=0")=0,"Yes","No")))</f>
        <v/>
      </c>
      <c r="Q1440" s="17">
        <f>IF($C1440="","",IF($L1440="","",IF(AND($K1440=1,ISNUMBER($L1440),$L1440&lt;$J1440,COUNTIFS(nrES_PID,$D1440,nrES_Code,$F1440,nrES_Att,2,nrES_Raw,"&gt;=0")=0),"Yes","No")))</f>
        <v/>
      </c>
      <c r="R1440" s="17">
        <f>IF($C1440="","",IF($L1440="","",IF(AND($K1440=2,ISNUMBER($L1440),$L1440&lt;$J1440),"Yes","No")))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OR($C1440="",$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RANGE",IF(COUNTIF(nrES_RecID,$B1440)&gt;1,"DUPLICATE RECORD",IF(AND($K1440=2,COUNTIFS(nrES_PID,$D1440,nrES_Code,$F1440,nrES_Att,1)=0),"ATTEMPT 2 WITHOUT ATTEMPT 1",IF(AND($K1440=2,$L1440=""),"RETEST ROW HAS NO SCORE",IF(AND($H1440="Final",$L1440&lt;&gt;"",IFERROR(INDEX(nrCKfinalExamElig,MATCH($D1440,rngCadetPIDs,0)),"")="No"),"FINAL EXAM AFTER FAILED FINAL PT (500.1.H)","OK")))))))</f>
        <v/>
      </c>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IF($C1441="","",IF($K1441="","",IF(COUNTIFS(nrES_PID,$D1441,nrES_Code,$F1441,nrES_Att,"&gt;"&amp;$K1441,nrES_Raw,"&gt;=0")=0,"Yes","No")))</f>
        <v/>
      </c>
      <c r="Q1441" s="17">
        <f>IF($C1441="","",IF($L1441="","",IF(AND($K1441=1,ISNUMBER($L1441),$L1441&lt;$J1441,COUNTIFS(nrES_PID,$D1441,nrES_Code,$F1441,nrES_Att,2,nrES_Raw,"&gt;=0")=0),"Yes","No")))</f>
        <v/>
      </c>
      <c r="R1441" s="17">
        <f>IF($C1441="","",IF($L1441="","",IF(AND($K1441=2,ISNUMBER($L1441),$L1441&lt;$J1441),"Yes","No")))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OR($C1441="",$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RANGE",IF(COUNTIF(nrES_RecID,$B1441)&gt;1,"DUPLICATE RECORD",IF(AND($K1441=2,COUNTIFS(nrES_PID,$D1441,nrES_Code,$F1441,nrES_Att,1)=0),"ATTEMPT 2 WITHOUT ATTEMPT 1",IF(AND($K1441=2,$L1441=""),"RETEST ROW HAS NO SCORE",IF(AND($H1441="Final",$L1441&lt;&gt;"",IFERROR(INDEX(nrCKfinalExamElig,MATCH($D1441,rngCadetPIDs,0)),"")="No"),"FINAL EXAM AFTER FAILED FINAL PT (500.1.H)","OK")))))))</f>
        <v/>
      </c>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IF($C1442="","",IF($K1442="","",IF(COUNTIFS(nrES_PID,$D1442,nrES_Code,$F1442,nrES_Att,"&gt;"&amp;$K1442,nrES_Raw,"&gt;=0")=0,"Yes","No")))</f>
        <v/>
      </c>
      <c r="Q1442" s="17">
        <f>IF($C1442="","",IF($L1442="","",IF(AND($K1442=1,ISNUMBER($L1442),$L1442&lt;$J1442,COUNTIFS(nrES_PID,$D1442,nrES_Code,$F1442,nrES_Att,2,nrES_Raw,"&gt;=0")=0),"Yes","No")))</f>
        <v/>
      </c>
      <c r="R1442" s="17">
        <f>IF($C1442="","",IF($L1442="","",IF(AND($K1442=2,ISNUMBER($L1442),$L1442&lt;$J1442),"Yes","No")))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OR($C1442="",$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RANGE",IF(COUNTIF(nrES_RecID,$B1442)&gt;1,"DUPLICATE RECORD",IF(AND($K1442=2,COUNTIFS(nrES_PID,$D1442,nrES_Code,$F1442,nrES_Att,1)=0),"ATTEMPT 2 WITHOUT ATTEMPT 1",IF(AND($K1442=2,$L1442=""),"RETEST ROW HAS NO SCORE",IF(AND($H1442="Final",$L1442&lt;&gt;"",IFERROR(INDEX(nrCKfinalExamElig,MATCH($D1442,rngCadetPIDs,0)),"")="No"),"FINAL EXAM AFTER FAILED FINAL PT (500.1.H)","OK")))))))</f>
        <v/>
      </c>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IF($C1443="","",IF($K1443="","",IF(COUNTIFS(nrES_PID,$D1443,nrES_Code,$F1443,nrES_Att,"&gt;"&amp;$K1443,nrES_Raw,"&gt;=0")=0,"Yes","No")))</f>
        <v/>
      </c>
      <c r="Q1443" s="17">
        <f>IF($C1443="","",IF($L1443="","",IF(AND($K1443=1,ISNUMBER($L1443),$L1443&lt;$J1443,COUNTIFS(nrES_PID,$D1443,nrES_Code,$F1443,nrES_Att,2,nrES_Raw,"&gt;=0")=0),"Yes","No")))</f>
        <v/>
      </c>
      <c r="R1443" s="17">
        <f>IF($C1443="","",IF($L1443="","",IF(AND($K1443=2,ISNUMBER($L1443),$L1443&lt;$J1443),"Yes","No")))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OR($C1443="",$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RANGE",IF(COUNTIF(nrES_RecID,$B1443)&gt;1,"DUPLICATE RECORD",IF(AND($K1443=2,COUNTIFS(nrES_PID,$D1443,nrES_Code,$F1443,nrES_Att,1)=0),"ATTEMPT 2 WITHOUT ATTEMPT 1",IF(AND($K1443=2,$L1443=""),"RETEST ROW HAS NO SCORE",IF(AND($H1443="Final",$L1443&lt;&gt;"",IFERROR(INDEX(nrCKfinalExamElig,MATCH($D1443,rngCadetPIDs,0)),"")="No"),"FINAL EXAM AFTER FAILED FINAL PT (500.1.H)","OK")))))))</f>
        <v/>
      </c>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IF($C1444="","",IF($K1444="","",IF(COUNTIFS(nrES_PID,$D1444,nrES_Code,$F1444,nrES_Att,"&gt;"&amp;$K1444,nrES_Raw,"&gt;=0")=0,"Yes","No")))</f>
        <v/>
      </c>
      <c r="Q1444" s="17">
        <f>IF($C1444="","",IF($L1444="","",IF(AND($K1444=1,ISNUMBER($L1444),$L1444&lt;$J1444,COUNTIFS(nrES_PID,$D1444,nrES_Code,$F1444,nrES_Att,2,nrES_Raw,"&gt;=0")=0),"Yes","No")))</f>
        <v/>
      </c>
      <c r="R1444" s="17">
        <f>IF($C1444="","",IF($L1444="","",IF(AND($K1444=2,ISNUMBER($L1444),$L1444&lt;$J1444),"Yes","No")))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OR($C1444="",$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RANGE",IF(COUNTIF(nrES_RecID,$B1444)&gt;1,"DUPLICATE RECORD",IF(AND($K1444=2,COUNTIFS(nrES_PID,$D1444,nrES_Code,$F1444,nrES_Att,1)=0),"ATTEMPT 2 WITHOUT ATTEMPT 1",IF(AND($K1444=2,$L1444=""),"RETEST ROW HAS NO SCORE",IF(AND($H1444="Final",$L1444&lt;&gt;"",IFERROR(INDEX(nrCKfinalExamElig,MATCH($D1444,rngCadetPIDs,0)),"")="No"),"FINAL EXAM AFTER FAILED FINAL PT (500.1.H)","OK")))))))</f>
        <v/>
      </c>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IF($C1445="","",IF($K1445="","",IF(COUNTIFS(nrES_PID,$D1445,nrES_Code,$F1445,nrES_Att,"&gt;"&amp;$K1445,nrES_Raw,"&gt;=0")=0,"Yes","No")))</f>
        <v/>
      </c>
      <c r="Q1445" s="17">
        <f>IF($C1445="","",IF($L1445="","",IF(AND($K1445=1,ISNUMBER($L1445),$L1445&lt;$J1445,COUNTIFS(nrES_PID,$D1445,nrES_Code,$F1445,nrES_Att,2,nrES_Raw,"&gt;=0")=0),"Yes","No")))</f>
        <v/>
      </c>
      <c r="R1445" s="17">
        <f>IF($C1445="","",IF($L1445="","",IF(AND($K1445=2,ISNUMBER($L1445),$L1445&lt;$J1445),"Yes","No")))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OR($C1445="",$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RANGE",IF(COUNTIF(nrES_RecID,$B1445)&gt;1,"DUPLICATE RECORD",IF(AND($K1445=2,COUNTIFS(nrES_PID,$D1445,nrES_Code,$F1445,nrES_Att,1)=0),"ATTEMPT 2 WITHOUT ATTEMPT 1",IF(AND($K1445=2,$L1445=""),"RETEST ROW HAS NO SCORE",IF(AND($H1445="Final",$L1445&lt;&gt;"",IFERROR(INDEX(nrCKfinalExamElig,MATCH($D1445,rngCadetPIDs,0)),"")="No"),"FINAL EXAM AFTER FAILED FINAL PT (500.1.H)","OK")))))))</f>
        <v/>
      </c>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IF($C1446="","",IF($K1446="","",IF(COUNTIFS(nrES_PID,$D1446,nrES_Code,$F1446,nrES_Att,"&gt;"&amp;$K1446,nrES_Raw,"&gt;=0")=0,"Yes","No")))</f>
        <v/>
      </c>
      <c r="Q1446" s="17">
        <f>IF($C1446="","",IF($L1446="","",IF(AND($K1446=1,ISNUMBER($L1446),$L1446&lt;$J1446,COUNTIFS(nrES_PID,$D1446,nrES_Code,$F1446,nrES_Att,2,nrES_Raw,"&gt;=0")=0),"Yes","No")))</f>
        <v/>
      </c>
      <c r="R1446" s="17">
        <f>IF($C1446="","",IF($L1446="","",IF(AND($K1446=2,ISNUMBER($L1446),$L1446&lt;$J1446),"Yes","No")))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OR($C1446="",$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RANGE",IF(COUNTIF(nrES_RecID,$B1446)&gt;1,"DUPLICATE RECORD",IF(AND($K1446=2,COUNTIFS(nrES_PID,$D1446,nrES_Code,$F1446,nrES_Att,1)=0),"ATTEMPT 2 WITHOUT ATTEMPT 1",IF(AND($K1446=2,$L1446=""),"RETEST ROW HAS NO SCORE",IF(AND($H1446="Final",$L1446&lt;&gt;"",IFERROR(INDEX(nrCKfinalExamElig,MATCH($D1446,rngCadetPIDs,0)),"")="No"),"FINAL EXAM AFTER FAILED FINAL PT (500.1.H)","OK")))))))</f>
        <v/>
      </c>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IF($C1447="","",IF($K1447="","",IF(COUNTIFS(nrES_PID,$D1447,nrES_Code,$F1447,nrES_Att,"&gt;"&amp;$K1447,nrES_Raw,"&gt;=0")=0,"Yes","No")))</f>
        <v/>
      </c>
      <c r="Q1447" s="17">
        <f>IF($C1447="","",IF($L1447="","",IF(AND($K1447=1,ISNUMBER($L1447),$L1447&lt;$J1447,COUNTIFS(nrES_PID,$D1447,nrES_Code,$F1447,nrES_Att,2,nrES_Raw,"&gt;=0")=0),"Yes","No")))</f>
        <v/>
      </c>
      <c r="R1447" s="17">
        <f>IF($C1447="","",IF($L1447="","",IF(AND($K1447=2,ISNUMBER($L1447),$L1447&lt;$J1447),"Yes","No")))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OR($C1447="",$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RANGE",IF(COUNTIF(nrES_RecID,$B1447)&gt;1,"DUPLICATE RECORD",IF(AND($K1447=2,COUNTIFS(nrES_PID,$D1447,nrES_Code,$F1447,nrES_Att,1)=0),"ATTEMPT 2 WITHOUT ATTEMPT 1",IF(AND($K1447=2,$L1447=""),"RETEST ROW HAS NO SCORE",IF(AND($H1447="Final",$L1447&lt;&gt;"",IFERROR(INDEX(nrCKfinalExamElig,MATCH($D1447,rngCadetPIDs,0)),"")="No"),"FINAL EXAM AFTER FAILED FINAL PT (500.1.H)","OK")))))))</f>
        <v/>
      </c>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IF($C1448="","",IF($K1448="","",IF(COUNTIFS(nrES_PID,$D1448,nrES_Code,$F1448,nrES_Att,"&gt;"&amp;$K1448,nrES_Raw,"&gt;=0")=0,"Yes","No")))</f>
        <v/>
      </c>
      <c r="Q1448" s="17">
        <f>IF($C1448="","",IF($L1448="","",IF(AND($K1448=1,ISNUMBER($L1448),$L1448&lt;$J1448,COUNTIFS(nrES_PID,$D1448,nrES_Code,$F1448,nrES_Att,2,nrES_Raw,"&gt;=0")=0),"Yes","No")))</f>
        <v/>
      </c>
      <c r="R1448" s="17">
        <f>IF($C1448="","",IF($L1448="","",IF(AND($K1448=2,ISNUMBER($L1448),$L1448&lt;$J1448),"Yes","No")))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OR($C1448="",$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RANGE",IF(COUNTIF(nrES_RecID,$B1448)&gt;1,"DUPLICATE RECORD",IF(AND($K1448=2,COUNTIFS(nrES_PID,$D1448,nrES_Code,$F1448,nrES_Att,1)=0),"ATTEMPT 2 WITHOUT ATTEMPT 1",IF(AND($K1448=2,$L1448=""),"RETEST ROW HAS NO SCORE",IF(AND($H1448="Final",$L1448&lt;&gt;"",IFERROR(INDEX(nrCKfinalExamElig,MATCH($D1448,rngCadetPIDs,0)),"")="No"),"FINAL EXAM AFTER FAILED FINAL PT (500.1.H)","OK")))))))</f>
        <v/>
      </c>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IF($C1449="","",IF($K1449="","",IF(COUNTIFS(nrES_PID,$D1449,nrES_Code,$F1449,nrES_Att,"&gt;"&amp;$K1449,nrES_Raw,"&gt;=0")=0,"Yes","No")))</f>
        <v/>
      </c>
      <c r="Q1449" s="17">
        <f>IF($C1449="","",IF($L1449="","",IF(AND($K1449=1,ISNUMBER($L1449),$L1449&lt;$J1449,COUNTIFS(nrES_PID,$D1449,nrES_Code,$F1449,nrES_Att,2,nrES_Raw,"&gt;=0")=0),"Yes","No")))</f>
        <v/>
      </c>
      <c r="R1449" s="17">
        <f>IF($C1449="","",IF($L1449="","",IF(AND($K1449=2,ISNUMBER($L1449),$L1449&lt;$J1449),"Yes","No")))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OR($C1449="",$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RANGE",IF(COUNTIF(nrES_RecID,$B1449)&gt;1,"DUPLICATE RECORD",IF(AND($K1449=2,COUNTIFS(nrES_PID,$D1449,nrES_Code,$F1449,nrES_Att,1)=0),"ATTEMPT 2 WITHOUT ATTEMPT 1",IF(AND($K1449=2,$L1449=""),"RETEST ROW HAS NO SCORE",IF(AND($H1449="Final",$L1449&lt;&gt;"",IFERROR(INDEX(nrCKfinalExamElig,MATCH($D1449,rngCadetPIDs,0)),"")="No"),"FINAL EXAM AFTER FAILED FINAL PT (500.1.H)","OK")))))))</f>
        <v/>
      </c>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IF($C1450="","",IF($K1450="","",IF(COUNTIFS(nrES_PID,$D1450,nrES_Code,$F1450,nrES_Att,"&gt;"&amp;$K1450,nrES_Raw,"&gt;=0")=0,"Yes","No")))</f>
        <v/>
      </c>
      <c r="Q1450" s="17">
        <f>IF($C1450="","",IF($L1450="","",IF(AND($K1450=1,ISNUMBER($L1450),$L1450&lt;$J1450,COUNTIFS(nrES_PID,$D1450,nrES_Code,$F1450,nrES_Att,2,nrES_Raw,"&gt;=0")=0),"Yes","No")))</f>
        <v/>
      </c>
      <c r="R1450" s="17">
        <f>IF($C1450="","",IF($L1450="","",IF(AND($K1450=2,ISNUMBER($L1450),$L1450&lt;$J1450),"Yes","No")))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OR($C1450="",$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RANGE",IF(COUNTIF(nrES_RecID,$B1450)&gt;1,"DUPLICATE RECORD",IF(AND($K1450=2,COUNTIFS(nrES_PID,$D1450,nrES_Code,$F1450,nrES_Att,1)=0),"ATTEMPT 2 WITHOUT ATTEMPT 1",IF(AND($K1450=2,$L1450=""),"RETEST ROW HAS NO SCORE",IF(AND($H1450="Final",$L1450&lt;&gt;"",IFERROR(INDEX(nrCKfinalExamElig,MATCH($D1450,rngCadetPIDs,0)),"")="No"),"FINAL EXAM AFTER FAILED FINAL PT (500.1.H)","OK")))))))</f>
        <v/>
      </c>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IF($C1451="","",IF($K1451="","",IF(COUNTIFS(nrES_PID,$D1451,nrES_Code,$F1451,nrES_Att,"&gt;"&amp;$K1451,nrES_Raw,"&gt;=0")=0,"Yes","No")))</f>
        <v/>
      </c>
      <c r="Q1451" s="17">
        <f>IF($C1451="","",IF($L1451="","",IF(AND($K1451=1,ISNUMBER($L1451),$L1451&lt;$J1451,COUNTIFS(nrES_PID,$D1451,nrES_Code,$F1451,nrES_Att,2,nrES_Raw,"&gt;=0")=0),"Yes","No")))</f>
        <v/>
      </c>
      <c r="R1451" s="17">
        <f>IF($C1451="","",IF($L1451="","",IF(AND($K1451=2,ISNUMBER($L1451),$L1451&lt;$J1451),"Yes","No")))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OR($C1451="",$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RANGE",IF(COUNTIF(nrES_RecID,$B1451)&gt;1,"DUPLICATE RECORD",IF(AND($K1451=2,COUNTIFS(nrES_PID,$D1451,nrES_Code,$F1451,nrES_Att,1)=0),"ATTEMPT 2 WITHOUT ATTEMPT 1",IF(AND($K1451=2,$L1451=""),"RETEST ROW HAS NO SCORE",IF(AND($H1451="Final",$L1451&lt;&gt;"",IFERROR(INDEX(nrCKfinalExamElig,MATCH($D1451,rngCadetPIDs,0)),"")="No"),"FINAL EXAM AFTER FAILED FINAL PT (500.1.H)","OK")))))))</f>
        <v/>
      </c>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IF($C1452="","",IF($K1452="","",IF(COUNTIFS(nrES_PID,$D1452,nrES_Code,$F1452,nrES_Att,"&gt;"&amp;$K1452,nrES_Raw,"&gt;=0")=0,"Yes","No")))</f>
        <v/>
      </c>
      <c r="Q1452" s="17">
        <f>IF($C1452="","",IF($L1452="","",IF(AND($K1452=1,ISNUMBER($L1452),$L1452&lt;$J1452,COUNTIFS(nrES_PID,$D1452,nrES_Code,$F1452,nrES_Att,2,nrES_Raw,"&gt;=0")=0),"Yes","No")))</f>
        <v/>
      </c>
      <c r="R1452" s="17">
        <f>IF($C1452="","",IF($L1452="","",IF(AND($K1452=2,ISNUMBER($L1452),$L1452&lt;$J1452),"Yes","No")))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OR($C1452="",$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RANGE",IF(COUNTIF(nrES_RecID,$B1452)&gt;1,"DUPLICATE RECORD",IF(AND($K1452=2,COUNTIFS(nrES_PID,$D1452,nrES_Code,$F1452,nrES_Att,1)=0),"ATTEMPT 2 WITHOUT ATTEMPT 1",IF(AND($K1452=2,$L1452=""),"RETEST ROW HAS NO SCORE",IF(AND($H1452="Final",$L1452&lt;&gt;"",IFERROR(INDEX(nrCKfinalExamElig,MATCH($D1452,rngCadetPIDs,0)),"")="No"),"FINAL EXAM AFTER FAILED FINAL PT (500.1.H)","OK")))))))</f>
        <v/>
      </c>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IF($C1453="","",IF($K1453="","",IF(COUNTIFS(nrES_PID,$D1453,nrES_Code,$F1453,nrES_Att,"&gt;"&amp;$K1453,nrES_Raw,"&gt;=0")=0,"Yes","No")))</f>
        <v/>
      </c>
      <c r="Q1453" s="17">
        <f>IF($C1453="","",IF($L1453="","",IF(AND($K1453=1,ISNUMBER($L1453),$L1453&lt;$J1453,COUNTIFS(nrES_PID,$D1453,nrES_Code,$F1453,nrES_Att,2,nrES_Raw,"&gt;=0")=0),"Yes","No")))</f>
        <v/>
      </c>
      <c r="R1453" s="17">
        <f>IF($C1453="","",IF($L1453="","",IF(AND($K1453=2,ISNUMBER($L1453),$L1453&lt;$J1453),"Yes","No")))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OR($C1453="",$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RANGE",IF(COUNTIF(nrES_RecID,$B1453)&gt;1,"DUPLICATE RECORD",IF(AND($K1453=2,COUNTIFS(nrES_PID,$D1453,nrES_Code,$F1453,nrES_Att,1)=0),"ATTEMPT 2 WITHOUT ATTEMPT 1",IF(AND($K1453=2,$L1453=""),"RETEST ROW HAS NO SCORE",IF(AND($H1453="Final",$L1453&lt;&gt;"",IFERROR(INDEX(nrCKfinalExamElig,MATCH($D1453,rngCadetPIDs,0)),"")="No"),"FINAL EXAM AFTER FAILED FINAL PT (500.1.H)","OK")))))))</f>
        <v/>
      </c>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IF($C1454="","",IF($K1454="","",IF(COUNTIFS(nrES_PID,$D1454,nrES_Code,$F1454,nrES_Att,"&gt;"&amp;$K1454,nrES_Raw,"&gt;=0")=0,"Yes","No")))</f>
        <v/>
      </c>
      <c r="Q1454" s="17">
        <f>IF($C1454="","",IF($L1454="","",IF(AND($K1454=1,ISNUMBER($L1454),$L1454&lt;$J1454,COUNTIFS(nrES_PID,$D1454,nrES_Code,$F1454,nrES_Att,2,nrES_Raw,"&gt;=0")=0),"Yes","No")))</f>
        <v/>
      </c>
      <c r="R1454" s="17">
        <f>IF($C1454="","",IF($L1454="","",IF(AND($K1454=2,ISNUMBER($L1454),$L1454&lt;$J1454),"Yes","No")))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OR($C1454="",$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RANGE",IF(COUNTIF(nrES_RecID,$B1454)&gt;1,"DUPLICATE RECORD",IF(AND($K1454=2,COUNTIFS(nrES_PID,$D1454,nrES_Code,$F1454,nrES_Att,1)=0),"ATTEMPT 2 WITHOUT ATTEMPT 1",IF(AND($K1454=2,$L1454=""),"RETEST ROW HAS NO SCORE",IF(AND($H1454="Final",$L1454&lt;&gt;"",IFERROR(INDEX(nrCKfinalExamElig,MATCH($D1454,rngCadetPIDs,0)),"")="No"),"FINAL EXAM AFTER FAILED FINAL PT (500.1.H)","OK")))))))</f>
        <v/>
      </c>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IF($C1455="","",IF($K1455="","",IF(COUNTIFS(nrES_PID,$D1455,nrES_Code,$F1455,nrES_Att,"&gt;"&amp;$K1455,nrES_Raw,"&gt;=0")=0,"Yes","No")))</f>
        <v/>
      </c>
      <c r="Q1455" s="17">
        <f>IF($C1455="","",IF($L1455="","",IF(AND($K1455=1,ISNUMBER($L1455),$L1455&lt;$J1455,COUNTIFS(nrES_PID,$D1455,nrES_Code,$F1455,nrES_Att,2,nrES_Raw,"&gt;=0")=0),"Yes","No")))</f>
        <v/>
      </c>
      <c r="R1455" s="17">
        <f>IF($C1455="","",IF($L1455="","",IF(AND($K1455=2,ISNUMBER($L1455),$L1455&lt;$J1455),"Yes","No")))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OR($C1455="",$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RANGE",IF(COUNTIF(nrES_RecID,$B1455)&gt;1,"DUPLICATE RECORD",IF(AND($K1455=2,COUNTIFS(nrES_PID,$D1455,nrES_Code,$F1455,nrES_Att,1)=0),"ATTEMPT 2 WITHOUT ATTEMPT 1",IF(AND($K1455=2,$L1455=""),"RETEST ROW HAS NO SCORE",IF(AND($H1455="Final",$L1455&lt;&gt;"",IFERROR(INDEX(nrCKfinalExamElig,MATCH($D1455,rngCadetPIDs,0)),"")="No"),"FINAL EXAM AFTER FAILED FINAL PT (500.1.H)","OK")))))))</f>
        <v/>
      </c>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IF($C1456="","",IF($K1456="","",IF(COUNTIFS(nrES_PID,$D1456,nrES_Code,$F1456,nrES_Att,"&gt;"&amp;$K1456,nrES_Raw,"&gt;=0")=0,"Yes","No")))</f>
        <v/>
      </c>
      <c r="Q1456" s="17">
        <f>IF($C1456="","",IF($L1456="","",IF(AND($K1456=1,ISNUMBER($L1456),$L1456&lt;$J1456,COUNTIFS(nrES_PID,$D1456,nrES_Code,$F1456,nrES_Att,2,nrES_Raw,"&gt;=0")=0),"Yes","No")))</f>
        <v/>
      </c>
      <c r="R1456" s="17">
        <f>IF($C1456="","",IF($L1456="","",IF(AND($K1456=2,ISNUMBER($L1456),$L1456&lt;$J1456),"Yes","No")))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OR($C1456="",$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RANGE",IF(COUNTIF(nrES_RecID,$B1456)&gt;1,"DUPLICATE RECORD",IF(AND($K1456=2,COUNTIFS(nrES_PID,$D1456,nrES_Code,$F1456,nrES_Att,1)=0),"ATTEMPT 2 WITHOUT ATTEMPT 1",IF(AND($K1456=2,$L1456=""),"RETEST ROW HAS NO SCORE",IF(AND($H1456="Final",$L1456&lt;&gt;"",IFERROR(INDEX(nrCKfinalExamElig,MATCH($D1456,rngCadetPIDs,0)),"")="No"),"FINAL EXAM AFTER FAILED FINAL PT (500.1.H)","OK")))))))</f>
        <v/>
      </c>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IF($C1457="","",IF($K1457="","",IF(COUNTIFS(nrES_PID,$D1457,nrES_Code,$F1457,nrES_Att,"&gt;"&amp;$K1457,nrES_Raw,"&gt;=0")=0,"Yes","No")))</f>
        <v/>
      </c>
      <c r="Q1457" s="17">
        <f>IF($C1457="","",IF($L1457="","",IF(AND($K1457=1,ISNUMBER($L1457),$L1457&lt;$J1457,COUNTIFS(nrES_PID,$D1457,nrES_Code,$F1457,nrES_Att,2,nrES_Raw,"&gt;=0")=0),"Yes","No")))</f>
        <v/>
      </c>
      <c r="R1457" s="17">
        <f>IF($C1457="","",IF($L1457="","",IF(AND($K1457=2,ISNUMBER($L1457),$L1457&lt;$J1457),"Yes","No")))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OR($C1457="",$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RANGE",IF(COUNTIF(nrES_RecID,$B1457)&gt;1,"DUPLICATE RECORD",IF(AND($K1457=2,COUNTIFS(nrES_PID,$D1457,nrES_Code,$F1457,nrES_Att,1)=0),"ATTEMPT 2 WITHOUT ATTEMPT 1",IF(AND($K1457=2,$L1457=""),"RETEST ROW HAS NO SCORE",IF(AND($H1457="Final",$L1457&lt;&gt;"",IFERROR(INDEX(nrCKfinalExamElig,MATCH($D1457,rngCadetPIDs,0)),"")="No"),"FINAL EXAM AFTER FAILED FINAL PT (500.1.H)","OK")))))))</f>
        <v/>
      </c>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IF($C1458="","",IF($K1458="","",IF(COUNTIFS(nrES_PID,$D1458,nrES_Code,$F1458,nrES_Att,"&gt;"&amp;$K1458,nrES_Raw,"&gt;=0")=0,"Yes","No")))</f>
        <v/>
      </c>
      <c r="Q1458" s="17">
        <f>IF($C1458="","",IF($L1458="","",IF(AND($K1458=1,ISNUMBER($L1458),$L1458&lt;$J1458,COUNTIFS(nrES_PID,$D1458,nrES_Code,$F1458,nrES_Att,2,nrES_Raw,"&gt;=0")=0),"Yes","No")))</f>
        <v/>
      </c>
      <c r="R1458" s="17">
        <f>IF($C1458="","",IF($L1458="","",IF(AND($K1458=2,ISNUMBER($L1458),$L1458&lt;$J1458),"Yes","No")))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OR($C1458="",$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RANGE",IF(COUNTIF(nrES_RecID,$B1458)&gt;1,"DUPLICATE RECORD",IF(AND($K1458=2,COUNTIFS(nrES_PID,$D1458,nrES_Code,$F1458,nrES_Att,1)=0),"ATTEMPT 2 WITHOUT ATTEMPT 1",IF(AND($K1458=2,$L1458=""),"RETEST ROW HAS NO SCORE",IF(AND($H1458="Final",$L1458&lt;&gt;"",IFERROR(INDEX(nrCKfinalExamElig,MATCH($D1458,rngCadetPIDs,0)),"")="No"),"FINAL EXAM AFTER FAILED FINAL PT (500.1.H)","OK")))))))</f>
        <v/>
      </c>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IF($C1459="","",IF($K1459="","",IF(COUNTIFS(nrES_PID,$D1459,nrES_Code,$F1459,nrES_Att,"&gt;"&amp;$K1459,nrES_Raw,"&gt;=0")=0,"Yes","No")))</f>
        <v/>
      </c>
      <c r="Q1459" s="17">
        <f>IF($C1459="","",IF($L1459="","",IF(AND($K1459=1,ISNUMBER($L1459),$L1459&lt;$J1459,COUNTIFS(nrES_PID,$D1459,nrES_Code,$F1459,nrES_Att,2,nrES_Raw,"&gt;=0")=0),"Yes","No")))</f>
        <v/>
      </c>
      <c r="R1459" s="17">
        <f>IF($C1459="","",IF($L1459="","",IF(AND($K1459=2,ISNUMBER($L1459),$L1459&lt;$J1459),"Yes","No")))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OR($C1459="",$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RANGE",IF(COUNTIF(nrES_RecID,$B1459)&gt;1,"DUPLICATE RECORD",IF(AND($K1459=2,COUNTIFS(nrES_PID,$D1459,nrES_Code,$F1459,nrES_Att,1)=0),"ATTEMPT 2 WITHOUT ATTEMPT 1",IF(AND($K1459=2,$L1459=""),"RETEST ROW HAS NO SCORE",IF(AND($H1459="Final",$L1459&lt;&gt;"",IFERROR(INDEX(nrCKfinalExamElig,MATCH($D1459,rngCadetPIDs,0)),"")="No"),"FINAL EXAM AFTER FAILED FINAL PT (500.1.H)","OK")))))))</f>
        <v/>
      </c>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IF($C1460="","",IF($K1460="","",IF(COUNTIFS(nrES_PID,$D1460,nrES_Code,$F1460,nrES_Att,"&gt;"&amp;$K1460,nrES_Raw,"&gt;=0")=0,"Yes","No")))</f>
        <v/>
      </c>
      <c r="Q1460" s="17">
        <f>IF($C1460="","",IF($L1460="","",IF(AND($K1460=1,ISNUMBER($L1460),$L1460&lt;$J1460,COUNTIFS(nrES_PID,$D1460,nrES_Code,$F1460,nrES_Att,2,nrES_Raw,"&gt;=0")=0),"Yes","No")))</f>
        <v/>
      </c>
      <c r="R1460" s="17">
        <f>IF($C1460="","",IF($L1460="","",IF(AND($K1460=2,ISNUMBER($L1460),$L1460&lt;$J1460),"Yes","No")))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OR($C1460="",$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RANGE",IF(COUNTIF(nrES_RecID,$B1460)&gt;1,"DUPLICATE RECORD",IF(AND($K1460=2,COUNTIFS(nrES_PID,$D1460,nrES_Code,$F1460,nrES_Att,1)=0),"ATTEMPT 2 WITHOUT ATTEMPT 1",IF(AND($K1460=2,$L1460=""),"RETEST ROW HAS NO SCORE",IF(AND($H1460="Final",$L1460&lt;&gt;"",IFERROR(INDEX(nrCKfinalExamElig,MATCH($D1460,rngCadetPIDs,0)),"")="No"),"FINAL EXAM AFTER FAILED FINAL PT (500.1.H)","OK")))))))</f>
        <v/>
      </c>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IF($C1461="","",IF($K1461="","",IF(COUNTIFS(nrES_PID,$D1461,nrES_Code,$F1461,nrES_Att,"&gt;"&amp;$K1461,nrES_Raw,"&gt;=0")=0,"Yes","No")))</f>
        <v/>
      </c>
      <c r="Q1461" s="17">
        <f>IF($C1461="","",IF($L1461="","",IF(AND($K1461=1,ISNUMBER($L1461),$L1461&lt;$J1461,COUNTIFS(nrES_PID,$D1461,nrES_Code,$F1461,nrES_Att,2,nrES_Raw,"&gt;=0")=0),"Yes","No")))</f>
        <v/>
      </c>
      <c r="R1461" s="17">
        <f>IF($C1461="","",IF($L1461="","",IF(AND($K1461=2,ISNUMBER($L1461),$L1461&lt;$J1461),"Yes","No")))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OR($C1461="",$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RANGE",IF(COUNTIF(nrES_RecID,$B1461)&gt;1,"DUPLICATE RECORD",IF(AND($K1461=2,COUNTIFS(nrES_PID,$D1461,nrES_Code,$F1461,nrES_Att,1)=0),"ATTEMPT 2 WITHOUT ATTEMPT 1",IF(AND($K1461=2,$L1461=""),"RETEST ROW HAS NO SCORE",IF(AND($H1461="Final",$L1461&lt;&gt;"",IFERROR(INDEX(nrCKfinalExamElig,MATCH($D1461,rngCadetPIDs,0)),"")="No"),"FINAL EXAM AFTER FAILED FINAL PT (500.1.H)","OK")))))))</f>
        <v/>
      </c>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IF($C1462="","",IF($K1462="","",IF(COUNTIFS(nrES_PID,$D1462,nrES_Code,$F1462,nrES_Att,"&gt;"&amp;$K1462,nrES_Raw,"&gt;=0")=0,"Yes","No")))</f>
        <v/>
      </c>
      <c r="Q1462" s="17">
        <f>IF($C1462="","",IF($L1462="","",IF(AND($K1462=1,ISNUMBER($L1462),$L1462&lt;$J1462,COUNTIFS(nrES_PID,$D1462,nrES_Code,$F1462,nrES_Att,2,nrES_Raw,"&gt;=0")=0),"Yes","No")))</f>
        <v/>
      </c>
      <c r="R1462" s="17">
        <f>IF($C1462="","",IF($L1462="","",IF(AND($K1462=2,ISNUMBER($L1462),$L1462&lt;$J1462),"Yes","No")))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OR($C1462="",$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RANGE",IF(COUNTIF(nrES_RecID,$B1462)&gt;1,"DUPLICATE RECORD",IF(AND($K1462=2,COUNTIFS(nrES_PID,$D1462,nrES_Code,$F1462,nrES_Att,1)=0),"ATTEMPT 2 WITHOUT ATTEMPT 1",IF(AND($K1462=2,$L1462=""),"RETEST ROW HAS NO SCORE",IF(AND($H1462="Final",$L1462&lt;&gt;"",IFERROR(INDEX(nrCKfinalExamElig,MATCH($D1462,rngCadetPIDs,0)),"")="No"),"FINAL EXAM AFTER FAILED FINAL PT (500.1.H)","OK")))))))</f>
        <v/>
      </c>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IF($C1463="","",IF($K1463="","",IF(COUNTIFS(nrES_PID,$D1463,nrES_Code,$F1463,nrES_Att,"&gt;"&amp;$K1463,nrES_Raw,"&gt;=0")=0,"Yes","No")))</f>
        <v/>
      </c>
      <c r="Q1463" s="17">
        <f>IF($C1463="","",IF($L1463="","",IF(AND($K1463=1,ISNUMBER($L1463),$L1463&lt;$J1463,COUNTIFS(nrES_PID,$D1463,nrES_Code,$F1463,nrES_Att,2,nrES_Raw,"&gt;=0")=0),"Yes","No")))</f>
        <v/>
      </c>
      <c r="R1463" s="17">
        <f>IF($C1463="","",IF($L1463="","",IF(AND($K1463=2,ISNUMBER($L1463),$L1463&lt;$J1463),"Yes","No")))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OR($C1463="",$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RANGE",IF(COUNTIF(nrES_RecID,$B1463)&gt;1,"DUPLICATE RECORD",IF(AND($K1463=2,COUNTIFS(nrES_PID,$D1463,nrES_Code,$F1463,nrES_Att,1)=0),"ATTEMPT 2 WITHOUT ATTEMPT 1",IF(AND($K1463=2,$L1463=""),"RETEST ROW HAS NO SCORE",IF(AND($H1463="Final",$L1463&lt;&gt;"",IFERROR(INDEX(nrCKfinalExamElig,MATCH($D1463,rngCadetPIDs,0)),"")="No"),"FINAL EXAM AFTER FAILED FINAL PT (500.1.H)","OK")))))))</f>
        <v/>
      </c>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IF($C1464="","",IF($K1464="","",IF(COUNTIFS(nrES_PID,$D1464,nrES_Code,$F1464,nrES_Att,"&gt;"&amp;$K1464,nrES_Raw,"&gt;=0")=0,"Yes","No")))</f>
        <v/>
      </c>
      <c r="Q1464" s="17">
        <f>IF($C1464="","",IF($L1464="","",IF(AND($K1464=1,ISNUMBER($L1464),$L1464&lt;$J1464,COUNTIFS(nrES_PID,$D1464,nrES_Code,$F1464,nrES_Att,2,nrES_Raw,"&gt;=0")=0),"Yes","No")))</f>
        <v/>
      </c>
      <c r="R1464" s="17">
        <f>IF($C1464="","",IF($L1464="","",IF(AND($K1464=2,ISNUMBER($L1464),$L1464&lt;$J1464),"Yes","No")))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OR($C1464="",$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RANGE",IF(COUNTIF(nrES_RecID,$B1464)&gt;1,"DUPLICATE RECORD",IF(AND($K1464=2,COUNTIFS(nrES_PID,$D1464,nrES_Code,$F1464,nrES_Att,1)=0),"ATTEMPT 2 WITHOUT ATTEMPT 1",IF(AND($K1464=2,$L1464=""),"RETEST ROW HAS NO SCORE",IF(AND($H1464="Final",$L1464&lt;&gt;"",IFERROR(INDEX(nrCKfinalExamElig,MATCH($D1464,rngCadetPIDs,0)),"")="No"),"FINAL EXAM AFTER FAILED FINAL PT (500.1.H)","OK")))))))</f>
        <v/>
      </c>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IF($C1465="","",IF($K1465="","",IF(COUNTIFS(nrES_PID,$D1465,nrES_Code,$F1465,nrES_Att,"&gt;"&amp;$K1465,nrES_Raw,"&gt;=0")=0,"Yes","No")))</f>
        <v/>
      </c>
      <c r="Q1465" s="17">
        <f>IF($C1465="","",IF($L1465="","",IF(AND($K1465=1,ISNUMBER($L1465),$L1465&lt;$J1465,COUNTIFS(nrES_PID,$D1465,nrES_Code,$F1465,nrES_Att,2,nrES_Raw,"&gt;=0")=0),"Yes","No")))</f>
        <v/>
      </c>
      <c r="R1465" s="17">
        <f>IF($C1465="","",IF($L1465="","",IF(AND($K1465=2,ISNUMBER($L1465),$L1465&lt;$J1465),"Yes","No")))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OR($C1465="",$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RANGE",IF(COUNTIF(nrES_RecID,$B1465)&gt;1,"DUPLICATE RECORD",IF(AND($K1465=2,COUNTIFS(nrES_PID,$D1465,nrES_Code,$F1465,nrES_Att,1)=0),"ATTEMPT 2 WITHOUT ATTEMPT 1",IF(AND($K1465=2,$L1465=""),"RETEST ROW HAS NO SCORE",IF(AND($H1465="Final",$L1465&lt;&gt;"",IFERROR(INDEX(nrCKfinalExamElig,MATCH($D1465,rngCadetPIDs,0)),"")="No"),"FINAL EXAM AFTER FAILED FINAL PT (500.1.H)","OK")))))))</f>
        <v/>
      </c>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IF($C1466="","",IF($K1466="","",IF(COUNTIFS(nrES_PID,$D1466,nrES_Code,$F1466,nrES_Att,"&gt;"&amp;$K1466,nrES_Raw,"&gt;=0")=0,"Yes","No")))</f>
        <v/>
      </c>
      <c r="Q1466" s="17">
        <f>IF($C1466="","",IF($L1466="","",IF(AND($K1466=1,ISNUMBER($L1466),$L1466&lt;$J1466,COUNTIFS(nrES_PID,$D1466,nrES_Code,$F1466,nrES_Att,2,nrES_Raw,"&gt;=0")=0),"Yes","No")))</f>
        <v/>
      </c>
      <c r="R1466" s="17">
        <f>IF($C1466="","",IF($L1466="","",IF(AND($K1466=2,ISNUMBER($L1466),$L1466&lt;$J1466),"Yes","No")))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OR($C1466="",$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RANGE",IF(COUNTIF(nrES_RecID,$B1466)&gt;1,"DUPLICATE RECORD",IF(AND($K1466=2,COUNTIFS(nrES_PID,$D1466,nrES_Code,$F1466,nrES_Att,1)=0),"ATTEMPT 2 WITHOUT ATTEMPT 1",IF(AND($K1466=2,$L1466=""),"RETEST ROW HAS NO SCORE",IF(AND($H1466="Final",$L1466&lt;&gt;"",IFERROR(INDEX(nrCKfinalExamElig,MATCH($D1466,rngCadetPIDs,0)),"")="No"),"FINAL EXAM AFTER FAILED FINAL PT (500.1.H)","OK")))))))</f>
        <v/>
      </c>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IF($C1467="","",IF($K1467="","",IF(COUNTIFS(nrES_PID,$D1467,nrES_Code,$F1467,nrES_Att,"&gt;"&amp;$K1467,nrES_Raw,"&gt;=0")=0,"Yes","No")))</f>
        <v/>
      </c>
      <c r="Q1467" s="17">
        <f>IF($C1467="","",IF($L1467="","",IF(AND($K1467=1,ISNUMBER($L1467),$L1467&lt;$J1467,COUNTIFS(nrES_PID,$D1467,nrES_Code,$F1467,nrES_Att,2,nrES_Raw,"&gt;=0")=0),"Yes","No")))</f>
        <v/>
      </c>
      <c r="R1467" s="17">
        <f>IF($C1467="","",IF($L1467="","",IF(AND($K1467=2,ISNUMBER($L1467),$L1467&lt;$J1467),"Yes","No")))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OR($C1467="",$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RANGE",IF(COUNTIF(nrES_RecID,$B1467)&gt;1,"DUPLICATE RECORD",IF(AND($K1467=2,COUNTIFS(nrES_PID,$D1467,nrES_Code,$F1467,nrES_Att,1)=0),"ATTEMPT 2 WITHOUT ATTEMPT 1",IF(AND($K1467=2,$L1467=""),"RETEST ROW HAS NO SCORE",IF(AND($H1467="Final",$L1467&lt;&gt;"",IFERROR(INDEX(nrCKfinalExamElig,MATCH($D1467,rngCadetPIDs,0)),"")="No"),"FINAL EXAM AFTER FAILED FINAL PT (500.1.H)","OK")))))))</f>
        <v/>
      </c>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IF($C1468="","",IF($K1468="","",IF(COUNTIFS(nrES_PID,$D1468,nrES_Code,$F1468,nrES_Att,"&gt;"&amp;$K1468,nrES_Raw,"&gt;=0")=0,"Yes","No")))</f>
        <v/>
      </c>
      <c r="Q1468" s="17">
        <f>IF($C1468="","",IF($L1468="","",IF(AND($K1468=1,ISNUMBER($L1468),$L1468&lt;$J1468,COUNTIFS(nrES_PID,$D1468,nrES_Code,$F1468,nrES_Att,2,nrES_Raw,"&gt;=0")=0),"Yes","No")))</f>
        <v/>
      </c>
      <c r="R1468" s="17">
        <f>IF($C1468="","",IF($L1468="","",IF(AND($K1468=2,ISNUMBER($L1468),$L1468&lt;$J1468),"Yes","No")))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OR($C1468="",$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RANGE",IF(COUNTIF(nrES_RecID,$B1468)&gt;1,"DUPLICATE RECORD",IF(AND($K1468=2,COUNTIFS(nrES_PID,$D1468,nrES_Code,$F1468,nrES_Att,1)=0),"ATTEMPT 2 WITHOUT ATTEMPT 1",IF(AND($K1468=2,$L1468=""),"RETEST ROW HAS NO SCORE",IF(AND($H1468="Final",$L1468&lt;&gt;"",IFERROR(INDEX(nrCKfinalExamElig,MATCH($D1468,rngCadetPIDs,0)),"")="No"),"FINAL EXAM AFTER FAILED FINAL PT (500.1.H)","OK")))))))</f>
        <v/>
      </c>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IF($C1469="","",IF($K1469="","",IF(COUNTIFS(nrES_PID,$D1469,nrES_Code,$F1469,nrES_Att,"&gt;"&amp;$K1469,nrES_Raw,"&gt;=0")=0,"Yes","No")))</f>
        <v/>
      </c>
      <c r="Q1469" s="17">
        <f>IF($C1469="","",IF($L1469="","",IF(AND($K1469=1,ISNUMBER($L1469),$L1469&lt;$J1469,COUNTIFS(nrES_PID,$D1469,nrES_Code,$F1469,nrES_Att,2,nrES_Raw,"&gt;=0")=0),"Yes","No")))</f>
        <v/>
      </c>
      <c r="R1469" s="17">
        <f>IF($C1469="","",IF($L1469="","",IF(AND($K1469=2,ISNUMBER($L1469),$L1469&lt;$J1469),"Yes","No")))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OR($C1469="",$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RANGE",IF(COUNTIF(nrES_RecID,$B1469)&gt;1,"DUPLICATE RECORD",IF(AND($K1469=2,COUNTIFS(nrES_PID,$D1469,nrES_Code,$F1469,nrES_Att,1)=0),"ATTEMPT 2 WITHOUT ATTEMPT 1",IF(AND($K1469=2,$L1469=""),"RETEST ROW HAS NO SCORE",IF(AND($H1469="Final",$L1469&lt;&gt;"",IFERROR(INDEX(nrCKfinalExamElig,MATCH($D1469,rngCadetPIDs,0)),"")="No"),"FINAL EXAM AFTER FAILED FINAL PT (500.1.H)","OK")))))))</f>
        <v/>
      </c>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IF($C1470="","",IF($K1470="","",IF(COUNTIFS(nrES_PID,$D1470,nrES_Code,$F1470,nrES_Att,"&gt;"&amp;$K1470,nrES_Raw,"&gt;=0")=0,"Yes","No")))</f>
        <v/>
      </c>
      <c r="Q1470" s="17">
        <f>IF($C1470="","",IF($L1470="","",IF(AND($K1470=1,ISNUMBER($L1470),$L1470&lt;$J1470,COUNTIFS(nrES_PID,$D1470,nrES_Code,$F1470,nrES_Att,2,nrES_Raw,"&gt;=0")=0),"Yes","No")))</f>
        <v/>
      </c>
      <c r="R1470" s="17">
        <f>IF($C1470="","",IF($L1470="","",IF(AND($K1470=2,ISNUMBER($L1470),$L1470&lt;$J1470),"Yes","No")))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OR($C1470="",$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RANGE",IF(COUNTIF(nrES_RecID,$B1470)&gt;1,"DUPLICATE RECORD",IF(AND($K1470=2,COUNTIFS(nrES_PID,$D1470,nrES_Code,$F1470,nrES_Att,1)=0),"ATTEMPT 2 WITHOUT ATTEMPT 1",IF(AND($K1470=2,$L1470=""),"RETEST ROW HAS NO SCORE",IF(AND($H1470="Final",$L1470&lt;&gt;"",IFERROR(INDEX(nrCKfinalExamElig,MATCH($D1470,rngCadetPIDs,0)),"")="No"),"FINAL EXAM AFTER FAILED FINAL PT (500.1.H)","OK")))))))</f>
        <v/>
      </c>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IF($C1471="","",IF($K1471="","",IF(COUNTIFS(nrES_PID,$D1471,nrES_Code,$F1471,nrES_Att,"&gt;"&amp;$K1471,nrES_Raw,"&gt;=0")=0,"Yes","No")))</f>
        <v/>
      </c>
      <c r="Q1471" s="17">
        <f>IF($C1471="","",IF($L1471="","",IF(AND($K1471=1,ISNUMBER($L1471),$L1471&lt;$J1471,COUNTIFS(nrES_PID,$D1471,nrES_Code,$F1471,nrES_Att,2,nrES_Raw,"&gt;=0")=0),"Yes","No")))</f>
        <v/>
      </c>
      <c r="R1471" s="17">
        <f>IF($C1471="","",IF($L1471="","",IF(AND($K1471=2,ISNUMBER($L1471),$L1471&lt;$J1471),"Yes","No")))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OR($C1471="",$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RANGE",IF(COUNTIF(nrES_RecID,$B1471)&gt;1,"DUPLICATE RECORD",IF(AND($K1471=2,COUNTIFS(nrES_PID,$D1471,nrES_Code,$F1471,nrES_Att,1)=0),"ATTEMPT 2 WITHOUT ATTEMPT 1",IF(AND($K1471=2,$L1471=""),"RETEST ROW HAS NO SCORE",IF(AND($H1471="Final",$L1471&lt;&gt;"",IFERROR(INDEX(nrCKfinalExamElig,MATCH($D1471,rngCadetPIDs,0)),"")="No"),"FINAL EXAM AFTER FAILED FINAL PT (500.1.H)","OK")))))))</f>
        <v/>
      </c>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IF($C1472="","",IF($K1472="","",IF(COUNTIFS(nrES_PID,$D1472,nrES_Code,$F1472,nrES_Att,"&gt;"&amp;$K1472,nrES_Raw,"&gt;=0")=0,"Yes","No")))</f>
        <v/>
      </c>
      <c r="Q1472" s="17">
        <f>IF($C1472="","",IF($L1472="","",IF(AND($K1472=1,ISNUMBER($L1472),$L1472&lt;$J1472,COUNTIFS(nrES_PID,$D1472,nrES_Code,$F1472,nrES_Att,2,nrES_Raw,"&gt;=0")=0),"Yes","No")))</f>
        <v/>
      </c>
      <c r="R1472" s="17">
        <f>IF($C1472="","",IF($L1472="","",IF(AND($K1472=2,ISNUMBER($L1472),$L1472&lt;$J1472),"Yes","No")))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OR($C1472="",$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RANGE",IF(COUNTIF(nrES_RecID,$B1472)&gt;1,"DUPLICATE RECORD",IF(AND($K1472=2,COUNTIFS(nrES_PID,$D1472,nrES_Code,$F1472,nrES_Att,1)=0),"ATTEMPT 2 WITHOUT ATTEMPT 1",IF(AND($K1472=2,$L1472=""),"RETEST ROW HAS NO SCORE",IF(AND($H1472="Final",$L1472&lt;&gt;"",IFERROR(INDEX(nrCKfinalExamElig,MATCH($D1472,rngCadetPIDs,0)),"")="No"),"FINAL EXAM AFTER FAILED FINAL PT (500.1.H)","OK")))))))</f>
        <v/>
      </c>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IF($C1473="","",IF($K1473="","",IF(COUNTIFS(nrES_PID,$D1473,nrES_Code,$F1473,nrES_Att,"&gt;"&amp;$K1473,nrES_Raw,"&gt;=0")=0,"Yes","No")))</f>
        <v/>
      </c>
      <c r="Q1473" s="17">
        <f>IF($C1473="","",IF($L1473="","",IF(AND($K1473=1,ISNUMBER($L1473),$L1473&lt;$J1473,COUNTIFS(nrES_PID,$D1473,nrES_Code,$F1473,nrES_Att,2,nrES_Raw,"&gt;=0")=0),"Yes","No")))</f>
        <v/>
      </c>
      <c r="R1473" s="17">
        <f>IF($C1473="","",IF($L1473="","",IF(AND($K1473=2,ISNUMBER($L1473),$L1473&lt;$J1473),"Yes","No")))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OR($C1473="",$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RANGE",IF(COUNTIF(nrES_RecID,$B1473)&gt;1,"DUPLICATE RECORD",IF(AND($K1473=2,COUNTIFS(nrES_PID,$D1473,nrES_Code,$F1473,nrES_Att,1)=0),"ATTEMPT 2 WITHOUT ATTEMPT 1",IF(AND($K1473=2,$L1473=""),"RETEST ROW HAS NO SCORE",IF(AND($H1473="Final",$L1473&lt;&gt;"",IFERROR(INDEX(nrCKfinalExamElig,MATCH($D1473,rngCadetPIDs,0)),"")="No"),"FINAL EXAM AFTER FAILED FINAL PT (500.1.H)","OK")))))))</f>
        <v/>
      </c>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IF($C1474="","",IF($K1474="","",IF(COUNTIFS(nrES_PID,$D1474,nrES_Code,$F1474,nrES_Att,"&gt;"&amp;$K1474,nrES_Raw,"&gt;=0")=0,"Yes","No")))</f>
        <v/>
      </c>
      <c r="Q1474" s="17">
        <f>IF($C1474="","",IF($L1474="","",IF(AND($K1474=1,ISNUMBER($L1474),$L1474&lt;$J1474,COUNTIFS(nrES_PID,$D1474,nrES_Code,$F1474,nrES_Att,2,nrES_Raw,"&gt;=0")=0),"Yes","No")))</f>
        <v/>
      </c>
      <c r="R1474" s="17">
        <f>IF($C1474="","",IF($L1474="","",IF(AND($K1474=2,ISNUMBER($L1474),$L1474&lt;$J1474),"Yes","No")))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OR($C1474="",$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RANGE",IF(COUNTIF(nrES_RecID,$B1474)&gt;1,"DUPLICATE RECORD",IF(AND($K1474=2,COUNTIFS(nrES_PID,$D1474,nrES_Code,$F1474,nrES_Att,1)=0),"ATTEMPT 2 WITHOUT ATTEMPT 1",IF(AND($K1474=2,$L1474=""),"RETEST ROW HAS NO SCORE",IF(AND($H1474="Final",$L1474&lt;&gt;"",IFERROR(INDEX(nrCKfinalExamElig,MATCH($D1474,rngCadetPIDs,0)),"")="No"),"FINAL EXAM AFTER FAILED FINAL PT (500.1.H)","OK")))))))</f>
        <v/>
      </c>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IF($C1475="","",IF($K1475="","",IF(COUNTIFS(nrES_PID,$D1475,nrES_Code,$F1475,nrES_Att,"&gt;"&amp;$K1475,nrES_Raw,"&gt;=0")=0,"Yes","No")))</f>
        <v/>
      </c>
      <c r="Q1475" s="17">
        <f>IF($C1475="","",IF($L1475="","",IF(AND($K1475=1,ISNUMBER($L1475),$L1475&lt;$J1475,COUNTIFS(nrES_PID,$D1475,nrES_Code,$F1475,nrES_Att,2,nrES_Raw,"&gt;=0")=0),"Yes","No")))</f>
        <v/>
      </c>
      <c r="R1475" s="17">
        <f>IF($C1475="","",IF($L1475="","",IF(AND($K1475=2,ISNUMBER($L1475),$L1475&lt;$J1475),"Yes","No")))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OR($C1475="",$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RANGE",IF(COUNTIF(nrES_RecID,$B1475)&gt;1,"DUPLICATE RECORD",IF(AND($K1475=2,COUNTIFS(nrES_PID,$D1475,nrES_Code,$F1475,nrES_Att,1)=0),"ATTEMPT 2 WITHOUT ATTEMPT 1",IF(AND($K1475=2,$L1475=""),"RETEST ROW HAS NO SCORE",IF(AND($H1475="Final",$L1475&lt;&gt;"",IFERROR(INDEX(nrCKfinalExamElig,MATCH($D1475,rngCadetPIDs,0)),"")="No"),"FINAL EXAM AFTER FAILED FINAL PT (500.1.H)","OK")))))))</f>
        <v/>
      </c>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IF($C1476="","",IF($K1476="","",IF(COUNTIFS(nrES_PID,$D1476,nrES_Code,$F1476,nrES_Att,"&gt;"&amp;$K1476,nrES_Raw,"&gt;=0")=0,"Yes","No")))</f>
        <v/>
      </c>
      <c r="Q1476" s="17">
        <f>IF($C1476="","",IF($L1476="","",IF(AND($K1476=1,ISNUMBER($L1476),$L1476&lt;$J1476,COUNTIFS(nrES_PID,$D1476,nrES_Code,$F1476,nrES_Att,2,nrES_Raw,"&gt;=0")=0),"Yes","No")))</f>
        <v/>
      </c>
      <c r="R1476" s="17">
        <f>IF($C1476="","",IF($L1476="","",IF(AND($K1476=2,ISNUMBER($L1476),$L1476&lt;$J1476),"Yes","No")))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OR($C1476="",$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RANGE",IF(COUNTIF(nrES_RecID,$B1476)&gt;1,"DUPLICATE RECORD",IF(AND($K1476=2,COUNTIFS(nrES_PID,$D1476,nrES_Code,$F1476,nrES_Att,1)=0),"ATTEMPT 2 WITHOUT ATTEMPT 1",IF(AND($K1476=2,$L1476=""),"RETEST ROW HAS NO SCORE",IF(AND($H1476="Final",$L1476&lt;&gt;"",IFERROR(INDEX(nrCKfinalExamElig,MATCH($D1476,rngCadetPIDs,0)),"")="No"),"FINAL EXAM AFTER FAILED FINAL PT (500.1.H)","OK")))))))</f>
        <v/>
      </c>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IF($C1477="","",IF($K1477="","",IF(COUNTIFS(nrES_PID,$D1477,nrES_Code,$F1477,nrES_Att,"&gt;"&amp;$K1477,nrES_Raw,"&gt;=0")=0,"Yes","No")))</f>
        <v/>
      </c>
      <c r="Q1477" s="17">
        <f>IF($C1477="","",IF($L1477="","",IF(AND($K1477=1,ISNUMBER($L1477),$L1477&lt;$J1477,COUNTIFS(nrES_PID,$D1477,nrES_Code,$F1477,nrES_Att,2,nrES_Raw,"&gt;=0")=0),"Yes","No")))</f>
        <v/>
      </c>
      <c r="R1477" s="17">
        <f>IF($C1477="","",IF($L1477="","",IF(AND($K1477=2,ISNUMBER($L1477),$L1477&lt;$J1477),"Yes","No")))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OR($C1477="",$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RANGE",IF(COUNTIF(nrES_RecID,$B1477)&gt;1,"DUPLICATE RECORD",IF(AND($K1477=2,COUNTIFS(nrES_PID,$D1477,nrES_Code,$F1477,nrES_Att,1)=0),"ATTEMPT 2 WITHOUT ATTEMPT 1",IF(AND($K1477=2,$L1477=""),"RETEST ROW HAS NO SCORE",IF(AND($H1477="Final",$L1477&lt;&gt;"",IFERROR(INDEX(nrCKfinalExamElig,MATCH($D1477,rngCadetPIDs,0)),"")="No"),"FINAL EXAM AFTER FAILED FINAL PT (500.1.H)","OK")))))))</f>
        <v/>
      </c>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IF($C1478="","",IF($K1478="","",IF(COUNTIFS(nrES_PID,$D1478,nrES_Code,$F1478,nrES_Att,"&gt;"&amp;$K1478,nrES_Raw,"&gt;=0")=0,"Yes","No")))</f>
        <v/>
      </c>
      <c r="Q1478" s="17">
        <f>IF($C1478="","",IF($L1478="","",IF(AND($K1478=1,ISNUMBER($L1478),$L1478&lt;$J1478,COUNTIFS(nrES_PID,$D1478,nrES_Code,$F1478,nrES_Att,2,nrES_Raw,"&gt;=0")=0),"Yes","No")))</f>
        <v/>
      </c>
      <c r="R1478" s="17">
        <f>IF($C1478="","",IF($L1478="","",IF(AND($K1478=2,ISNUMBER($L1478),$L1478&lt;$J1478),"Yes","No")))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OR($C1478="",$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RANGE",IF(COUNTIF(nrES_RecID,$B1478)&gt;1,"DUPLICATE RECORD",IF(AND($K1478=2,COUNTIFS(nrES_PID,$D1478,nrES_Code,$F1478,nrES_Att,1)=0),"ATTEMPT 2 WITHOUT ATTEMPT 1",IF(AND($K1478=2,$L1478=""),"RETEST ROW HAS NO SCORE",IF(AND($H1478="Final",$L1478&lt;&gt;"",IFERROR(INDEX(nrCKfinalExamElig,MATCH($D1478,rngCadetPIDs,0)),"")="No"),"FINAL EXAM AFTER FAILED FINAL PT (500.1.H)","OK")))))))</f>
        <v/>
      </c>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IF($C1479="","",IF($K1479="","",IF(COUNTIFS(nrES_PID,$D1479,nrES_Code,$F1479,nrES_Att,"&gt;"&amp;$K1479,nrES_Raw,"&gt;=0")=0,"Yes","No")))</f>
        <v/>
      </c>
      <c r="Q1479" s="17">
        <f>IF($C1479="","",IF($L1479="","",IF(AND($K1479=1,ISNUMBER($L1479),$L1479&lt;$J1479,COUNTIFS(nrES_PID,$D1479,nrES_Code,$F1479,nrES_Att,2,nrES_Raw,"&gt;=0")=0),"Yes","No")))</f>
        <v/>
      </c>
      <c r="R1479" s="17">
        <f>IF($C1479="","",IF($L1479="","",IF(AND($K1479=2,ISNUMBER($L1479),$L1479&lt;$J1479),"Yes","No")))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OR($C1479="",$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RANGE",IF(COUNTIF(nrES_RecID,$B1479)&gt;1,"DUPLICATE RECORD",IF(AND($K1479=2,COUNTIFS(nrES_PID,$D1479,nrES_Code,$F1479,nrES_Att,1)=0),"ATTEMPT 2 WITHOUT ATTEMPT 1",IF(AND($K1479=2,$L1479=""),"RETEST ROW HAS NO SCORE",IF(AND($H1479="Final",$L1479&lt;&gt;"",IFERROR(INDEX(nrCKfinalExamElig,MATCH($D1479,rngCadetPIDs,0)),"")="No"),"FINAL EXAM AFTER FAILED FINAL PT (500.1.H)","OK")))))))</f>
        <v/>
      </c>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IF($C1480="","",IF($K1480="","",IF(COUNTIFS(nrES_PID,$D1480,nrES_Code,$F1480,nrES_Att,"&gt;"&amp;$K1480,nrES_Raw,"&gt;=0")=0,"Yes","No")))</f>
        <v/>
      </c>
      <c r="Q1480" s="17">
        <f>IF($C1480="","",IF($L1480="","",IF(AND($K1480=1,ISNUMBER($L1480),$L1480&lt;$J1480,COUNTIFS(nrES_PID,$D1480,nrES_Code,$F1480,nrES_Att,2,nrES_Raw,"&gt;=0")=0),"Yes","No")))</f>
        <v/>
      </c>
      <c r="R1480" s="17">
        <f>IF($C1480="","",IF($L1480="","",IF(AND($K1480=2,ISNUMBER($L1480),$L1480&lt;$J1480),"Yes","No")))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OR($C1480="",$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RANGE",IF(COUNTIF(nrES_RecID,$B1480)&gt;1,"DUPLICATE RECORD",IF(AND($K1480=2,COUNTIFS(nrES_PID,$D1480,nrES_Code,$F1480,nrES_Att,1)=0),"ATTEMPT 2 WITHOUT ATTEMPT 1",IF(AND($K1480=2,$L1480=""),"RETEST ROW HAS NO SCORE",IF(AND($H1480="Final",$L1480&lt;&gt;"",IFERROR(INDEX(nrCKfinalExamElig,MATCH($D1480,rngCadetPIDs,0)),"")="No"),"FINAL EXAM AFTER FAILED FINAL PT (500.1.H)","OK")))))))</f>
        <v/>
      </c>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IF($C1481="","",IF($K1481="","",IF(COUNTIFS(nrES_PID,$D1481,nrES_Code,$F1481,nrES_Att,"&gt;"&amp;$K1481,nrES_Raw,"&gt;=0")=0,"Yes","No")))</f>
        <v/>
      </c>
      <c r="Q1481" s="17">
        <f>IF($C1481="","",IF($L1481="","",IF(AND($K1481=1,ISNUMBER($L1481),$L1481&lt;$J1481,COUNTIFS(nrES_PID,$D1481,nrES_Code,$F1481,nrES_Att,2,nrES_Raw,"&gt;=0")=0),"Yes","No")))</f>
        <v/>
      </c>
      <c r="R1481" s="17">
        <f>IF($C1481="","",IF($L1481="","",IF(AND($K1481=2,ISNUMBER($L1481),$L1481&lt;$J1481),"Yes","No")))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OR($C1481="",$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RANGE",IF(COUNTIF(nrES_RecID,$B1481)&gt;1,"DUPLICATE RECORD",IF(AND($K1481=2,COUNTIFS(nrES_PID,$D1481,nrES_Code,$F1481,nrES_Att,1)=0),"ATTEMPT 2 WITHOUT ATTEMPT 1",IF(AND($K1481=2,$L1481=""),"RETEST ROW HAS NO SCORE",IF(AND($H1481="Final",$L1481&lt;&gt;"",IFERROR(INDEX(nrCKfinalExamElig,MATCH($D1481,rngCadetPIDs,0)),"")="No"),"FINAL EXAM AFTER FAILED FINAL PT (500.1.H)","OK")))))))</f>
        <v/>
      </c>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IF($C1482="","",IF($K1482="","",IF(COUNTIFS(nrES_PID,$D1482,nrES_Code,$F1482,nrES_Att,"&gt;"&amp;$K1482,nrES_Raw,"&gt;=0")=0,"Yes","No")))</f>
        <v/>
      </c>
      <c r="Q1482" s="17">
        <f>IF($C1482="","",IF($L1482="","",IF(AND($K1482=1,ISNUMBER($L1482),$L1482&lt;$J1482,COUNTIFS(nrES_PID,$D1482,nrES_Code,$F1482,nrES_Att,2,nrES_Raw,"&gt;=0")=0),"Yes","No")))</f>
        <v/>
      </c>
      <c r="R1482" s="17">
        <f>IF($C1482="","",IF($L1482="","",IF(AND($K1482=2,ISNUMBER($L1482),$L1482&lt;$J1482),"Yes","No")))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OR($C1482="",$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RANGE",IF(COUNTIF(nrES_RecID,$B1482)&gt;1,"DUPLICATE RECORD",IF(AND($K1482=2,COUNTIFS(nrES_PID,$D1482,nrES_Code,$F1482,nrES_Att,1)=0),"ATTEMPT 2 WITHOUT ATTEMPT 1",IF(AND($K1482=2,$L1482=""),"RETEST ROW HAS NO SCORE",IF(AND($H1482="Final",$L1482&lt;&gt;"",IFERROR(INDEX(nrCKfinalExamElig,MATCH($D1482,rngCadetPIDs,0)),"")="No"),"FINAL EXAM AFTER FAILED FINAL PT (500.1.H)","OK")))))))</f>
        <v/>
      </c>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IF($C1483="","",IF($K1483="","",IF(COUNTIFS(nrES_PID,$D1483,nrES_Code,$F1483,nrES_Att,"&gt;"&amp;$K1483,nrES_Raw,"&gt;=0")=0,"Yes","No")))</f>
        <v/>
      </c>
      <c r="Q1483" s="17">
        <f>IF($C1483="","",IF($L1483="","",IF(AND($K1483=1,ISNUMBER($L1483),$L1483&lt;$J1483,COUNTIFS(nrES_PID,$D1483,nrES_Code,$F1483,nrES_Att,2,nrES_Raw,"&gt;=0")=0),"Yes","No")))</f>
        <v/>
      </c>
      <c r="R1483" s="17">
        <f>IF($C1483="","",IF($L1483="","",IF(AND($K1483=2,ISNUMBER($L1483),$L1483&lt;$J1483),"Yes","No")))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OR($C1483="",$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RANGE",IF(COUNTIF(nrES_RecID,$B1483)&gt;1,"DUPLICATE RECORD",IF(AND($K1483=2,COUNTIFS(nrES_PID,$D1483,nrES_Code,$F1483,nrES_Att,1)=0),"ATTEMPT 2 WITHOUT ATTEMPT 1",IF(AND($K1483=2,$L1483=""),"RETEST ROW HAS NO SCORE",IF(AND($H1483="Final",$L1483&lt;&gt;"",IFERROR(INDEX(nrCKfinalExamElig,MATCH($D1483,rngCadetPIDs,0)),"")="No"),"FINAL EXAM AFTER FAILED FINAL PT (500.1.H)","OK")))))))</f>
        <v/>
      </c>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IF($C1484="","",IF($K1484="","",IF(COUNTIFS(nrES_PID,$D1484,nrES_Code,$F1484,nrES_Att,"&gt;"&amp;$K1484,nrES_Raw,"&gt;=0")=0,"Yes","No")))</f>
        <v/>
      </c>
      <c r="Q1484" s="17">
        <f>IF($C1484="","",IF($L1484="","",IF(AND($K1484=1,ISNUMBER($L1484),$L1484&lt;$J1484,COUNTIFS(nrES_PID,$D1484,nrES_Code,$F1484,nrES_Att,2,nrES_Raw,"&gt;=0")=0),"Yes","No")))</f>
        <v/>
      </c>
      <c r="R1484" s="17">
        <f>IF($C1484="","",IF($L1484="","",IF(AND($K1484=2,ISNUMBER($L1484),$L1484&lt;$J1484),"Yes","No")))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OR($C1484="",$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RANGE",IF(COUNTIF(nrES_RecID,$B1484)&gt;1,"DUPLICATE RECORD",IF(AND($K1484=2,COUNTIFS(nrES_PID,$D1484,nrES_Code,$F1484,nrES_Att,1)=0),"ATTEMPT 2 WITHOUT ATTEMPT 1",IF(AND($K1484=2,$L1484=""),"RETEST ROW HAS NO SCORE",IF(AND($H1484="Final",$L1484&lt;&gt;"",IFERROR(INDEX(nrCKfinalExamElig,MATCH($D1484,rngCadetPIDs,0)),"")="No"),"FINAL EXAM AFTER FAILED FINAL PT (500.1.H)","OK")))))))</f>
        <v/>
      </c>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IF($C1485="","",IF($K1485="","",IF(COUNTIFS(nrES_PID,$D1485,nrES_Code,$F1485,nrES_Att,"&gt;"&amp;$K1485,nrES_Raw,"&gt;=0")=0,"Yes","No")))</f>
        <v/>
      </c>
      <c r="Q1485" s="17">
        <f>IF($C1485="","",IF($L1485="","",IF(AND($K1485=1,ISNUMBER($L1485),$L1485&lt;$J1485,COUNTIFS(nrES_PID,$D1485,nrES_Code,$F1485,nrES_Att,2,nrES_Raw,"&gt;=0")=0),"Yes","No")))</f>
        <v/>
      </c>
      <c r="R1485" s="17">
        <f>IF($C1485="","",IF($L1485="","",IF(AND($K1485=2,ISNUMBER($L1485),$L1485&lt;$J1485),"Yes","No")))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OR($C1485="",$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RANGE",IF(COUNTIF(nrES_RecID,$B1485)&gt;1,"DUPLICATE RECORD",IF(AND($K1485=2,COUNTIFS(nrES_PID,$D1485,nrES_Code,$F1485,nrES_Att,1)=0),"ATTEMPT 2 WITHOUT ATTEMPT 1",IF(AND($K1485=2,$L1485=""),"RETEST ROW HAS NO SCORE",IF(AND($H1485="Final",$L1485&lt;&gt;"",IFERROR(INDEX(nrCKfinalExamElig,MATCH($D1485,rngCadetPIDs,0)),"")="No"),"FINAL EXAM AFTER FAILED FINAL PT (500.1.H)","OK")))))))</f>
        <v/>
      </c>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IF($C1486="","",IF($K1486="","",IF(COUNTIFS(nrES_PID,$D1486,nrES_Code,$F1486,nrES_Att,"&gt;"&amp;$K1486,nrES_Raw,"&gt;=0")=0,"Yes","No")))</f>
        <v/>
      </c>
      <c r="Q1486" s="17">
        <f>IF($C1486="","",IF($L1486="","",IF(AND($K1486=1,ISNUMBER($L1486),$L1486&lt;$J1486,COUNTIFS(nrES_PID,$D1486,nrES_Code,$F1486,nrES_Att,2,nrES_Raw,"&gt;=0")=0),"Yes","No")))</f>
        <v/>
      </c>
      <c r="R1486" s="17">
        <f>IF($C1486="","",IF($L1486="","",IF(AND($K1486=2,ISNUMBER($L1486),$L1486&lt;$J1486),"Yes","No")))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OR($C1486="",$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RANGE",IF(COUNTIF(nrES_RecID,$B1486)&gt;1,"DUPLICATE RECORD",IF(AND($K1486=2,COUNTIFS(nrES_PID,$D1486,nrES_Code,$F1486,nrES_Att,1)=0),"ATTEMPT 2 WITHOUT ATTEMPT 1",IF(AND($K1486=2,$L1486=""),"RETEST ROW HAS NO SCORE",IF(AND($H1486="Final",$L1486&lt;&gt;"",IFERROR(INDEX(nrCKfinalExamElig,MATCH($D1486,rngCadetPIDs,0)),"")="No"),"FINAL EXAM AFTER FAILED FINAL PT (500.1.H)","OK")))))))</f>
        <v/>
      </c>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IF($C1487="","",IF($K1487="","",IF(COUNTIFS(nrES_PID,$D1487,nrES_Code,$F1487,nrES_Att,"&gt;"&amp;$K1487,nrES_Raw,"&gt;=0")=0,"Yes","No")))</f>
        <v/>
      </c>
      <c r="Q1487" s="17">
        <f>IF($C1487="","",IF($L1487="","",IF(AND($K1487=1,ISNUMBER($L1487),$L1487&lt;$J1487,COUNTIFS(nrES_PID,$D1487,nrES_Code,$F1487,nrES_Att,2,nrES_Raw,"&gt;=0")=0),"Yes","No")))</f>
        <v/>
      </c>
      <c r="R1487" s="17">
        <f>IF($C1487="","",IF($L1487="","",IF(AND($K1487=2,ISNUMBER($L1487),$L1487&lt;$J1487),"Yes","No")))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OR($C1487="",$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RANGE",IF(COUNTIF(nrES_RecID,$B1487)&gt;1,"DUPLICATE RECORD",IF(AND($K1487=2,COUNTIFS(nrES_PID,$D1487,nrES_Code,$F1487,nrES_Att,1)=0),"ATTEMPT 2 WITHOUT ATTEMPT 1",IF(AND($K1487=2,$L1487=""),"RETEST ROW HAS NO SCORE",IF(AND($H1487="Final",$L1487&lt;&gt;"",IFERROR(INDEX(nrCKfinalExamElig,MATCH($D1487,rngCadetPIDs,0)),"")="No"),"FINAL EXAM AFTER FAILED FINAL PT (500.1.H)","OK")))))))</f>
        <v/>
      </c>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IF($C1488="","",IF($K1488="","",IF(COUNTIFS(nrES_PID,$D1488,nrES_Code,$F1488,nrES_Att,"&gt;"&amp;$K1488,nrES_Raw,"&gt;=0")=0,"Yes","No")))</f>
        <v/>
      </c>
      <c r="Q1488" s="17">
        <f>IF($C1488="","",IF($L1488="","",IF(AND($K1488=1,ISNUMBER($L1488),$L1488&lt;$J1488,COUNTIFS(nrES_PID,$D1488,nrES_Code,$F1488,nrES_Att,2,nrES_Raw,"&gt;=0")=0),"Yes","No")))</f>
        <v/>
      </c>
      <c r="R1488" s="17">
        <f>IF($C1488="","",IF($L1488="","",IF(AND($K1488=2,ISNUMBER($L1488),$L1488&lt;$J1488),"Yes","No")))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OR($C1488="",$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RANGE",IF(COUNTIF(nrES_RecID,$B1488)&gt;1,"DUPLICATE RECORD",IF(AND($K1488=2,COUNTIFS(nrES_PID,$D1488,nrES_Code,$F1488,nrES_Att,1)=0),"ATTEMPT 2 WITHOUT ATTEMPT 1",IF(AND($K1488=2,$L1488=""),"RETEST ROW HAS NO SCORE",IF(AND($H1488="Final",$L1488&lt;&gt;"",IFERROR(INDEX(nrCKfinalExamElig,MATCH($D1488,rngCadetPIDs,0)),"")="No"),"FINAL EXAM AFTER FAILED FINAL PT (500.1.H)","OK")))))))</f>
        <v/>
      </c>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IF($C1489="","",IF($K1489="","",IF(COUNTIFS(nrES_PID,$D1489,nrES_Code,$F1489,nrES_Att,"&gt;"&amp;$K1489,nrES_Raw,"&gt;=0")=0,"Yes","No")))</f>
        <v/>
      </c>
      <c r="Q1489" s="17">
        <f>IF($C1489="","",IF($L1489="","",IF(AND($K1489=1,ISNUMBER($L1489),$L1489&lt;$J1489,COUNTIFS(nrES_PID,$D1489,nrES_Code,$F1489,nrES_Att,2,nrES_Raw,"&gt;=0")=0),"Yes","No")))</f>
        <v/>
      </c>
      <c r="R1489" s="17">
        <f>IF($C1489="","",IF($L1489="","",IF(AND($K1489=2,ISNUMBER($L1489),$L1489&lt;$J1489),"Yes","No")))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OR($C1489="",$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RANGE",IF(COUNTIF(nrES_RecID,$B1489)&gt;1,"DUPLICATE RECORD",IF(AND($K1489=2,COUNTIFS(nrES_PID,$D1489,nrES_Code,$F1489,nrES_Att,1)=0),"ATTEMPT 2 WITHOUT ATTEMPT 1",IF(AND($K1489=2,$L1489=""),"RETEST ROW HAS NO SCORE",IF(AND($H1489="Final",$L1489&lt;&gt;"",IFERROR(INDEX(nrCKfinalExamElig,MATCH($D1489,rngCadetPIDs,0)),"")="No"),"FINAL EXAM AFTER FAILED FINAL PT (500.1.H)","OK")))))))</f>
        <v/>
      </c>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IF($C1490="","",IF($K1490="","",IF(COUNTIFS(nrES_PID,$D1490,nrES_Code,$F1490,nrES_Att,"&gt;"&amp;$K1490,nrES_Raw,"&gt;=0")=0,"Yes","No")))</f>
        <v/>
      </c>
      <c r="Q1490" s="17">
        <f>IF($C1490="","",IF($L1490="","",IF(AND($K1490=1,ISNUMBER($L1490),$L1490&lt;$J1490,COUNTIFS(nrES_PID,$D1490,nrES_Code,$F1490,nrES_Att,2,nrES_Raw,"&gt;=0")=0),"Yes","No")))</f>
        <v/>
      </c>
      <c r="R1490" s="17">
        <f>IF($C1490="","",IF($L1490="","",IF(AND($K1490=2,ISNUMBER($L1490),$L1490&lt;$J1490),"Yes","No")))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OR($C1490="",$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RANGE",IF(COUNTIF(nrES_RecID,$B1490)&gt;1,"DUPLICATE RECORD",IF(AND($K1490=2,COUNTIFS(nrES_PID,$D1490,nrES_Code,$F1490,nrES_Att,1)=0),"ATTEMPT 2 WITHOUT ATTEMPT 1",IF(AND($K1490=2,$L1490=""),"RETEST ROW HAS NO SCORE",IF(AND($H1490="Final",$L1490&lt;&gt;"",IFERROR(INDEX(nrCKfinalExamElig,MATCH($D1490,rngCadetPIDs,0)),"")="No"),"FINAL EXAM AFTER FAILED FINAL PT (500.1.H)","OK")))))))</f>
        <v/>
      </c>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IF($C1491="","",IF($K1491="","",IF(COUNTIFS(nrES_PID,$D1491,nrES_Code,$F1491,nrES_Att,"&gt;"&amp;$K1491,nrES_Raw,"&gt;=0")=0,"Yes","No")))</f>
        <v/>
      </c>
      <c r="Q1491" s="17">
        <f>IF($C1491="","",IF($L1491="","",IF(AND($K1491=1,ISNUMBER($L1491),$L1491&lt;$J1491,COUNTIFS(nrES_PID,$D1491,nrES_Code,$F1491,nrES_Att,2,nrES_Raw,"&gt;=0")=0),"Yes","No")))</f>
        <v/>
      </c>
      <c r="R1491" s="17">
        <f>IF($C1491="","",IF($L1491="","",IF(AND($K1491=2,ISNUMBER($L1491),$L1491&lt;$J1491),"Yes","No")))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OR($C1491="",$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RANGE",IF(COUNTIF(nrES_RecID,$B1491)&gt;1,"DUPLICATE RECORD",IF(AND($K1491=2,COUNTIFS(nrES_PID,$D1491,nrES_Code,$F1491,nrES_Att,1)=0),"ATTEMPT 2 WITHOUT ATTEMPT 1",IF(AND($K1491=2,$L1491=""),"RETEST ROW HAS NO SCORE",IF(AND($H1491="Final",$L1491&lt;&gt;"",IFERROR(INDEX(nrCKfinalExamElig,MATCH($D1491,rngCadetPIDs,0)),"")="No"),"FINAL EXAM AFTER FAILED FINAL PT (500.1.H)","OK")))))))</f>
        <v/>
      </c>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IF($C1492="","",IF($K1492="","",IF(COUNTIFS(nrES_PID,$D1492,nrES_Code,$F1492,nrES_Att,"&gt;"&amp;$K1492,nrES_Raw,"&gt;=0")=0,"Yes","No")))</f>
        <v/>
      </c>
      <c r="Q1492" s="17">
        <f>IF($C1492="","",IF($L1492="","",IF(AND($K1492=1,ISNUMBER($L1492),$L1492&lt;$J1492,COUNTIFS(nrES_PID,$D1492,nrES_Code,$F1492,nrES_Att,2,nrES_Raw,"&gt;=0")=0),"Yes","No")))</f>
        <v/>
      </c>
      <c r="R1492" s="17">
        <f>IF($C1492="","",IF($L1492="","",IF(AND($K1492=2,ISNUMBER($L1492),$L1492&lt;$J1492),"Yes","No")))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OR($C1492="",$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RANGE",IF(COUNTIF(nrES_RecID,$B1492)&gt;1,"DUPLICATE RECORD",IF(AND($K1492=2,COUNTIFS(nrES_PID,$D1492,nrES_Code,$F1492,nrES_Att,1)=0),"ATTEMPT 2 WITHOUT ATTEMPT 1",IF(AND($K1492=2,$L1492=""),"RETEST ROW HAS NO SCORE",IF(AND($H1492="Final",$L1492&lt;&gt;"",IFERROR(INDEX(nrCKfinalExamElig,MATCH($D1492,rngCadetPIDs,0)),"")="No"),"FINAL EXAM AFTER FAILED FINAL PT (500.1.H)","OK")))))))</f>
        <v/>
      </c>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IF($C1493="","",IF($K1493="","",IF(COUNTIFS(nrES_PID,$D1493,nrES_Code,$F1493,nrES_Att,"&gt;"&amp;$K1493,nrES_Raw,"&gt;=0")=0,"Yes","No")))</f>
        <v/>
      </c>
      <c r="Q1493" s="17">
        <f>IF($C1493="","",IF($L1493="","",IF(AND($K1493=1,ISNUMBER($L1493),$L1493&lt;$J1493,COUNTIFS(nrES_PID,$D1493,nrES_Code,$F1493,nrES_Att,2,nrES_Raw,"&gt;=0")=0),"Yes","No")))</f>
        <v/>
      </c>
      <c r="R1493" s="17">
        <f>IF($C1493="","",IF($L1493="","",IF(AND($K1493=2,ISNUMBER($L1493),$L1493&lt;$J1493),"Yes","No")))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OR($C1493="",$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RANGE",IF(COUNTIF(nrES_RecID,$B1493)&gt;1,"DUPLICATE RECORD",IF(AND($K1493=2,COUNTIFS(nrES_PID,$D1493,nrES_Code,$F1493,nrES_Att,1)=0),"ATTEMPT 2 WITHOUT ATTEMPT 1",IF(AND($K1493=2,$L1493=""),"RETEST ROW HAS NO SCORE",IF(AND($H1493="Final",$L1493&lt;&gt;"",IFERROR(INDEX(nrCKfinalExamElig,MATCH($D1493,rngCadetPIDs,0)),"")="No"),"FINAL EXAM AFTER FAILED FINAL PT (500.1.H)","OK")))))))</f>
        <v/>
      </c>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IF($C1494="","",IF($K1494="","",IF(COUNTIFS(nrES_PID,$D1494,nrES_Code,$F1494,nrES_Att,"&gt;"&amp;$K1494,nrES_Raw,"&gt;=0")=0,"Yes","No")))</f>
        <v/>
      </c>
      <c r="Q1494" s="17">
        <f>IF($C1494="","",IF($L1494="","",IF(AND($K1494=1,ISNUMBER($L1494),$L1494&lt;$J1494,COUNTIFS(nrES_PID,$D1494,nrES_Code,$F1494,nrES_Att,2,nrES_Raw,"&gt;=0")=0),"Yes","No")))</f>
        <v/>
      </c>
      <c r="R1494" s="17">
        <f>IF($C1494="","",IF($L1494="","",IF(AND($K1494=2,ISNUMBER($L1494),$L1494&lt;$J1494),"Yes","No")))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OR($C1494="",$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RANGE",IF(COUNTIF(nrES_RecID,$B1494)&gt;1,"DUPLICATE RECORD",IF(AND($K1494=2,COUNTIFS(nrES_PID,$D1494,nrES_Code,$F1494,nrES_Att,1)=0),"ATTEMPT 2 WITHOUT ATTEMPT 1",IF(AND($K1494=2,$L1494=""),"RETEST ROW HAS NO SCORE",IF(AND($H1494="Final",$L1494&lt;&gt;"",IFERROR(INDEX(nrCKfinalExamElig,MATCH($D1494,rngCadetPIDs,0)),"")="No"),"FINAL EXAM AFTER FAILED FINAL PT (500.1.H)","OK")))))))</f>
        <v/>
      </c>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IF($C1495="","",IF($K1495="","",IF(COUNTIFS(nrES_PID,$D1495,nrES_Code,$F1495,nrES_Att,"&gt;"&amp;$K1495,nrES_Raw,"&gt;=0")=0,"Yes","No")))</f>
        <v/>
      </c>
      <c r="Q1495" s="17">
        <f>IF($C1495="","",IF($L1495="","",IF(AND($K1495=1,ISNUMBER($L1495),$L1495&lt;$J1495,COUNTIFS(nrES_PID,$D1495,nrES_Code,$F1495,nrES_Att,2,nrES_Raw,"&gt;=0")=0),"Yes","No")))</f>
        <v/>
      </c>
      <c r="R1495" s="17">
        <f>IF($C1495="","",IF($L1495="","",IF(AND($K1495=2,ISNUMBER($L1495),$L1495&lt;$J1495),"Yes","No")))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OR($C1495="",$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RANGE",IF(COUNTIF(nrES_RecID,$B1495)&gt;1,"DUPLICATE RECORD",IF(AND($K1495=2,COUNTIFS(nrES_PID,$D1495,nrES_Code,$F1495,nrES_Att,1)=0),"ATTEMPT 2 WITHOUT ATTEMPT 1",IF(AND($K1495=2,$L1495=""),"RETEST ROW HAS NO SCORE",IF(AND($H1495="Final",$L1495&lt;&gt;"",IFERROR(INDEX(nrCKfinalExamElig,MATCH($D1495,rngCadetPIDs,0)),"")="No"),"FINAL EXAM AFTER FAILED FINAL PT (500.1.H)","OK")))))))</f>
        <v/>
      </c>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IF($C1496="","",IF($K1496="","",IF(COUNTIFS(nrES_PID,$D1496,nrES_Code,$F1496,nrES_Att,"&gt;"&amp;$K1496,nrES_Raw,"&gt;=0")=0,"Yes","No")))</f>
        <v/>
      </c>
      <c r="Q1496" s="17">
        <f>IF($C1496="","",IF($L1496="","",IF(AND($K1496=1,ISNUMBER($L1496),$L1496&lt;$J1496,COUNTIFS(nrES_PID,$D1496,nrES_Code,$F1496,nrES_Att,2,nrES_Raw,"&gt;=0")=0),"Yes","No")))</f>
        <v/>
      </c>
      <c r="R1496" s="17">
        <f>IF($C1496="","",IF($L1496="","",IF(AND($K1496=2,ISNUMBER($L1496),$L1496&lt;$J1496),"Yes","No")))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OR($C1496="",$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RANGE",IF(COUNTIF(nrES_RecID,$B1496)&gt;1,"DUPLICATE RECORD",IF(AND($K1496=2,COUNTIFS(nrES_PID,$D1496,nrES_Code,$F1496,nrES_Att,1)=0),"ATTEMPT 2 WITHOUT ATTEMPT 1",IF(AND($K1496=2,$L1496=""),"RETEST ROW HAS NO SCORE",IF(AND($H1496="Final",$L1496&lt;&gt;"",IFERROR(INDEX(nrCKfinalExamElig,MATCH($D1496,rngCadetPIDs,0)),"")="No"),"FINAL EXAM AFTER FAILED FINAL PT (500.1.H)","OK")))))))</f>
        <v/>
      </c>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IF($C1497="","",IF($K1497="","",IF(COUNTIFS(nrES_PID,$D1497,nrES_Code,$F1497,nrES_Att,"&gt;"&amp;$K1497,nrES_Raw,"&gt;=0")=0,"Yes","No")))</f>
        <v/>
      </c>
      <c r="Q1497" s="17">
        <f>IF($C1497="","",IF($L1497="","",IF(AND($K1497=1,ISNUMBER($L1497),$L1497&lt;$J1497,COUNTIFS(nrES_PID,$D1497,nrES_Code,$F1497,nrES_Att,2,nrES_Raw,"&gt;=0")=0),"Yes","No")))</f>
        <v/>
      </c>
      <c r="R1497" s="17">
        <f>IF($C1497="","",IF($L1497="","",IF(AND($K1497=2,ISNUMBER($L1497),$L1497&lt;$J1497),"Yes","No")))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OR($C1497="",$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RANGE",IF(COUNTIF(nrES_RecID,$B1497)&gt;1,"DUPLICATE RECORD",IF(AND($K1497=2,COUNTIFS(nrES_PID,$D1497,nrES_Code,$F1497,nrES_Att,1)=0),"ATTEMPT 2 WITHOUT ATTEMPT 1",IF(AND($K1497=2,$L1497=""),"RETEST ROW HAS NO SCORE",IF(AND($H1497="Final",$L1497&lt;&gt;"",IFERROR(INDEX(nrCKfinalExamElig,MATCH($D1497,rngCadetPIDs,0)),"")="No"),"FINAL EXAM AFTER FAILED FINAL PT (500.1.H)","OK")))))))</f>
        <v/>
      </c>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IF($C1498="","",IF($K1498="","",IF(COUNTIFS(nrES_PID,$D1498,nrES_Code,$F1498,nrES_Att,"&gt;"&amp;$K1498,nrES_Raw,"&gt;=0")=0,"Yes","No")))</f>
        <v/>
      </c>
      <c r="Q1498" s="17">
        <f>IF($C1498="","",IF($L1498="","",IF(AND($K1498=1,ISNUMBER($L1498),$L1498&lt;$J1498,COUNTIFS(nrES_PID,$D1498,nrES_Code,$F1498,nrES_Att,2,nrES_Raw,"&gt;=0")=0),"Yes","No")))</f>
        <v/>
      </c>
      <c r="R1498" s="17">
        <f>IF($C1498="","",IF($L1498="","",IF(AND($K1498=2,ISNUMBER($L1498),$L1498&lt;$J1498),"Yes","No")))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OR($C1498="",$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RANGE",IF(COUNTIF(nrES_RecID,$B1498)&gt;1,"DUPLICATE RECORD",IF(AND($K1498=2,COUNTIFS(nrES_PID,$D1498,nrES_Code,$F1498,nrES_Att,1)=0),"ATTEMPT 2 WITHOUT ATTEMPT 1",IF(AND($K1498=2,$L1498=""),"RETEST ROW HAS NO SCORE",IF(AND($H1498="Final",$L1498&lt;&gt;"",IFERROR(INDEX(nrCKfinalExamElig,MATCH($D1498,rngCadetPIDs,0)),"")="No"),"FINAL EXAM AFTER FAILED FINAL PT (500.1.H)","OK")))))))</f>
        <v/>
      </c>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IF($C1499="","",IF($K1499="","",IF(COUNTIFS(nrES_PID,$D1499,nrES_Code,$F1499,nrES_Att,"&gt;"&amp;$K1499,nrES_Raw,"&gt;=0")=0,"Yes","No")))</f>
        <v/>
      </c>
      <c r="Q1499" s="17">
        <f>IF($C1499="","",IF($L1499="","",IF(AND($K1499=1,ISNUMBER($L1499),$L1499&lt;$J1499,COUNTIFS(nrES_PID,$D1499,nrES_Code,$F1499,nrES_Att,2,nrES_Raw,"&gt;=0")=0),"Yes","No")))</f>
        <v/>
      </c>
      <c r="R1499" s="17">
        <f>IF($C1499="","",IF($L1499="","",IF(AND($K1499=2,ISNUMBER($L1499),$L1499&lt;$J1499),"Yes","No")))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OR($C1499="",$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RANGE",IF(COUNTIF(nrES_RecID,$B1499)&gt;1,"DUPLICATE RECORD",IF(AND($K1499=2,COUNTIFS(nrES_PID,$D1499,nrES_Code,$F1499,nrES_Att,1)=0),"ATTEMPT 2 WITHOUT ATTEMPT 1",IF(AND($K1499=2,$L1499=""),"RETEST ROW HAS NO SCORE",IF(AND($H1499="Final",$L1499&lt;&gt;"",IFERROR(INDEX(nrCKfinalExamElig,MATCH($D1499,rngCadetPIDs,0)),"")="No"),"FINAL EXAM AFTER FAILED FINAL PT (500.1.H)","OK")))))))</f>
        <v/>
      </c>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IF($C1500="","",IF($K1500="","",IF(COUNTIFS(nrES_PID,$D1500,nrES_Code,$F1500,nrES_Att,"&gt;"&amp;$K1500,nrES_Raw,"&gt;=0")=0,"Yes","No")))</f>
        <v/>
      </c>
      <c r="Q1500" s="17">
        <f>IF($C1500="","",IF($L1500="","",IF(AND($K1500=1,ISNUMBER($L1500),$L1500&lt;$J1500,COUNTIFS(nrES_PID,$D1500,nrES_Code,$F1500,nrES_Att,2,nrES_Raw,"&gt;=0")=0),"Yes","No")))</f>
        <v/>
      </c>
      <c r="R1500" s="17">
        <f>IF($C1500="","",IF($L1500="","",IF(AND($K1500=2,ISNUMBER($L1500),$L1500&lt;$J1500),"Yes","No")))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OR($C1500="",$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RANGE",IF(COUNTIF(nrES_RecID,$B1500)&gt;1,"DUPLICATE RECORD",IF(AND($K1500=2,COUNTIFS(nrES_PID,$D1500,nrES_Code,$F1500,nrES_Att,1)=0),"ATTEMPT 2 WITHOUT ATTEMPT 1",IF(AND($K1500=2,$L1500=""),"RETEST ROW HAS NO SCORE",IF(AND($H1500="Final",$L1500&lt;&gt;"",IFERROR(INDEX(nrCKfinalExamElig,MATCH($D1500,rngCadetPIDs,0)),"")="No"),"FINAL EXAM AFTER FAILED FINAL PT (500.1.H)","OK")))))))</f>
        <v/>
      </c>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IF($C1501="","",IF($K1501="","",IF(COUNTIFS(nrES_PID,$D1501,nrES_Code,$F1501,nrES_Att,"&gt;"&amp;$K1501,nrES_Raw,"&gt;=0")=0,"Yes","No")))</f>
        <v/>
      </c>
      <c r="Q1501" s="17">
        <f>IF($C1501="","",IF($L1501="","",IF(AND($K1501=1,ISNUMBER($L1501),$L1501&lt;$J1501,COUNTIFS(nrES_PID,$D1501,nrES_Code,$F1501,nrES_Att,2,nrES_Raw,"&gt;=0")=0),"Yes","No")))</f>
        <v/>
      </c>
      <c r="R1501" s="17">
        <f>IF($C1501="","",IF($L1501="","",IF(AND($K1501=2,ISNUMBER($L1501),$L1501&lt;$J1501),"Yes","No")))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OR($C1501="",$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RANGE",IF(COUNTIF(nrES_RecID,$B1501)&gt;1,"DUPLICATE RECORD",IF(AND($K1501=2,COUNTIFS(nrES_PID,$D1501,nrES_Code,$F1501,nrES_Att,1)=0),"ATTEMPT 2 WITHOUT ATTEMPT 1",IF(AND($K1501=2,$L1501=""),"RETEST ROW HAS NO SCORE",IF(AND($H1501="Final",$L1501&lt;&gt;"",IFERROR(INDEX(nrCKfinalExamElig,MATCH($D1501,rngCadetPIDs,0)),"")="No"),"FINAL EXAM AFTER FAILED FINAL PT (500.1.H)","OK")))))))</f>
        <v/>
      </c>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IF($C1502="","",IF($K1502="","",IF(COUNTIFS(nrES_PID,$D1502,nrES_Code,$F1502,nrES_Att,"&gt;"&amp;$K1502,nrES_Raw,"&gt;=0")=0,"Yes","No")))</f>
        <v/>
      </c>
      <c r="Q1502" s="17">
        <f>IF($C1502="","",IF($L1502="","",IF(AND($K1502=1,ISNUMBER($L1502),$L1502&lt;$J1502,COUNTIFS(nrES_PID,$D1502,nrES_Code,$F1502,nrES_Att,2,nrES_Raw,"&gt;=0")=0),"Yes","No")))</f>
        <v/>
      </c>
      <c r="R1502" s="17">
        <f>IF($C1502="","",IF($L1502="","",IF(AND($K1502=2,ISNUMBER($L1502),$L1502&lt;$J1502),"Yes","No")))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OR($C1502="",$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RANGE",IF(COUNTIF(nrES_RecID,$B1502)&gt;1,"DUPLICATE RECORD",IF(AND($K1502=2,COUNTIFS(nrES_PID,$D1502,nrES_Code,$F1502,nrES_Att,1)=0),"ATTEMPT 2 WITHOUT ATTEMPT 1",IF(AND($K1502=2,$L1502=""),"RETEST ROW HAS NO SCORE",IF(AND($H1502="Final",$L1502&lt;&gt;"",IFERROR(INDEX(nrCKfinalExamElig,MATCH($D1502,rngCadetPIDs,0)),"")="No"),"FINAL EXAM AFTER FAILED FINAL PT (500.1.H)","OK")))))))</f>
        <v/>
      </c>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IF($C1503="","",IF($K1503="","",IF(COUNTIFS(nrES_PID,$D1503,nrES_Code,$F1503,nrES_Att,"&gt;"&amp;$K1503,nrES_Raw,"&gt;=0")=0,"Yes","No")))</f>
        <v/>
      </c>
      <c r="Q1503" s="17">
        <f>IF($C1503="","",IF($L1503="","",IF(AND($K1503=1,ISNUMBER($L1503),$L1503&lt;$J1503,COUNTIFS(nrES_PID,$D1503,nrES_Code,$F1503,nrES_Att,2,nrES_Raw,"&gt;=0")=0),"Yes","No")))</f>
        <v/>
      </c>
      <c r="R1503" s="17">
        <f>IF($C1503="","",IF($L1503="","",IF(AND($K1503=2,ISNUMBER($L1503),$L1503&lt;$J1503),"Yes","No")))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OR($C1503="",$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RANGE",IF(COUNTIF(nrES_RecID,$B1503)&gt;1,"DUPLICATE RECORD",IF(AND($K1503=2,COUNTIFS(nrES_PID,$D1503,nrES_Code,$F1503,nrES_Att,1)=0),"ATTEMPT 2 WITHOUT ATTEMPT 1",IF(AND($K1503=2,$L1503=""),"RETEST ROW HAS NO SCORE",IF(AND($H1503="Final",$L1503&lt;&gt;"",IFERROR(INDEX(nrCKfinalExamElig,MATCH($D1503,rngCadetPIDs,0)),"")="No"),"FINAL EXAM AFTER FAILED FINAL PT (500.1.H)","OK")))))))</f>
        <v/>
      </c>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IF($C1504="","",IF($K1504="","",IF(COUNTIFS(nrES_PID,$D1504,nrES_Code,$F1504,nrES_Att,"&gt;"&amp;$K1504,nrES_Raw,"&gt;=0")=0,"Yes","No")))</f>
        <v/>
      </c>
      <c r="Q1504" s="17">
        <f>IF($C1504="","",IF($L1504="","",IF(AND($K1504=1,ISNUMBER($L1504),$L1504&lt;$J1504,COUNTIFS(nrES_PID,$D1504,nrES_Code,$F1504,nrES_Att,2,nrES_Raw,"&gt;=0")=0),"Yes","No")))</f>
        <v/>
      </c>
      <c r="R1504" s="17">
        <f>IF($C1504="","",IF($L1504="","",IF(AND($K1504=2,ISNUMBER($L1504),$L1504&lt;$J1504),"Yes","No")))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OR($C1504="",$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RANGE",IF(COUNTIF(nrES_RecID,$B1504)&gt;1,"DUPLICATE RECORD",IF(AND($K1504=2,COUNTIFS(nrES_PID,$D1504,nrES_Code,$F1504,nrES_Att,1)=0),"ATTEMPT 2 WITHOUT ATTEMPT 1",IF(AND($K1504=2,$L1504=""),"RETEST ROW HAS NO SCORE",IF(AND($H1504="Final",$L1504&lt;&gt;"",IFERROR(INDEX(nrCKfinalExamElig,MATCH($D1504,rngCadetPIDs,0)),"")="No"),"FINAL EXAM AFTER FAILED FINAL PT (500.1.H)","OK")))))))</f>
        <v/>
      </c>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IF($C1505="","",IF($K1505="","",IF(COUNTIFS(nrES_PID,$D1505,nrES_Code,$F1505,nrES_Att,"&gt;"&amp;$K1505,nrES_Raw,"&gt;=0")=0,"Yes","No")))</f>
        <v/>
      </c>
      <c r="Q1505" s="17">
        <f>IF($C1505="","",IF($L1505="","",IF(AND($K1505=1,ISNUMBER($L1505),$L1505&lt;$J1505,COUNTIFS(nrES_PID,$D1505,nrES_Code,$F1505,nrES_Att,2,nrES_Raw,"&gt;=0")=0),"Yes","No")))</f>
        <v/>
      </c>
      <c r="R1505" s="17">
        <f>IF($C1505="","",IF($L1505="","",IF(AND($K1505=2,ISNUMBER($L1505),$L1505&lt;$J1505),"Yes","No")))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OR($C1505="",$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RANGE",IF(COUNTIF(nrES_RecID,$B1505)&gt;1,"DUPLICATE RECORD",IF(AND($K1505=2,COUNTIFS(nrES_PID,$D1505,nrES_Code,$F1505,nrES_Att,1)=0),"ATTEMPT 2 WITHOUT ATTEMPT 1",IF(AND($K1505=2,$L1505=""),"RETEST ROW HAS NO SCORE",IF(AND($H1505="Final",$L1505&lt;&gt;"",IFERROR(INDEX(nrCKfinalExamElig,MATCH($D1505,rngCadetPIDs,0)),"")="No"),"FINAL EXAM AFTER FAILED FINAL PT (500.1.H)","OK")))))))</f>
        <v/>
      </c>
    </row>
  </sheetData>
  <autoFilter ref="B5:X5"/>
  <conditionalFormatting sqref="U6:U1505">
    <cfRule type="expression" priority="1" dxfId="0">
      <formula>$U6="OVERDUE"</formula>
    </cfRule>
    <cfRule type="expression" priority="2" dxfId="0">
      <formula>$U6="CHECK DATE"</formula>
    </cfRule>
    <cfRule type="expression" priority="3" dxfId="0">
      <formula>LEFT($U6,12)="LATE RETEST"</formula>
    </cfRule>
    <cfRule type="expression" priority="4" dxfId="0">
      <formula>LEFT($U6,7)="RETEST "</formula>
    </cfRule>
  </conditionalFormatting>
  <conditionalFormatting sqref="X6:X1505">
    <cfRule type="expression" priority="5" dxfId="0">
      <formula>AND($X6&lt;&gt;"",$X6&lt;&gt;"OK")</formula>
    </cfRule>
  </conditionalFormatting>
  <conditionalFormatting sqref="O6:O1505">
    <cfRule type="cellIs" priority="6" operator="equal" dxfId="2">
      <formula>"Yes"</formula>
    </cfRule>
    <cfRule type="cellIs" priority="7" operator="equal" dxfId="0">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row>
    <row r="6">
      <c r="B6" s="17">
        <f>IF(Cadets!$B6="","",Cadets!$B6)</f>
        <v/>
      </c>
      <c r="C6" s="17">
        <f>IF(Cadets!$B6="","",Cadets!$F6)</f>
        <v/>
      </c>
      <c r="D6" s="16" t="n"/>
      <c r="E6" s="16" t="n"/>
      <c r="F6" s="16" t="n"/>
      <c r="G6" s="16" t="n"/>
      <c r="H6" s="16" t="n"/>
      <c r="I6" s="16" t="n"/>
      <c r="J6" s="16" t="n"/>
      <c r="K6" s="16" t="n"/>
      <c r="L6" s="16" t="n"/>
      <c r="M6" s="16" t="n"/>
      <c r="N6" s="16" t="n"/>
      <c r="O6" s="16" t="n"/>
      <c r="P6" s="17">
        <f>IF($C6="","",IF($Q6=0,"",ROUND(SUM($D6:$O6)/$Q6,1)))</f>
        <v/>
      </c>
      <c r="Q6" s="17">
        <f>IF($C6="","",COUNT($D6:$O6))</f>
        <v/>
      </c>
      <c r="R6" s="17">
        <f>IF($C6="","",IF($P6="","",IF($P6&lt;cfgSpellInterventionAvg,"INTERVENTION","OK")))</f>
        <v/>
      </c>
      <c r="S6" s="17">
        <f>IF($C6="","",IF(COUNT($D6:$O6)&lt;&gt;COUNTA($D6:$O6),"SCORE NOT A NUMBER",IF(SUMPRODUCT(($D6:$O6&lt;&gt;"")*((N($D6:$O6)&lt;0)+(N($D6:$O6)&gt;100)))&gt;0,"SCORE OUT OF RANGE","OK")))</f>
        <v/>
      </c>
    </row>
    <row r="7">
      <c r="B7" s="17">
        <f>IF(Cadets!$B7="","",Cadets!$B7)</f>
        <v/>
      </c>
      <c r="C7" s="17">
        <f>IF(Cadets!$B7="","",Cadets!$F7)</f>
        <v/>
      </c>
      <c r="D7" s="16" t="n"/>
      <c r="E7" s="16" t="n"/>
      <c r="F7" s="16" t="n"/>
      <c r="G7" s="16" t="n"/>
      <c r="H7" s="16" t="n"/>
      <c r="I7" s="16" t="n"/>
      <c r="J7" s="16" t="n"/>
      <c r="K7" s="16" t="n"/>
      <c r="L7" s="16" t="n"/>
      <c r="M7" s="16" t="n"/>
      <c r="N7" s="16" t="n"/>
      <c r="O7" s="16" t="n"/>
      <c r="P7" s="17">
        <f>IF($C7="","",IF($Q7=0,"",ROUND(SUM($D7:$O7)/$Q7,1)))</f>
        <v/>
      </c>
      <c r="Q7" s="17">
        <f>IF($C7="","",COUNT($D7:$O7))</f>
        <v/>
      </c>
      <c r="R7" s="17">
        <f>IF($C7="","",IF($P7="","",IF($P7&lt;cfgSpellInterventionAvg,"INTERVENTION","OK")))</f>
        <v/>
      </c>
      <c r="S7" s="17">
        <f>IF($C7="","",IF(COUNT($D7:$O7)&lt;&gt;COUNTA($D7:$O7),"SCORE NOT A NUMBER",IF(SUMPRODUCT(($D7:$O7&lt;&gt;"")*((N($D7:$O7)&lt;0)+(N($D7:$O7)&gt;100)))&gt;0,"SCORE OUT OF RANGE","OK")))</f>
        <v/>
      </c>
    </row>
    <row r="8">
      <c r="B8" s="17">
        <f>IF(Cadets!$B8="","",Cadets!$B8)</f>
        <v/>
      </c>
      <c r="C8" s="17">
        <f>IF(Cadets!$B8="","",Cadets!$F8)</f>
        <v/>
      </c>
      <c r="D8" s="16" t="n"/>
      <c r="E8" s="16" t="n"/>
      <c r="F8" s="16" t="n"/>
      <c r="G8" s="16" t="n"/>
      <c r="H8" s="16" t="n"/>
      <c r="I8" s="16" t="n"/>
      <c r="J8" s="16" t="n"/>
      <c r="K8" s="16" t="n"/>
      <c r="L8" s="16" t="n"/>
      <c r="M8" s="16" t="n"/>
      <c r="N8" s="16" t="n"/>
      <c r="O8" s="16" t="n"/>
      <c r="P8" s="17">
        <f>IF($C8="","",IF($Q8=0,"",ROUND(SUM($D8:$O8)/$Q8,1)))</f>
        <v/>
      </c>
      <c r="Q8" s="17">
        <f>IF($C8="","",COUNT($D8:$O8))</f>
        <v/>
      </c>
      <c r="R8" s="17">
        <f>IF($C8="","",IF($P8="","",IF($P8&lt;cfgSpellInterventionAvg,"INTERVENTION","OK")))</f>
        <v/>
      </c>
      <c r="S8" s="17">
        <f>IF($C8="","",IF(COUNT($D8:$O8)&lt;&gt;COUNTA($D8:$O8),"SCORE NOT A NUMBER",IF(SUMPRODUCT(($D8:$O8&lt;&gt;"")*((N($D8:$O8)&lt;0)+(N($D8:$O8)&gt;100)))&gt;0,"SCORE OUT OF RANGE","OK")))</f>
        <v/>
      </c>
    </row>
    <row r="9">
      <c r="B9" s="17">
        <f>IF(Cadets!$B9="","",Cadets!$B9)</f>
        <v/>
      </c>
      <c r="C9" s="17">
        <f>IF(Cadets!$B9="","",Cadets!$F9)</f>
        <v/>
      </c>
      <c r="D9" s="16" t="n"/>
      <c r="E9" s="16" t="n"/>
      <c r="F9" s="16" t="n"/>
      <c r="G9" s="16" t="n"/>
      <c r="H9" s="16" t="n"/>
      <c r="I9" s="16" t="n"/>
      <c r="J9" s="16" t="n"/>
      <c r="K9" s="16" t="n"/>
      <c r="L9" s="16" t="n"/>
      <c r="M9" s="16" t="n"/>
      <c r="N9" s="16" t="n"/>
      <c r="O9" s="16" t="n"/>
      <c r="P9" s="17">
        <f>IF($C9="","",IF($Q9=0,"",ROUND(SUM($D9:$O9)/$Q9,1)))</f>
        <v/>
      </c>
      <c r="Q9" s="17">
        <f>IF($C9="","",COUNT($D9:$O9))</f>
        <v/>
      </c>
      <c r="R9" s="17">
        <f>IF($C9="","",IF($P9="","",IF($P9&lt;cfgSpellInterventionAvg,"INTERVENTION","OK")))</f>
        <v/>
      </c>
      <c r="S9" s="17">
        <f>IF($C9="","",IF(COUNT($D9:$O9)&lt;&gt;COUNTA($D9:$O9),"SCORE NOT A NUMBER",IF(SUMPRODUCT(($D9:$O9&lt;&gt;"")*((N($D9:$O9)&lt;0)+(N($D9:$O9)&gt;100)))&gt;0,"SCORE OUT OF RANGE","OK")))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IF($C10="","",IF($Q10=0,"",ROUND(SUM($D10:$O10)/$Q10,1)))</f>
        <v/>
      </c>
      <c r="Q10" s="17">
        <f>IF($C10="","",COUNT($D10:$O10))</f>
        <v/>
      </c>
      <c r="R10" s="17">
        <f>IF($C10="","",IF($P10="","",IF($P10&lt;cfgSpellInterventionAvg,"INTERVENTION","OK")))</f>
        <v/>
      </c>
      <c r="S10" s="17">
        <f>IF($C10="","",IF(COUNT($D10:$O10)&lt;&gt;COUNTA($D10:$O10),"SCORE NOT A NUMBER",IF(SUMPRODUCT(($D10:$O10&lt;&gt;"")*((N($D10:$O10)&lt;0)+(N($D10:$O10)&gt;100)))&gt;0,"SCORE OUT OF RANGE","OK")))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IF($C11="","",IF($Q11=0,"",ROUND(SUM($D11:$O11)/$Q11,1)))</f>
        <v/>
      </c>
      <c r="Q11" s="17">
        <f>IF($C11="","",COUNT($D11:$O11))</f>
        <v/>
      </c>
      <c r="R11" s="17">
        <f>IF($C11="","",IF($P11="","",IF($P11&lt;cfgSpellInterventionAvg,"INTERVENTION","OK")))</f>
        <v/>
      </c>
      <c r="S11" s="17">
        <f>IF($C11="","",IF(COUNT($D11:$O11)&lt;&gt;COUNTA($D11:$O11),"SCORE NOT A NUMBER",IF(SUMPRODUCT(($D11:$O11&lt;&gt;"")*((N($D11:$O11)&lt;0)+(N($D11:$O11)&gt;100)))&gt;0,"SCORE OUT OF RANGE","OK")))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IF($C12="","",IF($Q12=0,"",ROUND(SUM($D12:$O12)/$Q12,1)))</f>
        <v/>
      </c>
      <c r="Q12" s="17">
        <f>IF($C12="","",COUNT($D12:$O12))</f>
        <v/>
      </c>
      <c r="R12" s="17">
        <f>IF($C12="","",IF($P12="","",IF($P12&lt;cfgSpellInterventionAvg,"INTERVENTION","OK")))</f>
        <v/>
      </c>
      <c r="S12" s="17">
        <f>IF($C12="","",IF(COUNT($D12:$O12)&lt;&gt;COUNTA($D12:$O12),"SCORE NOT A NUMBER",IF(SUMPRODUCT(($D12:$O12&lt;&gt;"")*((N($D12:$O12)&lt;0)+(N($D12:$O12)&gt;100)))&gt;0,"SCORE OUT OF RANGE","OK")))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IF($C13="","",IF($Q13=0,"",ROUND(SUM($D13:$O13)/$Q13,1)))</f>
        <v/>
      </c>
      <c r="Q13" s="17">
        <f>IF($C13="","",COUNT($D13:$O13))</f>
        <v/>
      </c>
      <c r="R13" s="17">
        <f>IF($C13="","",IF($P13="","",IF($P13&lt;cfgSpellInterventionAvg,"INTERVENTION","OK")))</f>
        <v/>
      </c>
      <c r="S13" s="17">
        <f>IF($C13="","",IF(COUNT($D13:$O13)&lt;&gt;COUNTA($D13:$O13),"SCORE NOT A NUMBER",IF(SUMPRODUCT(($D13:$O13&lt;&gt;"")*((N($D13:$O13)&lt;0)+(N($D13:$O13)&gt;100)))&gt;0,"SCORE OUT OF RANGE","OK")))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IF($C14="","",IF($Q14=0,"",ROUND(SUM($D14:$O14)/$Q14,1)))</f>
        <v/>
      </c>
      <c r="Q14" s="17">
        <f>IF($C14="","",COUNT($D14:$O14))</f>
        <v/>
      </c>
      <c r="R14" s="17">
        <f>IF($C14="","",IF($P14="","",IF($P14&lt;cfgSpellInterventionAvg,"INTERVENTION","OK")))</f>
        <v/>
      </c>
      <c r="S14" s="17">
        <f>IF($C14="","",IF(COUNT($D14:$O14)&lt;&gt;COUNTA($D14:$O14),"SCORE NOT A NUMBER",IF(SUMPRODUCT(($D14:$O14&lt;&gt;"")*((N($D14:$O14)&lt;0)+(N($D14:$O14)&gt;100)))&gt;0,"SCORE OUT OF RANGE","OK")))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IF($C15="","",IF($Q15=0,"",ROUND(SUM($D15:$O15)/$Q15,1)))</f>
        <v/>
      </c>
      <c r="Q15" s="17">
        <f>IF($C15="","",COUNT($D15:$O15))</f>
        <v/>
      </c>
      <c r="R15" s="17">
        <f>IF($C15="","",IF($P15="","",IF($P15&lt;cfgSpellInterventionAvg,"INTERVENTION","OK")))</f>
        <v/>
      </c>
      <c r="S15" s="17">
        <f>IF($C15="","",IF(COUNT($D15:$O15)&lt;&gt;COUNTA($D15:$O15),"SCORE NOT A NUMBER",IF(SUMPRODUCT(($D15:$O15&lt;&gt;"")*((N($D15:$O15)&lt;0)+(N($D15:$O15)&gt;100)))&gt;0,"SCORE OUT OF RANGE","OK")))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IF($C16="","",IF($Q16=0,"",ROUND(SUM($D16:$O16)/$Q16,1)))</f>
        <v/>
      </c>
      <c r="Q16" s="17">
        <f>IF($C16="","",COUNT($D16:$O16))</f>
        <v/>
      </c>
      <c r="R16" s="17">
        <f>IF($C16="","",IF($P16="","",IF($P16&lt;cfgSpellInterventionAvg,"INTERVENTION","OK")))</f>
        <v/>
      </c>
      <c r="S16" s="17">
        <f>IF($C16="","",IF(COUNT($D16:$O16)&lt;&gt;COUNTA($D16:$O16),"SCORE NOT A NUMBER",IF(SUMPRODUCT(($D16:$O16&lt;&gt;"")*((N($D16:$O16)&lt;0)+(N($D16:$O16)&gt;100)))&gt;0,"SCORE OUT OF RANGE","OK")))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IF($C17="","",IF($Q17=0,"",ROUND(SUM($D17:$O17)/$Q17,1)))</f>
        <v/>
      </c>
      <c r="Q17" s="17">
        <f>IF($C17="","",COUNT($D17:$O17))</f>
        <v/>
      </c>
      <c r="R17" s="17">
        <f>IF($C17="","",IF($P17="","",IF($P17&lt;cfgSpellInterventionAvg,"INTERVENTION","OK")))</f>
        <v/>
      </c>
      <c r="S17" s="17">
        <f>IF($C17="","",IF(COUNT($D17:$O17)&lt;&gt;COUNTA($D17:$O17),"SCORE NOT A NUMBER",IF(SUMPRODUCT(($D17:$O17&lt;&gt;"")*((N($D17:$O17)&lt;0)+(N($D17:$O17)&gt;100)))&gt;0,"SCORE OUT OF RANGE","OK")))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IF($C18="","",IF($Q18=0,"",ROUND(SUM($D18:$O18)/$Q18,1)))</f>
        <v/>
      </c>
      <c r="Q18" s="17">
        <f>IF($C18="","",COUNT($D18:$O18))</f>
        <v/>
      </c>
      <c r="R18" s="17">
        <f>IF($C18="","",IF($P18="","",IF($P18&lt;cfgSpellInterventionAvg,"INTERVENTION","OK")))</f>
        <v/>
      </c>
      <c r="S18" s="17">
        <f>IF($C18="","",IF(COUNT($D18:$O18)&lt;&gt;COUNTA($D18:$O18),"SCORE NOT A NUMBER",IF(SUMPRODUCT(($D18:$O18&lt;&gt;"")*((N($D18:$O18)&lt;0)+(N($D18:$O18)&gt;100)))&gt;0,"SCORE OUT OF RANGE","OK")))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IF($C19="","",IF($Q19=0,"",ROUND(SUM($D19:$O19)/$Q19,1)))</f>
        <v/>
      </c>
      <c r="Q19" s="17">
        <f>IF($C19="","",COUNT($D19:$O19))</f>
        <v/>
      </c>
      <c r="R19" s="17">
        <f>IF($C19="","",IF($P19="","",IF($P19&lt;cfgSpellInterventionAvg,"INTERVENTION","OK")))</f>
        <v/>
      </c>
      <c r="S19" s="17">
        <f>IF($C19="","",IF(COUNT($D19:$O19)&lt;&gt;COUNTA($D19:$O19),"SCORE NOT A NUMBER",IF(SUMPRODUCT(($D19:$O19&lt;&gt;"")*((N($D19:$O19)&lt;0)+(N($D19:$O19)&gt;100)))&gt;0,"SCORE OUT OF RANGE","OK")))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IF($C20="","",IF($Q20=0,"",ROUND(SUM($D20:$O20)/$Q20,1)))</f>
        <v/>
      </c>
      <c r="Q20" s="17">
        <f>IF($C20="","",COUNT($D20:$O20))</f>
        <v/>
      </c>
      <c r="R20" s="17">
        <f>IF($C20="","",IF($P20="","",IF($P20&lt;cfgSpellInterventionAvg,"INTERVENTION","OK")))</f>
        <v/>
      </c>
      <c r="S20" s="17">
        <f>IF($C20="","",IF(COUNT($D20:$O20)&lt;&gt;COUNTA($D20:$O20),"SCORE NOT A NUMBER",IF(SUMPRODUCT(($D20:$O20&lt;&gt;"")*((N($D20:$O20)&lt;0)+(N($D20:$O20)&gt;100)))&gt;0,"SCORE OUT OF RANGE","OK")))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IF($C21="","",IF($Q21=0,"",ROUND(SUM($D21:$O21)/$Q21,1)))</f>
        <v/>
      </c>
      <c r="Q21" s="17">
        <f>IF($C21="","",COUNT($D21:$O21))</f>
        <v/>
      </c>
      <c r="R21" s="17">
        <f>IF($C21="","",IF($P21="","",IF($P21&lt;cfgSpellInterventionAvg,"INTERVENTION","OK")))</f>
        <v/>
      </c>
      <c r="S21" s="17">
        <f>IF($C21="","",IF(COUNT($D21:$O21)&lt;&gt;COUNTA($D21:$O21),"SCORE NOT A NUMBER",IF(SUMPRODUCT(($D21:$O21&lt;&gt;"")*((N($D21:$O21)&lt;0)+(N($D21:$O21)&gt;100)))&gt;0,"SCORE OUT OF RANGE","OK")))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IF($C22="","",IF($Q22=0,"",ROUND(SUM($D22:$O22)/$Q22,1)))</f>
        <v/>
      </c>
      <c r="Q22" s="17">
        <f>IF($C22="","",COUNT($D22:$O22))</f>
        <v/>
      </c>
      <c r="R22" s="17">
        <f>IF($C22="","",IF($P22="","",IF($P22&lt;cfgSpellInterventionAvg,"INTERVENTION","OK")))</f>
        <v/>
      </c>
      <c r="S22" s="17">
        <f>IF($C22="","",IF(COUNT($D22:$O22)&lt;&gt;COUNTA($D22:$O22),"SCORE NOT A NUMBER",IF(SUMPRODUCT(($D22:$O22&lt;&gt;"")*((N($D22:$O22)&lt;0)+(N($D22:$O22)&gt;100)))&gt;0,"SCORE OUT OF RANGE","OK")))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IF($C23="","",IF($Q23=0,"",ROUND(SUM($D23:$O23)/$Q23,1)))</f>
        <v/>
      </c>
      <c r="Q23" s="17">
        <f>IF($C23="","",COUNT($D23:$O23))</f>
        <v/>
      </c>
      <c r="R23" s="17">
        <f>IF($C23="","",IF($P23="","",IF($P23&lt;cfgSpellInterventionAvg,"INTERVENTION","OK")))</f>
        <v/>
      </c>
      <c r="S23" s="17">
        <f>IF($C23="","",IF(COUNT($D23:$O23)&lt;&gt;COUNTA($D23:$O23),"SCORE NOT A NUMBER",IF(SUMPRODUCT(($D23:$O23&lt;&gt;"")*((N($D23:$O23)&lt;0)+(N($D23:$O23)&gt;100)))&gt;0,"SCORE OUT OF RANGE","OK")))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IF($C24="","",IF($Q24=0,"",ROUND(SUM($D24:$O24)/$Q24,1)))</f>
        <v/>
      </c>
      <c r="Q24" s="17">
        <f>IF($C24="","",COUNT($D24:$O24))</f>
        <v/>
      </c>
      <c r="R24" s="17">
        <f>IF($C24="","",IF($P24="","",IF($P24&lt;cfgSpellInterventionAvg,"INTERVENTION","OK")))</f>
        <v/>
      </c>
      <c r="S24" s="17">
        <f>IF($C24="","",IF(COUNT($D24:$O24)&lt;&gt;COUNTA($D24:$O24),"SCORE NOT A NUMBER",IF(SUMPRODUCT(($D24:$O24&lt;&gt;"")*((N($D24:$O24)&lt;0)+(N($D24:$O24)&gt;100)))&gt;0,"SCORE OUT OF RANGE","OK")))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IF($C25="","",IF($Q25=0,"",ROUND(SUM($D25:$O25)/$Q25,1)))</f>
        <v/>
      </c>
      <c r="Q25" s="17">
        <f>IF($C25="","",COUNT($D25:$O25))</f>
        <v/>
      </c>
      <c r="R25" s="17">
        <f>IF($C25="","",IF($P25="","",IF($P25&lt;cfgSpellInterventionAvg,"INTERVENTION","OK")))</f>
        <v/>
      </c>
      <c r="S25" s="17">
        <f>IF($C25="","",IF(COUNT($D25:$O25)&lt;&gt;COUNTA($D25:$O25),"SCORE NOT A NUMBER",IF(SUMPRODUCT(($D25:$O25&lt;&gt;"")*((N($D25:$O25)&lt;0)+(N($D25:$O25)&gt;100)))&gt;0,"SCORE OUT OF RANGE","OK")))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IF($C26="","",IF($Q26=0,"",ROUND(SUM($D26:$O26)/$Q26,1)))</f>
        <v/>
      </c>
      <c r="Q26" s="17">
        <f>IF($C26="","",COUNT($D26:$O26))</f>
        <v/>
      </c>
      <c r="R26" s="17">
        <f>IF($C26="","",IF($P26="","",IF($P26&lt;cfgSpellInterventionAvg,"INTERVENTION","OK")))</f>
        <v/>
      </c>
      <c r="S26" s="17">
        <f>IF($C26="","",IF(COUNT($D26:$O26)&lt;&gt;COUNTA($D26:$O26),"SCORE NOT A NUMBER",IF(SUMPRODUCT(($D26:$O26&lt;&gt;"")*((N($D26:$O26)&lt;0)+(N($D26:$O26)&gt;100)))&gt;0,"SCORE OUT OF RANGE","OK")))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IF($C27="","",IF($Q27=0,"",ROUND(SUM($D27:$O27)/$Q27,1)))</f>
        <v/>
      </c>
      <c r="Q27" s="17">
        <f>IF($C27="","",COUNT($D27:$O27))</f>
        <v/>
      </c>
      <c r="R27" s="17">
        <f>IF($C27="","",IF($P27="","",IF($P27&lt;cfgSpellInterventionAvg,"INTERVENTION","OK")))</f>
        <v/>
      </c>
      <c r="S27" s="17">
        <f>IF($C27="","",IF(COUNT($D27:$O27)&lt;&gt;COUNTA($D27:$O27),"SCORE NOT A NUMBER",IF(SUMPRODUCT(($D27:$O27&lt;&gt;"")*((N($D27:$O27)&lt;0)+(N($D27:$O27)&gt;100)))&gt;0,"SCORE OUT OF RANGE","OK")))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IF($C28="","",IF($Q28=0,"",ROUND(SUM($D28:$O28)/$Q28,1)))</f>
        <v/>
      </c>
      <c r="Q28" s="17">
        <f>IF($C28="","",COUNT($D28:$O28))</f>
        <v/>
      </c>
      <c r="R28" s="17">
        <f>IF($C28="","",IF($P28="","",IF($P28&lt;cfgSpellInterventionAvg,"INTERVENTION","OK")))</f>
        <v/>
      </c>
      <c r="S28" s="17">
        <f>IF($C28="","",IF(COUNT($D28:$O28)&lt;&gt;COUNTA($D28:$O28),"SCORE NOT A NUMBER",IF(SUMPRODUCT(($D28:$O28&lt;&gt;"")*((N($D28:$O28)&lt;0)+(N($D28:$O28)&gt;100)))&gt;0,"SCORE OUT OF RANGE","OK")))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IF($C29="","",IF($Q29=0,"",ROUND(SUM($D29:$O29)/$Q29,1)))</f>
        <v/>
      </c>
      <c r="Q29" s="17">
        <f>IF($C29="","",COUNT($D29:$O29))</f>
        <v/>
      </c>
      <c r="R29" s="17">
        <f>IF($C29="","",IF($P29="","",IF($P29&lt;cfgSpellInterventionAvg,"INTERVENTION","OK")))</f>
        <v/>
      </c>
      <c r="S29" s="17">
        <f>IF($C29="","",IF(COUNT($D29:$O29)&lt;&gt;COUNTA($D29:$O29),"SCORE NOT A NUMBER",IF(SUMPRODUCT(($D29:$O29&lt;&gt;"")*((N($D29:$O29)&lt;0)+(N($D29:$O29)&gt;100)))&gt;0,"SCORE OUT OF RANGE","OK")))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IF($C30="","",IF($Q30=0,"",ROUND(SUM($D30:$O30)/$Q30,1)))</f>
        <v/>
      </c>
      <c r="Q30" s="17">
        <f>IF($C30="","",COUNT($D30:$O30))</f>
        <v/>
      </c>
      <c r="R30" s="17">
        <f>IF($C30="","",IF($P30="","",IF($P30&lt;cfgSpellInterventionAvg,"INTERVENTION","OK")))</f>
        <v/>
      </c>
      <c r="S30" s="17">
        <f>IF($C30="","",IF(COUNT($D30:$O30)&lt;&gt;COUNTA($D30:$O30),"SCORE NOT A NUMBER",IF(SUMPRODUCT(($D30:$O30&lt;&gt;"")*((N($D30:$O30)&lt;0)+(N($D30:$O30)&gt;100)))&gt;0,"SCORE OUT OF RANGE","OK")))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IF($C31="","",IF($Q31=0,"",ROUND(SUM($D31:$O31)/$Q31,1)))</f>
        <v/>
      </c>
      <c r="Q31" s="17">
        <f>IF($C31="","",COUNT($D31:$O31))</f>
        <v/>
      </c>
      <c r="R31" s="17">
        <f>IF($C31="","",IF($P31="","",IF($P31&lt;cfgSpellInterventionAvg,"INTERVENTION","OK")))</f>
        <v/>
      </c>
      <c r="S31" s="17">
        <f>IF($C31="","",IF(COUNT($D31:$O31)&lt;&gt;COUNTA($D31:$O31),"SCORE NOT A NUMBER",IF(SUMPRODUCT(($D31:$O31&lt;&gt;"")*((N($D31:$O31)&lt;0)+(N($D31:$O31)&gt;100)))&gt;0,"SCORE OUT OF RANGE","OK")))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IF($C32="","",IF($Q32=0,"",ROUND(SUM($D32:$O32)/$Q32,1)))</f>
        <v/>
      </c>
      <c r="Q32" s="17">
        <f>IF($C32="","",COUNT($D32:$O32))</f>
        <v/>
      </c>
      <c r="R32" s="17">
        <f>IF($C32="","",IF($P32="","",IF($P32&lt;cfgSpellInterventionAvg,"INTERVENTION","OK")))</f>
        <v/>
      </c>
      <c r="S32" s="17">
        <f>IF($C32="","",IF(COUNT($D32:$O32)&lt;&gt;COUNTA($D32:$O32),"SCORE NOT A NUMBER",IF(SUMPRODUCT(($D32:$O32&lt;&gt;"")*((N($D32:$O32)&lt;0)+(N($D32:$O32)&gt;100)))&gt;0,"SCORE OUT OF RANGE","OK")))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IF($C33="","",IF($Q33=0,"",ROUND(SUM($D33:$O33)/$Q33,1)))</f>
        <v/>
      </c>
      <c r="Q33" s="17">
        <f>IF($C33="","",COUNT($D33:$O33))</f>
        <v/>
      </c>
      <c r="R33" s="17">
        <f>IF($C33="","",IF($P33="","",IF($P33&lt;cfgSpellInterventionAvg,"INTERVENTION","OK")))</f>
        <v/>
      </c>
      <c r="S33" s="17">
        <f>IF($C33="","",IF(COUNT($D33:$O33)&lt;&gt;COUNTA($D33:$O33),"SCORE NOT A NUMBER",IF(SUMPRODUCT(($D33:$O33&lt;&gt;"")*((N($D33:$O33)&lt;0)+(N($D33:$O33)&gt;100)))&gt;0,"SCORE OUT OF RANGE","OK")))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IF($C34="","",IF($Q34=0,"",ROUND(SUM($D34:$O34)/$Q34,1)))</f>
        <v/>
      </c>
      <c r="Q34" s="17">
        <f>IF($C34="","",COUNT($D34:$O34))</f>
        <v/>
      </c>
      <c r="R34" s="17">
        <f>IF($C34="","",IF($P34="","",IF($P34&lt;cfgSpellInterventionAvg,"INTERVENTION","OK")))</f>
        <v/>
      </c>
      <c r="S34" s="17">
        <f>IF($C34="","",IF(COUNT($D34:$O34)&lt;&gt;COUNTA($D34:$O34),"SCORE NOT A NUMBER",IF(SUMPRODUCT(($D34:$O34&lt;&gt;"")*((N($D34:$O34)&lt;0)+(N($D34:$O34)&gt;100)))&gt;0,"SCORE OUT OF RANGE","OK")))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IF($C35="","",IF($Q35=0,"",ROUND(SUM($D35:$O35)/$Q35,1)))</f>
        <v/>
      </c>
      <c r="Q35" s="17">
        <f>IF($C35="","",COUNT($D35:$O35))</f>
        <v/>
      </c>
      <c r="R35" s="17">
        <f>IF($C35="","",IF($P35="","",IF($P35&lt;cfgSpellInterventionAvg,"INTERVENTION","OK")))</f>
        <v/>
      </c>
      <c r="S35" s="17">
        <f>IF($C35="","",IF(COUNT($D35:$O35)&lt;&gt;COUNTA($D35:$O35),"SCORE NOT A NUMBER",IF(SUMPRODUCT(($D35:$O35&lt;&gt;"")*((N($D35:$O35)&lt;0)+(N($D35:$O35)&gt;100)))&gt;0,"SCORE OUT OF RANGE","OK")))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IF($C36="","",IF($Q36=0,"",ROUND(SUM($D36:$O36)/$Q36,1)))</f>
        <v/>
      </c>
      <c r="Q36" s="17">
        <f>IF($C36="","",COUNT($D36:$O36))</f>
        <v/>
      </c>
      <c r="R36" s="17">
        <f>IF($C36="","",IF($P36="","",IF($P36&lt;cfgSpellInterventionAvg,"INTERVENTION","OK")))</f>
        <v/>
      </c>
      <c r="S36" s="17">
        <f>IF($C36="","",IF(COUNT($D36:$O36)&lt;&gt;COUNTA($D36:$O36),"SCORE NOT A NUMBER",IF(SUMPRODUCT(($D36:$O36&lt;&gt;"")*((N($D36:$O36)&lt;0)+(N($D36:$O36)&gt;100)))&gt;0,"SCORE OUT OF RANGE","OK")))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IF($C37="","",IF($Q37=0,"",ROUND(SUM($D37:$O37)/$Q37,1)))</f>
        <v/>
      </c>
      <c r="Q37" s="17">
        <f>IF($C37="","",COUNT($D37:$O37))</f>
        <v/>
      </c>
      <c r="R37" s="17">
        <f>IF($C37="","",IF($P37="","",IF($P37&lt;cfgSpellInterventionAvg,"INTERVENTION","OK")))</f>
        <v/>
      </c>
      <c r="S37" s="17">
        <f>IF($C37="","",IF(COUNT($D37:$O37)&lt;&gt;COUNTA($D37:$O37),"SCORE NOT A NUMBER",IF(SUMPRODUCT(($D37:$O37&lt;&gt;"")*((N($D37:$O37)&lt;0)+(N($D37:$O37)&gt;100)))&gt;0,"SCORE OUT OF RANGE","OK")))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IF($C38="","",IF($Q38=0,"",ROUND(SUM($D38:$O38)/$Q38,1)))</f>
        <v/>
      </c>
      <c r="Q38" s="17">
        <f>IF($C38="","",COUNT($D38:$O38))</f>
        <v/>
      </c>
      <c r="R38" s="17">
        <f>IF($C38="","",IF($P38="","",IF($P38&lt;cfgSpellInterventionAvg,"INTERVENTION","OK")))</f>
        <v/>
      </c>
      <c r="S38" s="17">
        <f>IF($C38="","",IF(COUNT($D38:$O38)&lt;&gt;COUNTA($D38:$O38),"SCORE NOT A NUMBER",IF(SUMPRODUCT(($D38:$O38&lt;&gt;"")*((N($D38:$O38)&lt;0)+(N($D38:$O38)&gt;100)))&gt;0,"SCORE OUT OF RANGE","OK")))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IF($C39="","",IF($Q39=0,"",ROUND(SUM($D39:$O39)/$Q39,1)))</f>
        <v/>
      </c>
      <c r="Q39" s="17">
        <f>IF($C39="","",COUNT($D39:$O39))</f>
        <v/>
      </c>
      <c r="R39" s="17">
        <f>IF($C39="","",IF($P39="","",IF($P39&lt;cfgSpellInterventionAvg,"INTERVENTION","OK")))</f>
        <v/>
      </c>
      <c r="S39" s="17">
        <f>IF($C39="","",IF(COUNT($D39:$O39)&lt;&gt;COUNTA($D39:$O39),"SCORE NOT A NUMBER",IF(SUMPRODUCT(($D39:$O39&lt;&gt;"")*((N($D39:$O39)&lt;0)+(N($D39:$O39)&gt;100)))&gt;0,"SCORE OUT OF RANGE","OK")))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IF($C40="","",IF($Q40=0,"",ROUND(SUM($D40:$O40)/$Q40,1)))</f>
        <v/>
      </c>
      <c r="Q40" s="17">
        <f>IF($C40="","",COUNT($D40:$O40))</f>
        <v/>
      </c>
      <c r="R40" s="17">
        <f>IF($C40="","",IF($P40="","",IF($P40&lt;cfgSpellInterventionAvg,"INTERVENTION","OK")))</f>
        <v/>
      </c>
      <c r="S40" s="17">
        <f>IF($C40="","",IF(COUNT($D40:$O40)&lt;&gt;COUNTA($D40:$O40),"SCORE NOT A NUMBER",IF(SUMPRODUCT(($D40:$O40&lt;&gt;"")*((N($D40:$O40)&lt;0)+(N($D40:$O40)&gt;100)))&gt;0,"SCORE OUT OF RANGE","OK")))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IF($C41="","",IF($Q41=0,"",ROUND(SUM($D41:$O41)/$Q41,1)))</f>
        <v/>
      </c>
      <c r="Q41" s="17">
        <f>IF($C41="","",COUNT($D41:$O41))</f>
        <v/>
      </c>
      <c r="R41" s="17">
        <f>IF($C41="","",IF($P41="","",IF($P41&lt;cfgSpellInterventionAvg,"INTERVENTION","OK")))</f>
        <v/>
      </c>
      <c r="S41" s="17">
        <f>IF($C41="","",IF(COUNT($D41:$O41)&lt;&gt;COUNTA($D41:$O41),"SCORE NOT A NUMBER",IF(SUMPRODUCT(($D41:$O41&lt;&gt;"")*((N($D41:$O41)&lt;0)+(N($D41:$O41)&gt;100)))&gt;0,"SCORE OUT OF RANGE","OK")))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IF($C42="","",IF($Q42=0,"",ROUND(SUM($D42:$O42)/$Q42,1)))</f>
        <v/>
      </c>
      <c r="Q42" s="17">
        <f>IF($C42="","",COUNT($D42:$O42))</f>
        <v/>
      </c>
      <c r="R42" s="17">
        <f>IF($C42="","",IF($P42="","",IF($P42&lt;cfgSpellInterventionAvg,"INTERVENTION","OK")))</f>
        <v/>
      </c>
      <c r="S42" s="17">
        <f>IF($C42="","",IF(COUNT($D42:$O42)&lt;&gt;COUNTA($D42:$O42),"SCORE NOT A NUMBER",IF(SUMPRODUCT(($D42:$O42&lt;&gt;"")*((N($D42:$O42)&lt;0)+(N($D42:$O42)&gt;100)))&gt;0,"SCORE OUT OF RANGE","OK")))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IF($C43="","",IF($Q43=0,"",ROUND(SUM($D43:$O43)/$Q43,1)))</f>
        <v/>
      </c>
      <c r="Q43" s="17">
        <f>IF($C43="","",COUNT($D43:$O43))</f>
        <v/>
      </c>
      <c r="R43" s="17">
        <f>IF($C43="","",IF($P43="","",IF($P43&lt;cfgSpellInterventionAvg,"INTERVENTION","OK")))</f>
        <v/>
      </c>
      <c r="S43" s="17">
        <f>IF($C43="","",IF(COUNT($D43:$O43)&lt;&gt;COUNTA($D43:$O43),"SCORE NOT A NUMBER",IF(SUMPRODUCT(($D43:$O43&lt;&gt;"")*((N($D43:$O43)&lt;0)+(N($D43:$O43)&gt;100)))&gt;0,"SCORE OUT OF RANGE","OK")))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IF($C44="","",IF($Q44=0,"",ROUND(SUM($D44:$O44)/$Q44,1)))</f>
        <v/>
      </c>
      <c r="Q44" s="17">
        <f>IF($C44="","",COUNT($D44:$O44))</f>
        <v/>
      </c>
      <c r="R44" s="17">
        <f>IF($C44="","",IF($P44="","",IF($P44&lt;cfgSpellInterventionAvg,"INTERVENTION","OK")))</f>
        <v/>
      </c>
      <c r="S44" s="17">
        <f>IF($C44="","",IF(COUNT($D44:$O44)&lt;&gt;COUNTA($D44:$O44),"SCORE NOT A NUMBER",IF(SUMPRODUCT(($D44:$O44&lt;&gt;"")*((N($D44:$O44)&lt;0)+(N($D44:$O44)&gt;100)))&gt;0,"SCORE OUT OF RANGE","OK")))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IF($C45="","",IF($Q45=0,"",ROUND(SUM($D45:$O45)/$Q45,1)))</f>
        <v/>
      </c>
      <c r="Q45" s="17">
        <f>IF($C45="","",COUNT($D45:$O45))</f>
        <v/>
      </c>
      <c r="R45" s="17">
        <f>IF($C45="","",IF($P45="","",IF($P45&lt;cfgSpellInterventionAvg,"INTERVENTION","OK")))</f>
        <v/>
      </c>
      <c r="S45" s="17">
        <f>IF($C45="","",IF(COUNT($D45:$O45)&lt;&gt;COUNTA($D45:$O45),"SCORE NOT A NUMBER",IF(SUMPRODUCT(($D45:$O45&lt;&gt;"")*((N($D45:$O45)&lt;0)+(N($D45:$O45)&gt;100)))&gt;0,"SCORE OUT OF RANGE","OK")))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IF($C46="","",IF($Q46=0,"",ROUND(SUM($D46:$O46)/$Q46,1)))</f>
        <v/>
      </c>
      <c r="Q46" s="17">
        <f>IF($C46="","",COUNT($D46:$O46))</f>
        <v/>
      </c>
      <c r="R46" s="17">
        <f>IF($C46="","",IF($P46="","",IF($P46&lt;cfgSpellInterventionAvg,"INTERVENTION","OK")))</f>
        <v/>
      </c>
      <c r="S46" s="17">
        <f>IF($C46="","",IF(COUNT($D46:$O46)&lt;&gt;COUNTA($D46:$O46),"SCORE NOT A NUMBER",IF(SUMPRODUCT(($D46:$O46&lt;&gt;"")*((N($D46:$O46)&lt;0)+(N($D46:$O46)&gt;100)))&gt;0,"SCORE OUT OF RANGE","OK")))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IF($C47="","",IF($Q47=0,"",ROUND(SUM($D47:$O47)/$Q47,1)))</f>
        <v/>
      </c>
      <c r="Q47" s="17">
        <f>IF($C47="","",COUNT($D47:$O47))</f>
        <v/>
      </c>
      <c r="R47" s="17">
        <f>IF($C47="","",IF($P47="","",IF($P47&lt;cfgSpellInterventionAvg,"INTERVENTION","OK")))</f>
        <v/>
      </c>
      <c r="S47" s="17">
        <f>IF($C47="","",IF(COUNT($D47:$O47)&lt;&gt;COUNTA($D47:$O47),"SCORE NOT A NUMBER",IF(SUMPRODUCT(($D47:$O47&lt;&gt;"")*((N($D47:$O47)&lt;0)+(N($D47:$O47)&gt;100)))&gt;0,"SCORE OUT OF RANGE","OK")))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IF($C48="","",IF($Q48=0,"",ROUND(SUM($D48:$O48)/$Q48,1)))</f>
        <v/>
      </c>
      <c r="Q48" s="17">
        <f>IF($C48="","",COUNT($D48:$O48))</f>
        <v/>
      </c>
      <c r="R48" s="17">
        <f>IF($C48="","",IF($P48="","",IF($P48&lt;cfgSpellInterventionAvg,"INTERVENTION","OK")))</f>
        <v/>
      </c>
      <c r="S48" s="17">
        <f>IF($C48="","",IF(COUNT($D48:$O48)&lt;&gt;COUNTA($D48:$O48),"SCORE NOT A NUMBER",IF(SUMPRODUCT(($D48:$O48&lt;&gt;"")*((N($D48:$O48)&lt;0)+(N($D48:$O48)&gt;100)))&gt;0,"SCORE OUT OF RANGE","OK")))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IF($C49="","",IF($Q49=0,"",ROUND(SUM($D49:$O49)/$Q49,1)))</f>
        <v/>
      </c>
      <c r="Q49" s="17">
        <f>IF($C49="","",COUNT($D49:$O49))</f>
        <v/>
      </c>
      <c r="R49" s="17">
        <f>IF($C49="","",IF($P49="","",IF($P49&lt;cfgSpellInterventionAvg,"INTERVENTION","OK")))</f>
        <v/>
      </c>
      <c r="S49" s="17">
        <f>IF($C49="","",IF(COUNT($D49:$O49)&lt;&gt;COUNTA($D49:$O49),"SCORE NOT A NUMBER",IF(SUMPRODUCT(($D49:$O49&lt;&gt;"")*((N($D49:$O49)&lt;0)+(N($D49:$O49)&gt;100)))&gt;0,"SCORE OUT OF RANGE","OK")))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IF($C50="","",IF($Q50=0,"",ROUND(SUM($D50:$O50)/$Q50,1)))</f>
        <v/>
      </c>
      <c r="Q50" s="17">
        <f>IF($C50="","",COUNT($D50:$O50))</f>
        <v/>
      </c>
      <c r="R50" s="17">
        <f>IF($C50="","",IF($P50="","",IF($P50&lt;cfgSpellInterventionAvg,"INTERVENTION","OK")))</f>
        <v/>
      </c>
      <c r="S50" s="17">
        <f>IF($C50="","",IF(COUNT($D50:$O50)&lt;&gt;COUNTA($D50:$O50),"SCORE NOT A NUMBER",IF(SUMPRODUCT(($D50:$O50&lt;&gt;"")*((N($D50:$O50)&lt;0)+(N($D50:$O50)&gt;100)))&gt;0,"SCORE OUT OF RANGE","OK")))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IF($C51="","",IF($Q51=0,"",ROUND(SUM($D51:$O51)/$Q51,1)))</f>
        <v/>
      </c>
      <c r="Q51" s="17">
        <f>IF($C51="","",COUNT($D51:$O51))</f>
        <v/>
      </c>
      <c r="R51" s="17">
        <f>IF($C51="","",IF($P51="","",IF($P51&lt;cfgSpellInterventionAvg,"INTERVENTION","OK")))</f>
        <v/>
      </c>
      <c r="S51" s="17">
        <f>IF($C51="","",IF(COUNT($D51:$O51)&lt;&gt;COUNTA($D51:$O51),"SCORE NOT A NUMBER",IF(SUMPRODUCT(($D51:$O51&lt;&gt;"")*((N($D51:$O51)&lt;0)+(N($D51:$O51)&gt;100)))&gt;0,"SCORE OUT OF RANGE","OK")))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IF($C52="","",IF($Q52=0,"",ROUND(SUM($D52:$O52)/$Q52,1)))</f>
        <v/>
      </c>
      <c r="Q52" s="17">
        <f>IF($C52="","",COUNT($D52:$O52))</f>
        <v/>
      </c>
      <c r="R52" s="17">
        <f>IF($C52="","",IF($P52="","",IF($P52&lt;cfgSpellInterventionAvg,"INTERVENTION","OK")))</f>
        <v/>
      </c>
      <c r="S52" s="17">
        <f>IF($C52="","",IF(COUNT($D52:$O52)&lt;&gt;COUNTA($D52:$O52),"SCORE NOT A NUMBER",IF(SUMPRODUCT(($D52:$O52&lt;&gt;"")*((N($D52:$O52)&lt;0)+(N($D52:$O52)&gt;100)))&gt;0,"SCORE OUT OF RANGE","OK")))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IF($C53="","",IF($Q53=0,"",ROUND(SUM($D53:$O53)/$Q53,1)))</f>
        <v/>
      </c>
      <c r="Q53" s="17">
        <f>IF($C53="","",COUNT($D53:$O53))</f>
        <v/>
      </c>
      <c r="R53" s="17">
        <f>IF($C53="","",IF($P53="","",IF($P53&lt;cfgSpellInterventionAvg,"INTERVENTION","OK")))</f>
        <v/>
      </c>
      <c r="S53" s="17">
        <f>IF($C53="","",IF(COUNT($D53:$O53)&lt;&gt;COUNTA($D53:$O53),"SCORE NOT A NUMBER",IF(SUMPRODUCT(($D53:$O53&lt;&gt;"")*((N($D53:$O53)&lt;0)+(N($D53:$O53)&gt;100)))&gt;0,"SCORE OUT OF RANGE","OK")))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IF($C54="","",IF($Q54=0,"",ROUND(SUM($D54:$O54)/$Q54,1)))</f>
        <v/>
      </c>
      <c r="Q54" s="17">
        <f>IF($C54="","",COUNT($D54:$O54))</f>
        <v/>
      </c>
      <c r="R54" s="17">
        <f>IF($C54="","",IF($P54="","",IF($P54&lt;cfgSpellInterventionAvg,"INTERVENTION","OK")))</f>
        <v/>
      </c>
      <c r="S54" s="17">
        <f>IF($C54="","",IF(COUNT($D54:$O54)&lt;&gt;COUNTA($D54:$O54),"SCORE NOT A NUMBER",IF(SUMPRODUCT(($D54:$O54&lt;&gt;"")*((N($D54:$O54)&lt;0)+(N($D54:$O54)&gt;100)))&gt;0,"SCORE OUT OF RANGE","OK")))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IF($C55="","",IF($Q55=0,"",ROUND(SUM($D55:$O55)/$Q55,1)))</f>
        <v/>
      </c>
      <c r="Q55" s="17">
        <f>IF($C55="","",COUNT($D55:$O55))</f>
        <v/>
      </c>
      <c r="R55" s="17">
        <f>IF($C55="","",IF($P55="","",IF($P55&lt;cfgSpellInterventionAvg,"INTERVENTION","OK")))</f>
        <v/>
      </c>
      <c r="S55" s="17">
        <f>IF($C55="","",IF(COUNT($D55:$O55)&lt;&gt;COUNTA($D55:$O55),"SCORE NOT A NUMBER",IF(SUMPRODUCT(($D55:$O55&lt;&gt;"")*((N($D55:$O55)&lt;0)+(N($D55:$O55)&gt;100)))&gt;0,"SCORE OUT OF RANGE","OK")))</f>
        <v/>
      </c>
    </row>
    <row r="56"/>
    <row r="57">
      <c r="C57" s="3" t="inlineStr">
        <is>
          <t>Scores entered:</t>
        </is>
      </c>
      <c r="D57" s="20">
        <f>COUNT(D6:D55)</f>
        <v/>
      </c>
      <c r="E57" s="20">
        <f>COUNT(E6:E55)</f>
        <v/>
      </c>
      <c r="F57" s="20">
        <f>COUNT(F6:F55)</f>
        <v/>
      </c>
      <c r="G57" s="20">
        <f>COUNT(G6:G55)</f>
        <v/>
      </c>
      <c r="H57" s="20">
        <f>COUNT(H6:H55)</f>
        <v/>
      </c>
      <c r="I57" s="20">
        <f>COUNT(I6:I55)</f>
        <v/>
      </c>
      <c r="J57" s="20">
        <f>COUNT(J6:J55)</f>
        <v/>
      </c>
      <c r="K57" s="20">
        <f>COUNT(K6:K55)</f>
        <v/>
      </c>
      <c r="L57" s="20">
        <f>COUNT(L6:L55)</f>
        <v/>
      </c>
      <c r="M57" s="20">
        <f>COUNT(M6:M55)</f>
        <v/>
      </c>
      <c r="N57" s="20">
        <f>COUNT(N6:N55)</f>
        <v/>
      </c>
      <c r="O57" s="20">
        <f>COUNT(O6:O55)</f>
        <v/>
      </c>
    </row>
    <row r="58">
      <c r="C58" s="3" t="inlineStr">
        <is>
          <t>Class average:</t>
        </is>
      </c>
      <c r="D58" s="20">
        <f>IF(D57=0,"",ROUND(AVERAGE(D6:D55),1))</f>
        <v/>
      </c>
      <c r="E58" s="20">
        <f>IF(E57=0,"",ROUND(AVERAGE(E6:E55),1))</f>
        <v/>
      </c>
      <c r="F58" s="20">
        <f>IF(F57=0,"",ROUND(AVERAGE(F6:F55),1))</f>
        <v/>
      </c>
      <c r="G58" s="20">
        <f>IF(G57=0,"",ROUND(AVERAGE(G6:G55),1))</f>
        <v/>
      </c>
      <c r="H58" s="20">
        <f>IF(H57=0,"",ROUND(AVERAGE(H6:H55),1))</f>
        <v/>
      </c>
      <c r="I58" s="20">
        <f>IF(I57=0,"",ROUND(AVERAGE(I6:I55),1))</f>
        <v/>
      </c>
      <c r="J58" s="20">
        <f>IF(J57=0,"",ROUND(AVERAGE(J6:J55),1))</f>
        <v/>
      </c>
      <c r="K58" s="20">
        <f>IF(K57=0,"",ROUND(AVERAGE(K6:K55),1))</f>
        <v/>
      </c>
      <c r="L58" s="20">
        <f>IF(L57=0,"",ROUND(AVERAGE(L6:L55),1))</f>
        <v/>
      </c>
      <c r="M58" s="20">
        <f>IF(M57=0,"",ROUND(AVERAGE(M6:M55),1))</f>
        <v/>
      </c>
      <c r="N58" s="20">
        <f>IF(N57=0,"",ROUND(AVERAGE(N6:N55),1))</f>
        <v/>
      </c>
      <c r="O58" s="20">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S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autoFilter ref="B5:T5"/>
  <conditionalFormatting sqref="S6:S805">
    <cfRule type="expression" priority="1" dxfId="0">
      <formula>$S6="OPEN"</formula>
    </cfRule>
    <cfRule type="expression" priority="2" dxfId="0">
      <formula>$S6="CLEARED (makeup date missing)"</formula>
    </cfRule>
    <cfRule type="expression" priority="3" dxfId="2">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IF($C6="","",COUNTIFS(nrSK_PID,$D6,nrSK_Cat,$E6,nrSK_Res,"Pass")+COUNTIFS(nrSK_PID,$D6,nrSK_Cat,$E6,nrSK_Res,"Fail"))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IF($C7="","",COUNTIFS(nrSK_PID,$D7,nrSK_Cat,$E7,nrSK_Res,"Pass")+COUNTIFS(nrSK_PID,$D7,nrSK_Cat,$E7,nrSK_Res,"Fail"))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IF($C8="","",COUNTIFS(nrSK_PID,$D8,nrSK_Cat,$E8,nrSK_Res,"Pass")+COUNTIFS(nrSK_PID,$D8,nrSK_Cat,$E8,nrSK_Res,"Fail"))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IF($C9="","",COUNTIFS(nrSK_PID,$D9,nrSK_Cat,$E9,nrSK_Res,"Pass")+COUNTIFS(nrSK_PID,$D9,nrSK_Cat,$E9,nrSK_Res,"Fail"))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IF($C10="","",COUNTIFS(nrSK_PID,$D10,nrSK_Cat,$E10,nrSK_Res,"Pass")+COUNTIFS(nrSK_PID,$D10,nrSK_Cat,$E10,nrSK_Res,"Fail"))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IF($C11="","",COUNTIFS(nrSK_PID,$D11,nrSK_Cat,$E11,nrSK_Res,"Pass")+COUNTIFS(nrSK_PID,$D11,nrSK_Cat,$E11,nrSK_Res,"Fail"))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IF($C12="","",COUNTIFS(nrSK_PID,$D12,nrSK_Cat,$E12,nrSK_Res,"Pass")+COUNTIFS(nrSK_PID,$D12,nrSK_Cat,$E12,nrSK_Res,"Fail"))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IF($C13="","",COUNTIFS(nrSK_PID,$D13,nrSK_Cat,$E13,nrSK_Res,"Pass")+COUNTIFS(nrSK_PID,$D13,nrSK_Cat,$E13,nrSK_Res,"Fail"))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IF($C14="","",COUNTIFS(nrSK_PID,$D14,nrSK_Cat,$E14,nrSK_Res,"Pass")+COUNTIFS(nrSK_PID,$D14,nrSK_Cat,$E14,nrSK_Res,"Fail"))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IF($C15="","",COUNTIFS(nrSK_PID,$D15,nrSK_Cat,$E15,nrSK_Res,"Pass")+COUNTIFS(nrSK_PID,$D15,nrSK_Cat,$E15,nrSK_Res,"Fail"))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IF($C16="","",COUNTIFS(nrSK_PID,$D16,nrSK_Cat,$E16,nrSK_Res,"Pass")+COUNTIFS(nrSK_PID,$D16,nrSK_Cat,$E16,nrSK_Res,"Fail"))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IF($C17="","",COUNTIFS(nrSK_PID,$D17,nrSK_Cat,$E17,nrSK_Res,"Pass")+COUNTIFS(nrSK_PID,$D17,nrSK_Cat,$E17,nrSK_Res,"Fail"))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IF($C18="","",COUNTIFS(nrSK_PID,$D18,nrSK_Cat,$E18,nrSK_Res,"Pass")+COUNTIFS(nrSK_PID,$D18,nrSK_Cat,$E18,nrSK_Res,"Fail"))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IF($C19="","",COUNTIFS(nrSK_PID,$D19,nrSK_Cat,$E19,nrSK_Res,"Pass")+COUNTIFS(nrSK_PID,$D19,nrSK_Cat,$E19,nrSK_Res,"Fail"))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IF($C20="","",COUNTIFS(nrSK_PID,$D20,nrSK_Cat,$E20,nrSK_Res,"Pass")+COUNTIFS(nrSK_PID,$D20,nrSK_Cat,$E20,nrSK_Res,"Fail"))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IF($C21="","",COUNTIFS(nrSK_PID,$D21,nrSK_Cat,$E21,nrSK_Res,"Pass")+COUNTIFS(nrSK_PID,$D21,nrSK_Cat,$E21,nrSK_Res,"Fail"))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IF($C22="","",COUNTIFS(nrSK_PID,$D22,nrSK_Cat,$E22,nrSK_Res,"Pass")+COUNTIFS(nrSK_PID,$D22,nrSK_Cat,$E22,nrSK_Res,"Fail"))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IF($C23="","",COUNTIFS(nrSK_PID,$D23,nrSK_Cat,$E23,nrSK_Res,"Pass")+COUNTIFS(nrSK_PID,$D23,nrSK_Cat,$E23,nrSK_Res,"Fail"))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IF($C24="","",COUNTIFS(nrSK_PID,$D24,nrSK_Cat,$E24,nrSK_Res,"Pass")+COUNTIFS(nrSK_PID,$D24,nrSK_Cat,$E24,nrSK_Res,"Fail"))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IF($C25="","",COUNTIFS(nrSK_PID,$D25,nrSK_Cat,$E25,nrSK_Res,"Pass")+COUNTIFS(nrSK_PID,$D25,nrSK_Cat,$E25,nrSK_Res,"Fail"))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IF($C26="","",COUNTIFS(nrSK_PID,$D26,nrSK_Cat,$E26,nrSK_Res,"Pass")+COUNTIFS(nrSK_PID,$D26,nrSK_Cat,$E26,nrSK_Res,"Fail"))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IF($C27="","",COUNTIFS(nrSK_PID,$D27,nrSK_Cat,$E27,nrSK_Res,"Pass")+COUNTIFS(nrSK_PID,$D27,nrSK_Cat,$E27,nrSK_Res,"Fail"))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IF($C28="","",COUNTIFS(nrSK_PID,$D28,nrSK_Cat,$E28,nrSK_Res,"Pass")+COUNTIFS(nrSK_PID,$D28,nrSK_Cat,$E28,nrSK_Res,"Fail"))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IF($C29="","",COUNTIFS(nrSK_PID,$D29,nrSK_Cat,$E29,nrSK_Res,"Pass")+COUNTIFS(nrSK_PID,$D29,nrSK_Cat,$E29,nrSK_Res,"Fail"))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IF($C30="","",COUNTIFS(nrSK_PID,$D30,nrSK_Cat,$E30,nrSK_Res,"Pass")+COUNTIFS(nrSK_PID,$D30,nrSK_Cat,$E30,nrSK_Res,"Fail"))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IF($C31="","",COUNTIFS(nrSK_PID,$D31,nrSK_Cat,$E31,nrSK_Res,"Pass")+COUNTIFS(nrSK_PID,$D31,nrSK_Cat,$E31,nrSK_Res,"Fail"))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IF($C32="","",COUNTIFS(nrSK_PID,$D32,nrSK_Cat,$E32,nrSK_Res,"Pass")+COUNTIFS(nrSK_PID,$D32,nrSK_Cat,$E32,nrSK_Res,"Fail"))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IF($C33="","",COUNTIFS(nrSK_PID,$D33,nrSK_Cat,$E33,nrSK_Res,"Pass")+COUNTIFS(nrSK_PID,$D33,nrSK_Cat,$E33,nrSK_Res,"Fail"))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IF($C34="","",COUNTIFS(nrSK_PID,$D34,nrSK_Cat,$E34,nrSK_Res,"Pass")+COUNTIFS(nrSK_PID,$D34,nrSK_Cat,$E34,nrSK_Res,"Fail"))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IF($C35="","",COUNTIFS(nrSK_PID,$D35,nrSK_Cat,$E35,nrSK_Res,"Pass")+COUNTIFS(nrSK_PID,$D35,nrSK_Cat,$E35,nrSK_Res,"Fail"))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IF($C36="","",COUNTIFS(nrSK_PID,$D36,nrSK_Cat,$E36,nrSK_Res,"Pass")+COUNTIFS(nrSK_PID,$D36,nrSK_Cat,$E36,nrSK_Res,"Fail"))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IF($C37="","",COUNTIFS(nrSK_PID,$D37,nrSK_Cat,$E37,nrSK_Res,"Pass")+COUNTIFS(nrSK_PID,$D37,nrSK_Cat,$E37,nrSK_Res,"Fail"))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IF($C38="","",COUNTIFS(nrSK_PID,$D38,nrSK_Cat,$E38,nrSK_Res,"Pass")+COUNTIFS(nrSK_PID,$D38,nrSK_Cat,$E38,nrSK_Res,"Fail"))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IF($C39="","",COUNTIFS(nrSK_PID,$D39,nrSK_Cat,$E39,nrSK_Res,"Pass")+COUNTIFS(nrSK_PID,$D39,nrSK_Cat,$E39,nrSK_Res,"Fail"))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IF($C40="","",COUNTIFS(nrSK_PID,$D40,nrSK_Cat,$E40,nrSK_Res,"Pass")+COUNTIFS(nrSK_PID,$D40,nrSK_Cat,$E40,nrSK_Res,"Fail"))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IF($C41="","",COUNTIFS(nrSK_PID,$D41,nrSK_Cat,$E41,nrSK_Res,"Pass")+COUNTIFS(nrSK_PID,$D41,nrSK_Cat,$E41,nrSK_Res,"Fail"))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IF($C42="","",COUNTIFS(nrSK_PID,$D42,nrSK_Cat,$E42,nrSK_Res,"Pass")+COUNTIFS(nrSK_PID,$D42,nrSK_Cat,$E42,nrSK_Res,"Fail"))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IF($C43="","",COUNTIFS(nrSK_PID,$D43,nrSK_Cat,$E43,nrSK_Res,"Pass")+COUNTIFS(nrSK_PID,$D43,nrSK_Cat,$E43,nrSK_Res,"Fail"))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IF($C44="","",COUNTIFS(nrSK_PID,$D44,nrSK_Cat,$E44,nrSK_Res,"Pass")+COUNTIFS(nrSK_PID,$D44,nrSK_Cat,$E44,nrSK_Res,"Fail"))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IF($C45="","",COUNTIFS(nrSK_PID,$D45,nrSK_Cat,$E45,nrSK_Res,"Pass")+COUNTIFS(nrSK_PID,$D45,nrSK_Cat,$E45,nrSK_Res,"Fail"))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IF($C46="","",COUNTIFS(nrSK_PID,$D46,nrSK_Cat,$E46,nrSK_Res,"Pass")+COUNTIFS(nrSK_PID,$D46,nrSK_Cat,$E46,nrSK_Res,"Fail"))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IF($C47="","",COUNTIFS(nrSK_PID,$D47,nrSK_Cat,$E47,nrSK_Res,"Pass")+COUNTIFS(nrSK_PID,$D47,nrSK_Cat,$E47,nrSK_Res,"Fail"))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IF($C48="","",COUNTIFS(nrSK_PID,$D48,nrSK_Cat,$E48,nrSK_Res,"Pass")+COUNTIFS(nrSK_PID,$D48,nrSK_Cat,$E48,nrSK_Res,"Fail"))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IF($C49="","",COUNTIFS(nrSK_PID,$D49,nrSK_Cat,$E49,nrSK_Res,"Pass")+COUNTIFS(nrSK_PID,$D49,nrSK_Cat,$E49,nrSK_Res,"Fail"))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IF($C50="","",COUNTIFS(nrSK_PID,$D50,nrSK_Cat,$E50,nrSK_Res,"Pass")+COUNTIFS(nrSK_PID,$D50,nrSK_Cat,$E50,nrSK_Res,"Fail"))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IF($C51="","",COUNTIFS(nrSK_PID,$D51,nrSK_Cat,$E51,nrSK_Res,"Pass")+COUNTIFS(nrSK_PID,$D51,nrSK_Cat,$E51,nrSK_Res,"Fail"))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IF($C52="","",COUNTIFS(nrSK_PID,$D52,nrSK_Cat,$E52,nrSK_Res,"Pass")+COUNTIFS(nrSK_PID,$D52,nrSK_Cat,$E52,nrSK_Res,"Fail"))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IF($C53="","",COUNTIFS(nrSK_PID,$D53,nrSK_Cat,$E53,nrSK_Res,"Pass")+COUNTIFS(nrSK_PID,$D53,nrSK_Cat,$E53,nrSK_Res,"Fail"))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IF($C54="","",COUNTIFS(nrSK_PID,$D54,nrSK_Cat,$E54,nrSK_Res,"Pass")+COUNTIFS(nrSK_PID,$D54,nrSK_Cat,$E54,nrSK_Res,"Fail"))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IF($C55="","",COUNTIFS(nrSK_PID,$D55,nrSK_Cat,$E55,nrSK_Res,"Pass")+COUNTIFS(nrSK_PID,$D55,nrSK_Cat,$E55,nrSK_Res,"Fail"))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IF($C56="","",COUNTIFS(nrSK_PID,$D56,nrSK_Cat,$E56,nrSK_Res,"Pass")+COUNTIFS(nrSK_PID,$D56,nrSK_Cat,$E56,nrSK_Res,"Fail"))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IF($C57="","",COUNTIFS(nrSK_PID,$D57,nrSK_Cat,$E57,nrSK_Res,"Pass")+COUNTIFS(nrSK_PID,$D57,nrSK_Cat,$E57,nrSK_Res,"Fail"))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IF($C58="","",COUNTIFS(nrSK_PID,$D58,nrSK_Cat,$E58,nrSK_Res,"Pass")+COUNTIFS(nrSK_PID,$D58,nrSK_Cat,$E58,nrSK_Res,"Fail"))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IF($C59="","",COUNTIFS(nrSK_PID,$D59,nrSK_Cat,$E59,nrSK_Res,"Pass")+COUNTIFS(nrSK_PID,$D59,nrSK_Cat,$E59,nrSK_Res,"Fail"))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IF($C60="","",COUNTIFS(nrSK_PID,$D60,nrSK_Cat,$E60,nrSK_Res,"Pass")+COUNTIFS(nrSK_PID,$D60,nrSK_Cat,$E60,nrSK_Res,"Fail"))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IF($C61="","",COUNTIFS(nrSK_PID,$D61,nrSK_Cat,$E61,nrSK_Res,"Pass")+COUNTIFS(nrSK_PID,$D61,nrSK_Cat,$E61,nrSK_Res,"Fail"))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IF($C62="","",COUNTIFS(nrSK_PID,$D62,nrSK_Cat,$E62,nrSK_Res,"Pass")+COUNTIFS(nrSK_PID,$D62,nrSK_Cat,$E62,nrSK_Res,"Fail"))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IF($C63="","",COUNTIFS(nrSK_PID,$D63,nrSK_Cat,$E63,nrSK_Res,"Pass")+COUNTIFS(nrSK_PID,$D63,nrSK_Cat,$E63,nrSK_Res,"Fail"))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IF($C64="","",COUNTIFS(nrSK_PID,$D64,nrSK_Cat,$E64,nrSK_Res,"Pass")+COUNTIFS(nrSK_PID,$D64,nrSK_Cat,$E64,nrSK_Res,"Fail"))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IF($C65="","",COUNTIFS(nrSK_PID,$D65,nrSK_Cat,$E65,nrSK_Res,"Pass")+COUNTIFS(nrSK_PID,$D65,nrSK_Cat,$E65,nrSK_Res,"Fail"))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IF($C66="","",COUNTIFS(nrSK_PID,$D66,nrSK_Cat,$E66,nrSK_Res,"Pass")+COUNTIFS(nrSK_PID,$D66,nrSK_Cat,$E66,nrSK_Res,"Fail"))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IF($C67="","",COUNTIFS(nrSK_PID,$D67,nrSK_Cat,$E67,nrSK_Res,"Pass")+COUNTIFS(nrSK_PID,$D67,nrSK_Cat,$E67,nrSK_Res,"Fail"))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IF($C68="","",COUNTIFS(nrSK_PID,$D68,nrSK_Cat,$E68,nrSK_Res,"Pass")+COUNTIFS(nrSK_PID,$D68,nrSK_Cat,$E68,nrSK_Res,"Fail"))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IF($C69="","",COUNTIFS(nrSK_PID,$D69,nrSK_Cat,$E69,nrSK_Res,"Pass")+COUNTIFS(nrSK_PID,$D69,nrSK_Cat,$E69,nrSK_Res,"Fail"))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IF($C70="","",COUNTIFS(nrSK_PID,$D70,nrSK_Cat,$E70,nrSK_Res,"Pass")+COUNTIFS(nrSK_PID,$D70,nrSK_Cat,$E70,nrSK_Res,"Fail"))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IF($C71="","",COUNTIFS(nrSK_PID,$D71,nrSK_Cat,$E71,nrSK_Res,"Pass")+COUNTIFS(nrSK_PID,$D71,nrSK_Cat,$E71,nrSK_Res,"Fail"))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IF($C72="","",COUNTIFS(nrSK_PID,$D72,nrSK_Cat,$E72,nrSK_Res,"Pass")+COUNTIFS(nrSK_PID,$D72,nrSK_Cat,$E72,nrSK_Res,"Fail"))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IF($C73="","",COUNTIFS(nrSK_PID,$D73,nrSK_Cat,$E73,nrSK_Res,"Pass")+COUNTIFS(nrSK_PID,$D73,nrSK_Cat,$E73,nrSK_Res,"Fail"))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IF($C74="","",COUNTIFS(nrSK_PID,$D74,nrSK_Cat,$E74,nrSK_Res,"Pass")+COUNTIFS(nrSK_PID,$D74,nrSK_Cat,$E74,nrSK_Res,"Fail"))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IF($C75="","",COUNTIFS(nrSK_PID,$D75,nrSK_Cat,$E75,nrSK_Res,"Pass")+COUNTIFS(nrSK_PID,$D75,nrSK_Cat,$E75,nrSK_Res,"Fail"))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IF($C76="","",COUNTIFS(nrSK_PID,$D76,nrSK_Cat,$E76,nrSK_Res,"Pass")+COUNTIFS(nrSK_PID,$D76,nrSK_Cat,$E76,nrSK_Res,"Fail"))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IF($C77="","",COUNTIFS(nrSK_PID,$D77,nrSK_Cat,$E77,nrSK_Res,"Pass")+COUNTIFS(nrSK_PID,$D77,nrSK_Cat,$E77,nrSK_Res,"Fail"))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IF($C78="","",COUNTIFS(nrSK_PID,$D78,nrSK_Cat,$E78,nrSK_Res,"Pass")+COUNTIFS(nrSK_PID,$D78,nrSK_Cat,$E78,nrSK_Res,"Fail"))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IF($C79="","",COUNTIFS(nrSK_PID,$D79,nrSK_Cat,$E79,nrSK_Res,"Pass")+COUNTIFS(nrSK_PID,$D79,nrSK_Cat,$E79,nrSK_Res,"Fail"))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IF($C80="","",COUNTIFS(nrSK_PID,$D80,nrSK_Cat,$E80,nrSK_Res,"Pass")+COUNTIFS(nrSK_PID,$D80,nrSK_Cat,$E80,nrSK_Res,"Fail"))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IF($C81="","",COUNTIFS(nrSK_PID,$D81,nrSK_Cat,$E81,nrSK_Res,"Pass")+COUNTIFS(nrSK_PID,$D81,nrSK_Cat,$E81,nrSK_Res,"Fail"))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IF($C82="","",COUNTIFS(nrSK_PID,$D82,nrSK_Cat,$E82,nrSK_Res,"Pass")+COUNTIFS(nrSK_PID,$D82,nrSK_Cat,$E82,nrSK_Res,"Fail"))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IF($C83="","",COUNTIFS(nrSK_PID,$D83,nrSK_Cat,$E83,nrSK_Res,"Pass")+COUNTIFS(nrSK_PID,$D83,nrSK_Cat,$E83,nrSK_Res,"Fail"))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IF($C84="","",COUNTIFS(nrSK_PID,$D84,nrSK_Cat,$E84,nrSK_Res,"Pass")+COUNTIFS(nrSK_PID,$D84,nrSK_Cat,$E84,nrSK_Res,"Fail"))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IF($C85="","",COUNTIFS(nrSK_PID,$D85,nrSK_Cat,$E85,nrSK_Res,"Pass")+COUNTIFS(nrSK_PID,$D85,nrSK_Cat,$E85,nrSK_Res,"Fail"))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IF($C86="","",COUNTIFS(nrSK_PID,$D86,nrSK_Cat,$E86,nrSK_Res,"Pass")+COUNTIFS(nrSK_PID,$D86,nrSK_Cat,$E86,nrSK_Res,"Fail"))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IF($C87="","",COUNTIFS(nrSK_PID,$D87,nrSK_Cat,$E87,nrSK_Res,"Pass")+COUNTIFS(nrSK_PID,$D87,nrSK_Cat,$E87,nrSK_Res,"Fail"))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IF($C88="","",COUNTIFS(nrSK_PID,$D88,nrSK_Cat,$E88,nrSK_Res,"Pass")+COUNTIFS(nrSK_PID,$D88,nrSK_Cat,$E88,nrSK_Res,"Fail"))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IF($C89="","",COUNTIFS(nrSK_PID,$D89,nrSK_Cat,$E89,nrSK_Res,"Pass")+COUNTIFS(nrSK_PID,$D89,nrSK_Cat,$E89,nrSK_Res,"Fail"))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IF($C90="","",COUNTIFS(nrSK_PID,$D90,nrSK_Cat,$E90,nrSK_Res,"Pass")+COUNTIFS(nrSK_PID,$D90,nrSK_Cat,$E90,nrSK_Res,"Fail"))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IF($C91="","",COUNTIFS(nrSK_PID,$D91,nrSK_Cat,$E91,nrSK_Res,"Pass")+COUNTIFS(nrSK_PID,$D91,nrSK_Cat,$E91,nrSK_Res,"Fail"))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IF($C92="","",COUNTIFS(nrSK_PID,$D92,nrSK_Cat,$E92,nrSK_Res,"Pass")+COUNTIFS(nrSK_PID,$D92,nrSK_Cat,$E92,nrSK_Res,"Fail"))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IF($C93="","",COUNTIFS(nrSK_PID,$D93,nrSK_Cat,$E93,nrSK_Res,"Pass")+COUNTIFS(nrSK_PID,$D93,nrSK_Cat,$E93,nrSK_Res,"Fail"))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IF($C94="","",COUNTIFS(nrSK_PID,$D94,nrSK_Cat,$E94,nrSK_Res,"Pass")+COUNTIFS(nrSK_PID,$D94,nrSK_Cat,$E94,nrSK_Res,"Fail"))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IF($C95="","",COUNTIFS(nrSK_PID,$D95,nrSK_Cat,$E95,nrSK_Res,"Pass")+COUNTIFS(nrSK_PID,$D95,nrSK_Cat,$E95,nrSK_Res,"Fail"))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IF($C96="","",COUNTIFS(nrSK_PID,$D96,nrSK_Cat,$E96,nrSK_Res,"Pass")+COUNTIFS(nrSK_PID,$D96,nrSK_Cat,$E96,nrSK_Res,"Fail"))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IF($C97="","",COUNTIFS(nrSK_PID,$D97,nrSK_Cat,$E97,nrSK_Res,"Pass")+COUNTIFS(nrSK_PID,$D97,nrSK_Cat,$E97,nrSK_Res,"Fail"))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IF($C98="","",COUNTIFS(nrSK_PID,$D98,nrSK_Cat,$E98,nrSK_Res,"Pass")+COUNTIFS(nrSK_PID,$D98,nrSK_Cat,$E98,nrSK_Res,"Fail"))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IF($C99="","",COUNTIFS(nrSK_PID,$D99,nrSK_Cat,$E99,nrSK_Res,"Pass")+COUNTIFS(nrSK_PID,$D99,nrSK_Cat,$E99,nrSK_Res,"Fail"))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IF($C100="","",COUNTIFS(nrSK_PID,$D100,nrSK_Cat,$E100,nrSK_Res,"Pass")+COUNTIFS(nrSK_PID,$D100,nrSK_Cat,$E100,nrSK_Res,"Fail"))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IF($C101="","",COUNTIFS(nrSK_PID,$D101,nrSK_Cat,$E101,nrSK_Res,"Pass")+COUNTIFS(nrSK_PID,$D101,nrSK_Cat,$E101,nrSK_Res,"Fail"))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IF($C102="","",COUNTIFS(nrSK_PID,$D102,nrSK_Cat,$E102,nrSK_Res,"Pass")+COUNTIFS(nrSK_PID,$D102,nrSK_Cat,$E102,nrSK_Res,"Fail"))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IF($C103="","",COUNTIFS(nrSK_PID,$D103,nrSK_Cat,$E103,nrSK_Res,"Pass")+COUNTIFS(nrSK_PID,$D103,nrSK_Cat,$E103,nrSK_Res,"Fail"))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IF($C104="","",COUNTIFS(nrSK_PID,$D104,nrSK_Cat,$E104,nrSK_Res,"Pass")+COUNTIFS(nrSK_PID,$D104,nrSK_Cat,$E104,nrSK_Res,"Fail"))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IF($C105="","",COUNTIFS(nrSK_PID,$D105,nrSK_Cat,$E105,nrSK_Res,"Pass")+COUNTIFS(nrSK_PID,$D105,nrSK_Cat,$E105,nrSK_Res,"Fail"))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IF($C106="","",COUNTIFS(nrSK_PID,$D106,nrSK_Cat,$E106,nrSK_Res,"Pass")+COUNTIFS(nrSK_PID,$D106,nrSK_Cat,$E106,nrSK_Res,"Fail"))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IF($C107="","",COUNTIFS(nrSK_PID,$D107,nrSK_Cat,$E107,nrSK_Res,"Pass")+COUNTIFS(nrSK_PID,$D107,nrSK_Cat,$E107,nrSK_Res,"Fail"))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IF($C108="","",COUNTIFS(nrSK_PID,$D108,nrSK_Cat,$E108,nrSK_Res,"Pass")+COUNTIFS(nrSK_PID,$D108,nrSK_Cat,$E108,nrSK_Res,"Fail"))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IF($C109="","",COUNTIFS(nrSK_PID,$D109,nrSK_Cat,$E109,nrSK_Res,"Pass")+COUNTIFS(nrSK_PID,$D109,nrSK_Cat,$E109,nrSK_Res,"Fail"))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IF($C110="","",COUNTIFS(nrSK_PID,$D110,nrSK_Cat,$E110,nrSK_Res,"Pass")+COUNTIFS(nrSK_PID,$D110,nrSK_Cat,$E110,nrSK_Res,"Fail"))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IF($C111="","",COUNTIFS(nrSK_PID,$D111,nrSK_Cat,$E111,nrSK_Res,"Pass")+COUNTIFS(nrSK_PID,$D111,nrSK_Cat,$E111,nrSK_Res,"Fail"))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IF($C112="","",COUNTIFS(nrSK_PID,$D112,nrSK_Cat,$E112,nrSK_Res,"Pass")+COUNTIFS(nrSK_PID,$D112,nrSK_Cat,$E112,nrSK_Res,"Fail"))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IF($C113="","",COUNTIFS(nrSK_PID,$D113,nrSK_Cat,$E113,nrSK_Res,"Pass")+COUNTIFS(nrSK_PID,$D113,nrSK_Cat,$E113,nrSK_Res,"Fail"))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IF($C114="","",COUNTIFS(nrSK_PID,$D114,nrSK_Cat,$E114,nrSK_Res,"Pass")+COUNTIFS(nrSK_PID,$D114,nrSK_Cat,$E114,nrSK_Res,"Fail"))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IF($C115="","",COUNTIFS(nrSK_PID,$D115,nrSK_Cat,$E115,nrSK_Res,"Pass")+COUNTIFS(nrSK_PID,$D115,nrSK_Cat,$E115,nrSK_Res,"Fail"))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IF($C116="","",COUNTIFS(nrSK_PID,$D116,nrSK_Cat,$E116,nrSK_Res,"Pass")+COUNTIFS(nrSK_PID,$D116,nrSK_Cat,$E116,nrSK_Res,"Fail"))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IF($C117="","",COUNTIFS(nrSK_PID,$D117,nrSK_Cat,$E117,nrSK_Res,"Pass")+COUNTIFS(nrSK_PID,$D117,nrSK_Cat,$E117,nrSK_Res,"Fail"))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IF($C118="","",COUNTIFS(nrSK_PID,$D118,nrSK_Cat,$E118,nrSK_Res,"Pass")+COUNTIFS(nrSK_PID,$D118,nrSK_Cat,$E118,nrSK_Res,"Fail"))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IF($C119="","",COUNTIFS(nrSK_PID,$D119,nrSK_Cat,$E119,nrSK_Res,"Pass")+COUNTIFS(nrSK_PID,$D119,nrSK_Cat,$E119,nrSK_Res,"Fail"))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IF($C120="","",COUNTIFS(nrSK_PID,$D120,nrSK_Cat,$E120,nrSK_Res,"Pass")+COUNTIFS(nrSK_PID,$D120,nrSK_Cat,$E120,nrSK_Res,"Fail"))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IF($C121="","",COUNTIFS(nrSK_PID,$D121,nrSK_Cat,$E121,nrSK_Res,"Pass")+COUNTIFS(nrSK_PID,$D121,nrSK_Cat,$E121,nrSK_Res,"Fail"))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IF($C122="","",COUNTIFS(nrSK_PID,$D122,nrSK_Cat,$E122,nrSK_Res,"Pass")+COUNTIFS(nrSK_PID,$D122,nrSK_Cat,$E122,nrSK_Res,"Fail"))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IF($C123="","",COUNTIFS(nrSK_PID,$D123,nrSK_Cat,$E123,nrSK_Res,"Pass")+COUNTIFS(nrSK_PID,$D123,nrSK_Cat,$E123,nrSK_Res,"Fail"))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IF($C124="","",COUNTIFS(nrSK_PID,$D124,nrSK_Cat,$E124,nrSK_Res,"Pass")+COUNTIFS(nrSK_PID,$D124,nrSK_Cat,$E124,nrSK_Res,"Fail"))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IF($C125="","",COUNTIFS(nrSK_PID,$D125,nrSK_Cat,$E125,nrSK_Res,"Pass")+COUNTIFS(nrSK_PID,$D125,nrSK_Cat,$E125,nrSK_Res,"Fail"))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IF($C126="","",COUNTIFS(nrSK_PID,$D126,nrSK_Cat,$E126,nrSK_Res,"Pass")+COUNTIFS(nrSK_PID,$D126,nrSK_Cat,$E126,nrSK_Res,"Fail"))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IF($C127="","",COUNTIFS(nrSK_PID,$D127,nrSK_Cat,$E127,nrSK_Res,"Pass")+COUNTIFS(nrSK_PID,$D127,nrSK_Cat,$E127,nrSK_Res,"Fail"))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IF($C128="","",COUNTIFS(nrSK_PID,$D128,nrSK_Cat,$E128,nrSK_Res,"Pass")+COUNTIFS(nrSK_PID,$D128,nrSK_Cat,$E128,nrSK_Res,"Fail"))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IF($C129="","",COUNTIFS(nrSK_PID,$D129,nrSK_Cat,$E129,nrSK_Res,"Pass")+COUNTIFS(nrSK_PID,$D129,nrSK_Cat,$E129,nrSK_Res,"Fail"))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IF($C130="","",COUNTIFS(nrSK_PID,$D130,nrSK_Cat,$E130,nrSK_Res,"Pass")+COUNTIFS(nrSK_PID,$D130,nrSK_Cat,$E130,nrSK_Res,"Fail"))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IF($C131="","",COUNTIFS(nrSK_PID,$D131,nrSK_Cat,$E131,nrSK_Res,"Pass")+COUNTIFS(nrSK_PID,$D131,nrSK_Cat,$E131,nrSK_Res,"Fail"))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IF($C132="","",COUNTIFS(nrSK_PID,$D132,nrSK_Cat,$E132,nrSK_Res,"Pass")+COUNTIFS(nrSK_PID,$D132,nrSK_Cat,$E132,nrSK_Res,"Fail"))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IF($C133="","",COUNTIFS(nrSK_PID,$D133,nrSK_Cat,$E133,nrSK_Res,"Pass")+COUNTIFS(nrSK_PID,$D133,nrSK_Cat,$E133,nrSK_Res,"Fail"))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IF($C134="","",COUNTIFS(nrSK_PID,$D134,nrSK_Cat,$E134,nrSK_Res,"Pass")+COUNTIFS(nrSK_PID,$D134,nrSK_Cat,$E134,nrSK_Res,"Fail"))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IF($C135="","",COUNTIFS(nrSK_PID,$D135,nrSK_Cat,$E135,nrSK_Res,"Pass")+COUNTIFS(nrSK_PID,$D135,nrSK_Cat,$E135,nrSK_Res,"Fail"))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IF($C136="","",COUNTIFS(nrSK_PID,$D136,nrSK_Cat,$E136,nrSK_Res,"Pass")+COUNTIFS(nrSK_PID,$D136,nrSK_Cat,$E136,nrSK_Res,"Fail"))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IF($C137="","",COUNTIFS(nrSK_PID,$D137,nrSK_Cat,$E137,nrSK_Res,"Pass")+COUNTIFS(nrSK_PID,$D137,nrSK_Cat,$E137,nrSK_Res,"Fail"))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IF($C138="","",COUNTIFS(nrSK_PID,$D138,nrSK_Cat,$E138,nrSK_Res,"Pass")+COUNTIFS(nrSK_PID,$D138,nrSK_Cat,$E138,nrSK_Res,"Fail"))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IF($C139="","",COUNTIFS(nrSK_PID,$D139,nrSK_Cat,$E139,nrSK_Res,"Pass")+COUNTIFS(nrSK_PID,$D139,nrSK_Cat,$E139,nrSK_Res,"Fail"))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IF($C140="","",COUNTIFS(nrSK_PID,$D140,nrSK_Cat,$E140,nrSK_Res,"Pass")+COUNTIFS(nrSK_PID,$D140,nrSK_Cat,$E140,nrSK_Res,"Fail"))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IF($C141="","",COUNTIFS(nrSK_PID,$D141,nrSK_Cat,$E141,nrSK_Res,"Pass")+COUNTIFS(nrSK_PID,$D141,nrSK_Cat,$E141,nrSK_Res,"Fail"))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IF($C142="","",COUNTIFS(nrSK_PID,$D142,nrSK_Cat,$E142,nrSK_Res,"Pass")+COUNTIFS(nrSK_PID,$D142,nrSK_Cat,$E142,nrSK_Res,"Fail"))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IF($C143="","",COUNTIFS(nrSK_PID,$D143,nrSK_Cat,$E143,nrSK_Res,"Pass")+COUNTIFS(nrSK_PID,$D143,nrSK_Cat,$E143,nrSK_Res,"Fail"))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IF($C144="","",COUNTIFS(nrSK_PID,$D144,nrSK_Cat,$E144,nrSK_Res,"Pass")+COUNTIFS(nrSK_PID,$D144,nrSK_Cat,$E144,nrSK_Res,"Fail"))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IF($C145="","",COUNTIFS(nrSK_PID,$D145,nrSK_Cat,$E145,nrSK_Res,"Pass")+COUNTIFS(nrSK_PID,$D145,nrSK_Cat,$E145,nrSK_Res,"Fail"))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IF($C146="","",COUNTIFS(nrSK_PID,$D146,nrSK_Cat,$E146,nrSK_Res,"Pass")+COUNTIFS(nrSK_PID,$D146,nrSK_Cat,$E146,nrSK_Res,"Fail"))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IF($C147="","",COUNTIFS(nrSK_PID,$D147,nrSK_Cat,$E147,nrSK_Res,"Pass")+COUNTIFS(nrSK_PID,$D147,nrSK_Cat,$E147,nrSK_Res,"Fail"))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IF($C148="","",COUNTIFS(nrSK_PID,$D148,nrSK_Cat,$E148,nrSK_Res,"Pass")+COUNTIFS(nrSK_PID,$D148,nrSK_Cat,$E148,nrSK_Res,"Fail"))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IF($C149="","",COUNTIFS(nrSK_PID,$D149,nrSK_Cat,$E149,nrSK_Res,"Pass")+COUNTIFS(nrSK_PID,$D149,nrSK_Cat,$E149,nrSK_Res,"Fail"))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IF($C150="","",COUNTIFS(nrSK_PID,$D150,nrSK_Cat,$E150,nrSK_Res,"Pass")+COUNTIFS(nrSK_PID,$D150,nrSK_Cat,$E150,nrSK_Res,"Fail"))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IF($C151="","",COUNTIFS(nrSK_PID,$D151,nrSK_Cat,$E151,nrSK_Res,"Pass")+COUNTIFS(nrSK_PID,$D151,nrSK_Cat,$E151,nrSK_Res,"Fail"))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IF($C152="","",COUNTIFS(nrSK_PID,$D152,nrSK_Cat,$E152,nrSK_Res,"Pass")+COUNTIFS(nrSK_PID,$D152,nrSK_Cat,$E152,nrSK_Res,"Fail"))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IF($C153="","",COUNTIFS(nrSK_PID,$D153,nrSK_Cat,$E153,nrSK_Res,"Pass")+COUNTIFS(nrSK_PID,$D153,nrSK_Cat,$E153,nrSK_Res,"Fail"))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IF($C154="","",COUNTIFS(nrSK_PID,$D154,nrSK_Cat,$E154,nrSK_Res,"Pass")+COUNTIFS(nrSK_PID,$D154,nrSK_Cat,$E154,nrSK_Res,"Fail"))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IF($C155="","",COUNTIFS(nrSK_PID,$D155,nrSK_Cat,$E155,nrSK_Res,"Pass")+COUNTIFS(nrSK_PID,$D155,nrSK_Cat,$E155,nrSK_Res,"Fail"))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IF($C156="","",COUNTIFS(nrSK_PID,$D156,nrSK_Cat,$E156,nrSK_Res,"Pass")+COUNTIFS(nrSK_PID,$D156,nrSK_Cat,$E156,nrSK_Res,"Fail"))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IF($C157="","",COUNTIFS(nrSK_PID,$D157,nrSK_Cat,$E157,nrSK_Res,"Pass")+COUNTIFS(nrSK_PID,$D157,nrSK_Cat,$E157,nrSK_Res,"Fail"))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IF($C158="","",COUNTIFS(nrSK_PID,$D158,nrSK_Cat,$E158,nrSK_Res,"Pass")+COUNTIFS(nrSK_PID,$D158,nrSK_Cat,$E158,nrSK_Res,"Fail"))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IF($C159="","",COUNTIFS(nrSK_PID,$D159,nrSK_Cat,$E159,nrSK_Res,"Pass")+COUNTIFS(nrSK_PID,$D159,nrSK_Cat,$E159,nrSK_Res,"Fail"))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IF($C160="","",COUNTIFS(nrSK_PID,$D160,nrSK_Cat,$E160,nrSK_Res,"Pass")+COUNTIFS(nrSK_PID,$D160,nrSK_Cat,$E160,nrSK_Res,"Fail"))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IF($C161="","",COUNTIFS(nrSK_PID,$D161,nrSK_Cat,$E161,nrSK_Res,"Pass")+COUNTIFS(nrSK_PID,$D161,nrSK_Cat,$E161,nrSK_Res,"Fail"))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IF($C162="","",COUNTIFS(nrSK_PID,$D162,nrSK_Cat,$E162,nrSK_Res,"Pass")+COUNTIFS(nrSK_PID,$D162,nrSK_Cat,$E162,nrSK_Res,"Fail"))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IF($C163="","",COUNTIFS(nrSK_PID,$D163,nrSK_Cat,$E163,nrSK_Res,"Pass")+COUNTIFS(nrSK_PID,$D163,nrSK_Cat,$E163,nrSK_Res,"Fail"))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IF($C164="","",COUNTIFS(nrSK_PID,$D164,nrSK_Cat,$E164,nrSK_Res,"Pass")+COUNTIFS(nrSK_PID,$D164,nrSK_Cat,$E164,nrSK_Res,"Fail"))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IF($C165="","",COUNTIFS(nrSK_PID,$D165,nrSK_Cat,$E165,nrSK_Res,"Pass")+COUNTIFS(nrSK_PID,$D165,nrSK_Cat,$E165,nrSK_Res,"Fail"))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IF($C166="","",COUNTIFS(nrSK_PID,$D166,nrSK_Cat,$E166,nrSK_Res,"Pass")+COUNTIFS(nrSK_PID,$D166,nrSK_Cat,$E166,nrSK_Res,"Fail"))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IF($C167="","",COUNTIFS(nrSK_PID,$D167,nrSK_Cat,$E167,nrSK_Res,"Pass")+COUNTIFS(nrSK_PID,$D167,nrSK_Cat,$E167,nrSK_Res,"Fail"))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IF($C168="","",COUNTIFS(nrSK_PID,$D168,nrSK_Cat,$E168,nrSK_Res,"Pass")+COUNTIFS(nrSK_PID,$D168,nrSK_Cat,$E168,nrSK_Res,"Fail"))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IF($C169="","",COUNTIFS(nrSK_PID,$D169,nrSK_Cat,$E169,nrSK_Res,"Pass")+COUNTIFS(nrSK_PID,$D169,nrSK_Cat,$E169,nrSK_Res,"Fail"))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IF($C170="","",COUNTIFS(nrSK_PID,$D170,nrSK_Cat,$E170,nrSK_Res,"Pass")+COUNTIFS(nrSK_PID,$D170,nrSK_Cat,$E170,nrSK_Res,"Fail"))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IF($C171="","",COUNTIFS(nrSK_PID,$D171,nrSK_Cat,$E171,nrSK_Res,"Pass")+COUNTIFS(nrSK_PID,$D171,nrSK_Cat,$E171,nrSK_Res,"Fail"))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IF($C172="","",COUNTIFS(nrSK_PID,$D172,nrSK_Cat,$E172,nrSK_Res,"Pass")+COUNTIFS(nrSK_PID,$D172,nrSK_Cat,$E172,nrSK_Res,"Fail"))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IF($C173="","",COUNTIFS(nrSK_PID,$D173,nrSK_Cat,$E173,nrSK_Res,"Pass")+COUNTIFS(nrSK_PID,$D173,nrSK_Cat,$E173,nrSK_Res,"Fail"))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IF($C174="","",COUNTIFS(nrSK_PID,$D174,nrSK_Cat,$E174,nrSK_Res,"Pass")+COUNTIFS(nrSK_PID,$D174,nrSK_Cat,$E174,nrSK_Res,"Fail"))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IF($C175="","",COUNTIFS(nrSK_PID,$D175,nrSK_Cat,$E175,nrSK_Res,"Pass")+COUNTIFS(nrSK_PID,$D175,nrSK_Cat,$E175,nrSK_Res,"Fail"))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IF($C176="","",COUNTIFS(nrSK_PID,$D176,nrSK_Cat,$E176,nrSK_Res,"Pass")+COUNTIFS(nrSK_PID,$D176,nrSK_Cat,$E176,nrSK_Res,"Fail"))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IF($C177="","",COUNTIFS(nrSK_PID,$D177,nrSK_Cat,$E177,nrSK_Res,"Pass")+COUNTIFS(nrSK_PID,$D177,nrSK_Cat,$E177,nrSK_Res,"Fail"))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IF($C178="","",COUNTIFS(nrSK_PID,$D178,nrSK_Cat,$E178,nrSK_Res,"Pass")+COUNTIFS(nrSK_PID,$D178,nrSK_Cat,$E178,nrSK_Res,"Fail"))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IF($C179="","",COUNTIFS(nrSK_PID,$D179,nrSK_Cat,$E179,nrSK_Res,"Pass")+COUNTIFS(nrSK_PID,$D179,nrSK_Cat,$E179,nrSK_Res,"Fail"))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IF($C180="","",COUNTIFS(nrSK_PID,$D180,nrSK_Cat,$E180,nrSK_Res,"Pass")+COUNTIFS(nrSK_PID,$D180,nrSK_Cat,$E180,nrSK_Res,"Fail"))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IF($C181="","",COUNTIFS(nrSK_PID,$D181,nrSK_Cat,$E181,nrSK_Res,"Pass")+COUNTIFS(nrSK_PID,$D181,nrSK_Cat,$E181,nrSK_Res,"Fail"))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IF($C182="","",COUNTIFS(nrSK_PID,$D182,nrSK_Cat,$E182,nrSK_Res,"Pass")+COUNTIFS(nrSK_PID,$D182,nrSK_Cat,$E182,nrSK_Res,"Fail"))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IF($C183="","",COUNTIFS(nrSK_PID,$D183,nrSK_Cat,$E183,nrSK_Res,"Pass")+COUNTIFS(nrSK_PID,$D183,nrSK_Cat,$E183,nrSK_Res,"Fail"))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IF($C184="","",COUNTIFS(nrSK_PID,$D184,nrSK_Cat,$E184,nrSK_Res,"Pass")+COUNTIFS(nrSK_PID,$D184,nrSK_Cat,$E184,nrSK_Res,"Fail"))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IF($C185="","",COUNTIFS(nrSK_PID,$D185,nrSK_Cat,$E185,nrSK_Res,"Pass")+COUNTIFS(nrSK_PID,$D185,nrSK_Cat,$E185,nrSK_Res,"Fail"))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IF($C186="","",COUNTIFS(nrSK_PID,$D186,nrSK_Cat,$E186,nrSK_Res,"Pass")+COUNTIFS(nrSK_PID,$D186,nrSK_Cat,$E186,nrSK_Res,"Fail"))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IF($C187="","",COUNTIFS(nrSK_PID,$D187,nrSK_Cat,$E187,nrSK_Res,"Pass")+COUNTIFS(nrSK_PID,$D187,nrSK_Cat,$E187,nrSK_Res,"Fail"))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IF($C188="","",COUNTIFS(nrSK_PID,$D188,nrSK_Cat,$E188,nrSK_Res,"Pass")+COUNTIFS(nrSK_PID,$D188,nrSK_Cat,$E188,nrSK_Res,"Fail"))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IF($C189="","",COUNTIFS(nrSK_PID,$D189,nrSK_Cat,$E189,nrSK_Res,"Pass")+COUNTIFS(nrSK_PID,$D189,nrSK_Cat,$E189,nrSK_Res,"Fail"))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IF($C190="","",COUNTIFS(nrSK_PID,$D190,nrSK_Cat,$E190,nrSK_Res,"Pass")+COUNTIFS(nrSK_PID,$D190,nrSK_Cat,$E190,nrSK_Res,"Fail"))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IF($C191="","",COUNTIFS(nrSK_PID,$D191,nrSK_Cat,$E191,nrSK_Res,"Pass")+COUNTIFS(nrSK_PID,$D191,nrSK_Cat,$E191,nrSK_Res,"Fail"))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IF($C192="","",COUNTIFS(nrSK_PID,$D192,nrSK_Cat,$E192,nrSK_Res,"Pass")+COUNTIFS(nrSK_PID,$D192,nrSK_Cat,$E192,nrSK_Res,"Fail"))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IF($C193="","",COUNTIFS(nrSK_PID,$D193,nrSK_Cat,$E193,nrSK_Res,"Pass")+COUNTIFS(nrSK_PID,$D193,nrSK_Cat,$E193,nrSK_Res,"Fail"))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IF($C194="","",COUNTIFS(nrSK_PID,$D194,nrSK_Cat,$E194,nrSK_Res,"Pass")+COUNTIFS(nrSK_PID,$D194,nrSK_Cat,$E194,nrSK_Res,"Fail"))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IF($C195="","",COUNTIFS(nrSK_PID,$D195,nrSK_Cat,$E195,nrSK_Res,"Pass")+COUNTIFS(nrSK_PID,$D195,nrSK_Cat,$E195,nrSK_Res,"Fail"))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IF($C196="","",COUNTIFS(nrSK_PID,$D196,nrSK_Cat,$E196,nrSK_Res,"Pass")+COUNTIFS(nrSK_PID,$D196,nrSK_Cat,$E196,nrSK_Res,"Fail"))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IF($C197="","",COUNTIFS(nrSK_PID,$D197,nrSK_Cat,$E197,nrSK_Res,"Pass")+COUNTIFS(nrSK_PID,$D197,nrSK_Cat,$E197,nrSK_Res,"Fail"))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IF($C198="","",COUNTIFS(nrSK_PID,$D198,nrSK_Cat,$E198,nrSK_Res,"Pass")+COUNTIFS(nrSK_PID,$D198,nrSK_Cat,$E198,nrSK_Res,"Fail"))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IF($C199="","",COUNTIFS(nrSK_PID,$D199,nrSK_Cat,$E199,nrSK_Res,"Pass")+COUNTIFS(nrSK_PID,$D199,nrSK_Cat,$E199,nrSK_Res,"Fail"))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IF($C200="","",COUNTIFS(nrSK_PID,$D200,nrSK_Cat,$E200,nrSK_Res,"Pass")+COUNTIFS(nrSK_PID,$D200,nrSK_Cat,$E200,nrSK_Res,"Fail"))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IF($C201="","",COUNTIFS(nrSK_PID,$D201,nrSK_Cat,$E201,nrSK_Res,"Pass")+COUNTIFS(nrSK_PID,$D201,nrSK_Cat,$E201,nrSK_Res,"Fail"))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IF($C202="","",COUNTIFS(nrSK_PID,$D202,nrSK_Cat,$E202,nrSK_Res,"Pass")+COUNTIFS(nrSK_PID,$D202,nrSK_Cat,$E202,nrSK_Res,"Fail"))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IF($C203="","",COUNTIFS(nrSK_PID,$D203,nrSK_Cat,$E203,nrSK_Res,"Pass")+COUNTIFS(nrSK_PID,$D203,nrSK_Cat,$E203,nrSK_Res,"Fail"))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IF($C204="","",COUNTIFS(nrSK_PID,$D204,nrSK_Cat,$E204,nrSK_Res,"Pass")+COUNTIFS(nrSK_PID,$D204,nrSK_Cat,$E204,nrSK_Res,"Fail"))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IF($C205="","",COUNTIFS(nrSK_PID,$D205,nrSK_Cat,$E205,nrSK_Res,"Pass")+COUNTIFS(nrSK_PID,$D205,nrSK_Cat,$E205,nrSK_Res,"Fail"))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IF($C206="","",COUNTIFS(nrSK_PID,$D206,nrSK_Cat,$E206,nrSK_Res,"Pass")+COUNTIFS(nrSK_PID,$D206,nrSK_Cat,$E206,nrSK_Res,"Fail"))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IF($C207="","",COUNTIFS(nrSK_PID,$D207,nrSK_Cat,$E207,nrSK_Res,"Pass")+COUNTIFS(nrSK_PID,$D207,nrSK_Cat,$E207,nrSK_Res,"Fail"))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IF($C208="","",COUNTIFS(nrSK_PID,$D208,nrSK_Cat,$E208,nrSK_Res,"Pass")+COUNTIFS(nrSK_PID,$D208,nrSK_Cat,$E208,nrSK_Res,"Fail"))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IF($C209="","",COUNTIFS(nrSK_PID,$D209,nrSK_Cat,$E209,nrSK_Res,"Pass")+COUNTIFS(nrSK_PID,$D209,nrSK_Cat,$E209,nrSK_Res,"Fail"))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IF($C210="","",COUNTIFS(nrSK_PID,$D210,nrSK_Cat,$E210,nrSK_Res,"Pass")+COUNTIFS(nrSK_PID,$D210,nrSK_Cat,$E210,nrSK_Res,"Fail"))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IF($C211="","",COUNTIFS(nrSK_PID,$D211,nrSK_Cat,$E211,nrSK_Res,"Pass")+COUNTIFS(nrSK_PID,$D211,nrSK_Cat,$E211,nrSK_Res,"Fail"))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IF($C212="","",COUNTIFS(nrSK_PID,$D212,nrSK_Cat,$E212,nrSK_Res,"Pass")+COUNTIFS(nrSK_PID,$D212,nrSK_Cat,$E212,nrSK_Res,"Fail"))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IF($C213="","",COUNTIFS(nrSK_PID,$D213,nrSK_Cat,$E213,nrSK_Res,"Pass")+COUNTIFS(nrSK_PID,$D213,nrSK_Cat,$E213,nrSK_Res,"Fail"))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IF($C214="","",COUNTIFS(nrSK_PID,$D214,nrSK_Cat,$E214,nrSK_Res,"Pass")+COUNTIFS(nrSK_PID,$D214,nrSK_Cat,$E214,nrSK_Res,"Fail"))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IF($C215="","",COUNTIFS(nrSK_PID,$D215,nrSK_Cat,$E215,nrSK_Res,"Pass")+COUNTIFS(nrSK_PID,$D215,nrSK_Cat,$E215,nrSK_Res,"Fail"))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IF($C216="","",COUNTIFS(nrSK_PID,$D216,nrSK_Cat,$E216,nrSK_Res,"Pass")+COUNTIFS(nrSK_PID,$D216,nrSK_Cat,$E216,nrSK_Res,"Fail"))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IF($C217="","",COUNTIFS(nrSK_PID,$D217,nrSK_Cat,$E217,nrSK_Res,"Pass")+COUNTIFS(nrSK_PID,$D217,nrSK_Cat,$E217,nrSK_Res,"Fail"))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IF($C218="","",COUNTIFS(nrSK_PID,$D218,nrSK_Cat,$E218,nrSK_Res,"Pass")+COUNTIFS(nrSK_PID,$D218,nrSK_Cat,$E218,nrSK_Res,"Fail"))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IF($C219="","",COUNTIFS(nrSK_PID,$D219,nrSK_Cat,$E219,nrSK_Res,"Pass")+COUNTIFS(nrSK_PID,$D219,nrSK_Cat,$E219,nrSK_Res,"Fail"))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IF($C220="","",COUNTIFS(nrSK_PID,$D220,nrSK_Cat,$E220,nrSK_Res,"Pass")+COUNTIFS(nrSK_PID,$D220,nrSK_Cat,$E220,nrSK_Res,"Fail"))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IF($C221="","",COUNTIFS(nrSK_PID,$D221,nrSK_Cat,$E221,nrSK_Res,"Pass")+COUNTIFS(nrSK_PID,$D221,nrSK_Cat,$E221,nrSK_Res,"Fail"))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IF($C222="","",COUNTIFS(nrSK_PID,$D222,nrSK_Cat,$E222,nrSK_Res,"Pass")+COUNTIFS(nrSK_PID,$D222,nrSK_Cat,$E222,nrSK_Res,"Fail"))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IF($C223="","",COUNTIFS(nrSK_PID,$D223,nrSK_Cat,$E223,nrSK_Res,"Pass")+COUNTIFS(nrSK_PID,$D223,nrSK_Cat,$E223,nrSK_Res,"Fail"))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IF($C224="","",COUNTIFS(nrSK_PID,$D224,nrSK_Cat,$E224,nrSK_Res,"Pass")+COUNTIFS(nrSK_PID,$D224,nrSK_Cat,$E224,nrSK_Res,"Fail"))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IF($C225="","",COUNTIFS(nrSK_PID,$D225,nrSK_Cat,$E225,nrSK_Res,"Pass")+COUNTIFS(nrSK_PID,$D225,nrSK_Cat,$E225,nrSK_Res,"Fail"))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IF($C226="","",COUNTIFS(nrSK_PID,$D226,nrSK_Cat,$E226,nrSK_Res,"Pass")+COUNTIFS(nrSK_PID,$D226,nrSK_Cat,$E226,nrSK_Res,"Fail"))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IF($C227="","",COUNTIFS(nrSK_PID,$D227,nrSK_Cat,$E227,nrSK_Res,"Pass")+COUNTIFS(nrSK_PID,$D227,nrSK_Cat,$E227,nrSK_Res,"Fail"))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IF($C228="","",COUNTIFS(nrSK_PID,$D228,nrSK_Cat,$E228,nrSK_Res,"Pass")+COUNTIFS(nrSK_PID,$D228,nrSK_Cat,$E228,nrSK_Res,"Fail"))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IF($C229="","",COUNTIFS(nrSK_PID,$D229,nrSK_Cat,$E229,nrSK_Res,"Pass")+COUNTIFS(nrSK_PID,$D229,nrSK_Cat,$E229,nrSK_Res,"Fail"))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IF($C230="","",COUNTIFS(nrSK_PID,$D230,nrSK_Cat,$E230,nrSK_Res,"Pass")+COUNTIFS(nrSK_PID,$D230,nrSK_Cat,$E230,nrSK_Res,"Fail"))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IF($C231="","",COUNTIFS(nrSK_PID,$D231,nrSK_Cat,$E231,nrSK_Res,"Pass")+COUNTIFS(nrSK_PID,$D231,nrSK_Cat,$E231,nrSK_Res,"Fail"))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IF($C232="","",COUNTIFS(nrSK_PID,$D232,nrSK_Cat,$E232,nrSK_Res,"Pass")+COUNTIFS(nrSK_PID,$D232,nrSK_Cat,$E232,nrSK_Res,"Fail"))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IF($C233="","",COUNTIFS(nrSK_PID,$D233,nrSK_Cat,$E233,nrSK_Res,"Pass")+COUNTIFS(nrSK_PID,$D233,nrSK_Cat,$E233,nrSK_Res,"Fail"))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IF($C234="","",COUNTIFS(nrSK_PID,$D234,nrSK_Cat,$E234,nrSK_Res,"Pass")+COUNTIFS(nrSK_PID,$D234,nrSK_Cat,$E234,nrSK_Res,"Fail"))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IF($C235="","",COUNTIFS(nrSK_PID,$D235,nrSK_Cat,$E235,nrSK_Res,"Pass")+COUNTIFS(nrSK_PID,$D235,nrSK_Cat,$E235,nrSK_Res,"Fail"))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IF($C236="","",COUNTIFS(nrSK_PID,$D236,nrSK_Cat,$E236,nrSK_Res,"Pass")+COUNTIFS(nrSK_PID,$D236,nrSK_Cat,$E236,nrSK_Res,"Fail"))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IF($C237="","",COUNTIFS(nrSK_PID,$D237,nrSK_Cat,$E237,nrSK_Res,"Pass")+COUNTIFS(nrSK_PID,$D237,nrSK_Cat,$E237,nrSK_Res,"Fail"))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IF($C238="","",COUNTIFS(nrSK_PID,$D238,nrSK_Cat,$E238,nrSK_Res,"Pass")+COUNTIFS(nrSK_PID,$D238,nrSK_Cat,$E238,nrSK_Res,"Fail"))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IF($C239="","",COUNTIFS(nrSK_PID,$D239,nrSK_Cat,$E239,nrSK_Res,"Pass")+COUNTIFS(nrSK_PID,$D239,nrSK_Cat,$E239,nrSK_Res,"Fail"))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IF($C240="","",COUNTIFS(nrSK_PID,$D240,nrSK_Cat,$E240,nrSK_Res,"Pass")+COUNTIFS(nrSK_PID,$D240,nrSK_Cat,$E240,nrSK_Res,"Fail"))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IF($C241="","",COUNTIFS(nrSK_PID,$D241,nrSK_Cat,$E241,nrSK_Res,"Pass")+COUNTIFS(nrSK_PID,$D241,nrSK_Cat,$E241,nrSK_Res,"Fail"))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IF($C242="","",COUNTIFS(nrSK_PID,$D242,nrSK_Cat,$E242,nrSK_Res,"Pass")+COUNTIFS(nrSK_PID,$D242,nrSK_Cat,$E242,nrSK_Res,"Fail"))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IF($C243="","",COUNTIFS(nrSK_PID,$D243,nrSK_Cat,$E243,nrSK_Res,"Pass")+COUNTIFS(nrSK_PID,$D243,nrSK_Cat,$E243,nrSK_Res,"Fail"))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IF($C244="","",COUNTIFS(nrSK_PID,$D244,nrSK_Cat,$E244,nrSK_Res,"Pass")+COUNTIFS(nrSK_PID,$D244,nrSK_Cat,$E244,nrSK_Res,"Fail"))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IF($C245="","",COUNTIFS(nrSK_PID,$D245,nrSK_Cat,$E245,nrSK_Res,"Pass")+COUNTIFS(nrSK_PID,$D245,nrSK_Cat,$E245,nrSK_Res,"Fail"))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IF($C246="","",COUNTIFS(nrSK_PID,$D246,nrSK_Cat,$E246,nrSK_Res,"Pass")+COUNTIFS(nrSK_PID,$D246,nrSK_Cat,$E246,nrSK_Res,"Fail"))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IF($C247="","",COUNTIFS(nrSK_PID,$D247,nrSK_Cat,$E247,nrSK_Res,"Pass")+COUNTIFS(nrSK_PID,$D247,nrSK_Cat,$E247,nrSK_Res,"Fail"))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IF($C248="","",COUNTIFS(nrSK_PID,$D248,nrSK_Cat,$E248,nrSK_Res,"Pass")+COUNTIFS(nrSK_PID,$D248,nrSK_Cat,$E248,nrSK_Res,"Fail"))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IF($C249="","",COUNTIFS(nrSK_PID,$D249,nrSK_Cat,$E249,nrSK_Res,"Pass")+COUNTIFS(nrSK_PID,$D249,nrSK_Cat,$E249,nrSK_Res,"Fail"))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IF($C250="","",COUNTIFS(nrSK_PID,$D250,nrSK_Cat,$E250,nrSK_Res,"Pass")+COUNTIFS(nrSK_PID,$D250,nrSK_Cat,$E250,nrSK_Res,"Fail"))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IF($C251="","",COUNTIFS(nrSK_PID,$D251,nrSK_Cat,$E251,nrSK_Res,"Pass")+COUNTIFS(nrSK_PID,$D251,nrSK_Cat,$E251,nrSK_Res,"Fail"))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IF($C252="","",COUNTIFS(nrSK_PID,$D252,nrSK_Cat,$E252,nrSK_Res,"Pass")+COUNTIFS(nrSK_PID,$D252,nrSK_Cat,$E252,nrSK_Res,"Fail"))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IF($C253="","",COUNTIFS(nrSK_PID,$D253,nrSK_Cat,$E253,nrSK_Res,"Pass")+COUNTIFS(nrSK_PID,$D253,nrSK_Cat,$E253,nrSK_Res,"Fail"))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IF($C254="","",COUNTIFS(nrSK_PID,$D254,nrSK_Cat,$E254,nrSK_Res,"Pass")+COUNTIFS(nrSK_PID,$D254,nrSK_Cat,$E254,nrSK_Res,"Fail"))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IF($C255="","",COUNTIFS(nrSK_PID,$D255,nrSK_Cat,$E255,nrSK_Res,"Pass")+COUNTIFS(nrSK_PID,$D255,nrSK_Cat,$E255,nrSK_Res,"Fail"))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IF($C256="","",COUNTIFS(nrSK_PID,$D256,nrSK_Cat,$E256,nrSK_Res,"Pass")+COUNTIFS(nrSK_PID,$D256,nrSK_Cat,$E256,nrSK_Res,"Fail"))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IF($C257="","",COUNTIFS(nrSK_PID,$D257,nrSK_Cat,$E257,nrSK_Res,"Pass")+COUNTIFS(nrSK_PID,$D257,nrSK_Cat,$E257,nrSK_Res,"Fail"))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IF($C258="","",COUNTIFS(nrSK_PID,$D258,nrSK_Cat,$E258,nrSK_Res,"Pass")+COUNTIFS(nrSK_PID,$D258,nrSK_Cat,$E258,nrSK_Res,"Fail"))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IF($C259="","",COUNTIFS(nrSK_PID,$D259,nrSK_Cat,$E259,nrSK_Res,"Pass")+COUNTIFS(nrSK_PID,$D259,nrSK_Cat,$E259,nrSK_Res,"Fail"))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IF($C260="","",COUNTIFS(nrSK_PID,$D260,nrSK_Cat,$E260,nrSK_Res,"Pass")+COUNTIFS(nrSK_PID,$D260,nrSK_Cat,$E260,nrSK_Res,"Fail"))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IF($C261="","",COUNTIFS(nrSK_PID,$D261,nrSK_Cat,$E261,nrSK_Res,"Pass")+COUNTIFS(nrSK_PID,$D261,nrSK_Cat,$E261,nrSK_Res,"Fail"))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IF($C262="","",COUNTIFS(nrSK_PID,$D262,nrSK_Cat,$E262,nrSK_Res,"Pass")+COUNTIFS(nrSK_PID,$D262,nrSK_Cat,$E262,nrSK_Res,"Fail"))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IF($C263="","",COUNTIFS(nrSK_PID,$D263,nrSK_Cat,$E263,nrSK_Res,"Pass")+COUNTIFS(nrSK_PID,$D263,nrSK_Cat,$E263,nrSK_Res,"Fail"))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IF($C264="","",COUNTIFS(nrSK_PID,$D264,nrSK_Cat,$E264,nrSK_Res,"Pass")+COUNTIFS(nrSK_PID,$D264,nrSK_Cat,$E264,nrSK_Res,"Fail"))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IF($C265="","",COUNTIFS(nrSK_PID,$D265,nrSK_Cat,$E265,nrSK_Res,"Pass")+COUNTIFS(nrSK_PID,$D265,nrSK_Cat,$E265,nrSK_Res,"Fail"))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IF($C266="","",COUNTIFS(nrSK_PID,$D266,nrSK_Cat,$E266,nrSK_Res,"Pass")+COUNTIFS(nrSK_PID,$D266,nrSK_Cat,$E266,nrSK_Res,"Fail"))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IF($C267="","",COUNTIFS(nrSK_PID,$D267,nrSK_Cat,$E267,nrSK_Res,"Pass")+COUNTIFS(nrSK_PID,$D267,nrSK_Cat,$E267,nrSK_Res,"Fail"))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IF($C268="","",COUNTIFS(nrSK_PID,$D268,nrSK_Cat,$E268,nrSK_Res,"Pass")+COUNTIFS(nrSK_PID,$D268,nrSK_Cat,$E268,nrSK_Res,"Fail"))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IF($C269="","",COUNTIFS(nrSK_PID,$D269,nrSK_Cat,$E269,nrSK_Res,"Pass")+COUNTIFS(nrSK_PID,$D269,nrSK_Cat,$E269,nrSK_Res,"Fail"))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IF($C270="","",COUNTIFS(nrSK_PID,$D270,nrSK_Cat,$E270,nrSK_Res,"Pass")+COUNTIFS(nrSK_PID,$D270,nrSK_Cat,$E270,nrSK_Res,"Fail"))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IF($C271="","",COUNTIFS(nrSK_PID,$D271,nrSK_Cat,$E271,nrSK_Res,"Pass")+COUNTIFS(nrSK_PID,$D271,nrSK_Cat,$E271,nrSK_Res,"Fail"))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IF($C272="","",COUNTIFS(nrSK_PID,$D272,nrSK_Cat,$E272,nrSK_Res,"Pass")+COUNTIFS(nrSK_PID,$D272,nrSK_Cat,$E272,nrSK_Res,"Fail"))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IF($C273="","",COUNTIFS(nrSK_PID,$D273,nrSK_Cat,$E273,nrSK_Res,"Pass")+COUNTIFS(nrSK_PID,$D273,nrSK_Cat,$E273,nrSK_Res,"Fail"))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IF($C274="","",COUNTIFS(nrSK_PID,$D274,nrSK_Cat,$E274,nrSK_Res,"Pass")+COUNTIFS(nrSK_PID,$D274,nrSK_Cat,$E274,nrSK_Res,"Fail"))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IF($C275="","",COUNTIFS(nrSK_PID,$D275,nrSK_Cat,$E275,nrSK_Res,"Pass")+COUNTIFS(nrSK_PID,$D275,nrSK_Cat,$E275,nrSK_Res,"Fail"))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IF($C276="","",COUNTIFS(nrSK_PID,$D276,nrSK_Cat,$E276,nrSK_Res,"Pass")+COUNTIFS(nrSK_PID,$D276,nrSK_Cat,$E276,nrSK_Res,"Fail"))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IF($C277="","",COUNTIFS(nrSK_PID,$D277,nrSK_Cat,$E277,nrSK_Res,"Pass")+COUNTIFS(nrSK_PID,$D277,nrSK_Cat,$E277,nrSK_Res,"Fail"))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IF($C278="","",COUNTIFS(nrSK_PID,$D278,nrSK_Cat,$E278,nrSK_Res,"Pass")+COUNTIFS(nrSK_PID,$D278,nrSK_Cat,$E278,nrSK_Res,"Fail"))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IF($C279="","",COUNTIFS(nrSK_PID,$D279,nrSK_Cat,$E279,nrSK_Res,"Pass")+COUNTIFS(nrSK_PID,$D279,nrSK_Cat,$E279,nrSK_Res,"Fail"))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IF($C280="","",COUNTIFS(nrSK_PID,$D280,nrSK_Cat,$E280,nrSK_Res,"Pass")+COUNTIFS(nrSK_PID,$D280,nrSK_Cat,$E280,nrSK_Res,"Fail"))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IF($C281="","",COUNTIFS(nrSK_PID,$D281,nrSK_Cat,$E281,nrSK_Res,"Pass")+COUNTIFS(nrSK_PID,$D281,nrSK_Cat,$E281,nrSK_Res,"Fail"))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IF($C282="","",COUNTIFS(nrSK_PID,$D282,nrSK_Cat,$E282,nrSK_Res,"Pass")+COUNTIFS(nrSK_PID,$D282,nrSK_Cat,$E282,nrSK_Res,"Fail"))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IF($C283="","",COUNTIFS(nrSK_PID,$D283,nrSK_Cat,$E283,nrSK_Res,"Pass")+COUNTIFS(nrSK_PID,$D283,nrSK_Cat,$E283,nrSK_Res,"Fail"))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IF($C284="","",COUNTIFS(nrSK_PID,$D284,nrSK_Cat,$E284,nrSK_Res,"Pass")+COUNTIFS(nrSK_PID,$D284,nrSK_Cat,$E284,nrSK_Res,"Fail"))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IF($C285="","",COUNTIFS(nrSK_PID,$D285,nrSK_Cat,$E285,nrSK_Res,"Pass")+COUNTIFS(nrSK_PID,$D285,nrSK_Cat,$E285,nrSK_Res,"Fail"))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IF($C286="","",COUNTIFS(nrSK_PID,$D286,nrSK_Cat,$E286,nrSK_Res,"Pass")+COUNTIFS(nrSK_PID,$D286,nrSK_Cat,$E286,nrSK_Res,"Fail"))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IF($C287="","",COUNTIFS(nrSK_PID,$D287,nrSK_Cat,$E287,nrSK_Res,"Pass")+COUNTIFS(nrSK_PID,$D287,nrSK_Cat,$E287,nrSK_Res,"Fail"))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IF($C288="","",COUNTIFS(nrSK_PID,$D288,nrSK_Cat,$E288,nrSK_Res,"Pass")+COUNTIFS(nrSK_PID,$D288,nrSK_Cat,$E288,nrSK_Res,"Fail"))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IF($C289="","",COUNTIFS(nrSK_PID,$D289,nrSK_Cat,$E289,nrSK_Res,"Pass")+COUNTIFS(nrSK_PID,$D289,nrSK_Cat,$E289,nrSK_Res,"Fail"))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IF($C290="","",COUNTIFS(nrSK_PID,$D290,nrSK_Cat,$E290,nrSK_Res,"Pass")+COUNTIFS(nrSK_PID,$D290,nrSK_Cat,$E290,nrSK_Res,"Fail"))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IF($C291="","",COUNTIFS(nrSK_PID,$D291,nrSK_Cat,$E291,nrSK_Res,"Pass")+COUNTIFS(nrSK_PID,$D291,nrSK_Cat,$E291,nrSK_Res,"Fail"))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IF($C292="","",COUNTIFS(nrSK_PID,$D292,nrSK_Cat,$E292,nrSK_Res,"Pass")+COUNTIFS(nrSK_PID,$D292,nrSK_Cat,$E292,nrSK_Res,"Fail"))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IF($C293="","",COUNTIFS(nrSK_PID,$D293,nrSK_Cat,$E293,nrSK_Res,"Pass")+COUNTIFS(nrSK_PID,$D293,nrSK_Cat,$E293,nrSK_Res,"Fail"))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IF($C294="","",COUNTIFS(nrSK_PID,$D294,nrSK_Cat,$E294,nrSK_Res,"Pass")+COUNTIFS(nrSK_PID,$D294,nrSK_Cat,$E294,nrSK_Res,"Fail"))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IF($C295="","",COUNTIFS(nrSK_PID,$D295,nrSK_Cat,$E295,nrSK_Res,"Pass")+COUNTIFS(nrSK_PID,$D295,nrSK_Cat,$E295,nrSK_Res,"Fail"))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IF($C296="","",COUNTIFS(nrSK_PID,$D296,nrSK_Cat,$E296,nrSK_Res,"Pass")+COUNTIFS(nrSK_PID,$D296,nrSK_Cat,$E296,nrSK_Res,"Fail"))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IF($C297="","",COUNTIFS(nrSK_PID,$D297,nrSK_Cat,$E297,nrSK_Res,"Pass")+COUNTIFS(nrSK_PID,$D297,nrSK_Cat,$E297,nrSK_Res,"Fail"))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IF($C298="","",COUNTIFS(nrSK_PID,$D298,nrSK_Cat,$E298,nrSK_Res,"Pass")+COUNTIFS(nrSK_PID,$D298,nrSK_Cat,$E298,nrSK_Res,"Fail"))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IF($C299="","",COUNTIFS(nrSK_PID,$D299,nrSK_Cat,$E299,nrSK_Res,"Pass")+COUNTIFS(nrSK_PID,$D299,nrSK_Cat,$E299,nrSK_Res,"Fail"))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IF($C300="","",COUNTIFS(nrSK_PID,$D300,nrSK_Cat,$E300,nrSK_Res,"Pass")+COUNTIFS(nrSK_PID,$D300,nrSK_Cat,$E300,nrSK_Res,"Fail"))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IF($C301="","",COUNTIFS(nrSK_PID,$D301,nrSK_Cat,$E301,nrSK_Res,"Pass")+COUNTIFS(nrSK_PID,$D301,nrSK_Cat,$E301,nrSK_Res,"Fail"))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IF($C302="","",COUNTIFS(nrSK_PID,$D302,nrSK_Cat,$E302,nrSK_Res,"Pass")+COUNTIFS(nrSK_PID,$D302,nrSK_Cat,$E302,nrSK_Res,"Fail"))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IF($C303="","",COUNTIFS(nrSK_PID,$D303,nrSK_Cat,$E303,nrSK_Res,"Pass")+COUNTIFS(nrSK_PID,$D303,nrSK_Cat,$E303,nrSK_Res,"Fail"))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IF($C304="","",COUNTIFS(nrSK_PID,$D304,nrSK_Cat,$E304,nrSK_Res,"Pass")+COUNTIFS(nrSK_PID,$D304,nrSK_Cat,$E304,nrSK_Res,"Fail"))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IF($C305="","",COUNTIFS(nrSK_PID,$D305,nrSK_Cat,$E305,nrSK_Res,"Pass")+COUNTIFS(nrSK_PID,$D305,nrSK_Cat,$E305,nrSK_Res,"Fail"))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IF($C306="","",COUNTIFS(nrSK_PID,$D306,nrSK_Cat,$E306,nrSK_Res,"Pass")+COUNTIFS(nrSK_PID,$D306,nrSK_Cat,$E306,nrSK_Res,"Fail"))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IF($C307="","",COUNTIFS(nrSK_PID,$D307,nrSK_Cat,$E307,nrSK_Res,"Pass")+COUNTIFS(nrSK_PID,$D307,nrSK_Cat,$E307,nrSK_Res,"Fail"))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IF($C308="","",COUNTIFS(nrSK_PID,$D308,nrSK_Cat,$E308,nrSK_Res,"Pass")+COUNTIFS(nrSK_PID,$D308,nrSK_Cat,$E308,nrSK_Res,"Fail"))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IF($C309="","",COUNTIFS(nrSK_PID,$D309,nrSK_Cat,$E309,nrSK_Res,"Pass")+COUNTIFS(nrSK_PID,$D309,nrSK_Cat,$E309,nrSK_Res,"Fail"))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IF($C310="","",COUNTIFS(nrSK_PID,$D310,nrSK_Cat,$E310,nrSK_Res,"Pass")+COUNTIFS(nrSK_PID,$D310,nrSK_Cat,$E310,nrSK_Res,"Fail"))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IF($C311="","",COUNTIFS(nrSK_PID,$D311,nrSK_Cat,$E311,nrSK_Res,"Pass")+COUNTIFS(nrSK_PID,$D311,nrSK_Cat,$E311,nrSK_Res,"Fail"))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IF($C312="","",COUNTIFS(nrSK_PID,$D312,nrSK_Cat,$E312,nrSK_Res,"Pass")+COUNTIFS(nrSK_PID,$D312,nrSK_Cat,$E312,nrSK_Res,"Fail"))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IF($C313="","",COUNTIFS(nrSK_PID,$D313,nrSK_Cat,$E313,nrSK_Res,"Pass")+COUNTIFS(nrSK_PID,$D313,nrSK_Cat,$E313,nrSK_Res,"Fail"))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IF($C314="","",COUNTIFS(nrSK_PID,$D314,nrSK_Cat,$E314,nrSK_Res,"Pass")+COUNTIFS(nrSK_PID,$D314,nrSK_Cat,$E314,nrSK_Res,"Fail"))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IF($C315="","",COUNTIFS(nrSK_PID,$D315,nrSK_Cat,$E315,nrSK_Res,"Pass")+COUNTIFS(nrSK_PID,$D315,nrSK_Cat,$E315,nrSK_Res,"Fail"))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IF($C316="","",COUNTIFS(nrSK_PID,$D316,nrSK_Cat,$E316,nrSK_Res,"Pass")+COUNTIFS(nrSK_PID,$D316,nrSK_Cat,$E316,nrSK_Res,"Fail"))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IF($C317="","",COUNTIFS(nrSK_PID,$D317,nrSK_Cat,$E317,nrSK_Res,"Pass")+COUNTIFS(nrSK_PID,$D317,nrSK_Cat,$E317,nrSK_Res,"Fail"))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IF($C318="","",COUNTIFS(nrSK_PID,$D318,nrSK_Cat,$E318,nrSK_Res,"Pass")+COUNTIFS(nrSK_PID,$D318,nrSK_Cat,$E318,nrSK_Res,"Fail"))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IF($C319="","",COUNTIFS(nrSK_PID,$D319,nrSK_Cat,$E319,nrSK_Res,"Pass")+COUNTIFS(nrSK_PID,$D319,nrSK_Cat,$E319,nrSK_Res,"Fail"))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IF($C320="","",COUNTIFS(nrSK_PID,$D320,nrSK_Cat,$E320,nrSK_Res,"Pass")+COUNTIFS(nrSK_PID,$D320,nrSK_Cat,$E320,nrSK_Res,"Fail"))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IF($C321="","",COUNTIFS(nrSK_PID,$D321,nrSK_Cat,$E321,nrSK_Res,"Pass")+COUNTIFS(nrSK_PID,$D321,nrSK_Cat,$E321,nrSK_Res,"Fail"))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IF($C322="","",COUNTIFS(nrSK_PID,$D322,nrSK_Cat,$E322,nrSK_Res,"Pass")+COUNTIFS(nrSK_PID,$D322,nrSK_Cat,$E322,nrSK_Res,"Fail"))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IF($C323="","",COUNTIFS(nrSK_PID,$D323,nrSK_Cat,$E323,nrSK_Res,"Pass")+COUNTIFS(nrSK_PID,$D323,nrSK_Cat,$E323,nrSK_Res,"Fail"))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IF($C324="","",COUNTIFS(nrSK_PID,$D324,nrSK_Cat,$E324,nrSK_Res,"Pass")+COUNTIFS(nrSK_PID,$D324,nrSK_Cat,$E324,nrSK_Res,"Fail"))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IF($C325="","",COUNTIFS(nrSK_PID,$D325,nrSK_Cat,$E325,nrSK_Res,"Pass")+COUNTIFS(nrSK_PID,$D325,nrSK_Cat,$E325,nrSK_Res,"Fail"))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IF($C326="","",COUNTIFS(nrSK_PID,$D326,nrSK_Cat,$E326,nrSK_Res,"Pass")+COUNTIFS(nrSK_PID,$D326,nrSK_Cat,$E326,nrSK_Res,"Fail"))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IF($C327="","",COUNTIFS(nrSK_PID,$D327,nrSK_Cat,$E327,nrSK_Res,"Pass")+COUNTIFS(nrSK_PID,$D327,nrSK_Cat,$E327,nrSK_Res,"Fail"))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IF($C328="","",COUNTIFS(nrSK_PID,$D328,nrSK_Cat,$E328,nrSK_Res,"Pass")+COUNTIFS(nrSK_PID,$D328,nrSK_Cat,$E328,nrSK_Res,"Fail"))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IF($C329="","",COUNTIFS(nrSK_PID,$D329,nrSK_Cat,$E329,nrSK_Res,"Pass")+COUNTIFS(nrSK_PID,$D329,nrSK_Cat,$E329,nrSK_Res,"Fail"))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IF($C330="","",COUNTIFS(nrSK_PID,$D330,nrSK_Cat,$E330,nrSK_Res,"Pass")+COUNTIFS(nrSK_PID,$D330,nrSK_Cat,$E330,nrSK_Res,"Fail"))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IF($C331="","",COUNTIFS(nrSK_PID,$D331,nrSK_Cat,$E331,nrSK_Res,"Pass")+COUNTIFS(nrSK_PID,$D331,nrSK_Cat,$E331,nrSK_Res,"Fail"))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IF($C332="","",COUNTIFS(nrSK_PID,$D332,nrSK_Cat,$E332,nrSK_Res,"Pass")+COUNTIFS(nrSK_PID,$D332,nrSK_Cat,$E332,nrSK_Res,"Fail"))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IF($C333="","",COUNTIFS(nrSK_PID,$D333,nrSK_Cat,$E333,nrSK_Res,"Pass")+COUNTIFS(nrSK_PID,$D333,nrSK_Cat,$E333,nrSK_Res,"Fail"))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IF($C334="","",COUNTIFS(nrSK_PID,$D334,nrSK_Cat,$E334,nrSK_Res,"Pass")+COUNTIFS(nrSK_PID,$D334,nrSK_Cat,$E334,nrSK_Res,"Fail"))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IF($C335="","",COUNTIFS(nrSK_PID,$D335,nrSK_Cat,$E335,nrSK_Res,"Pass")+COUNTIFS(nrSK_PID,$D335,nrSK_Cat,$E335,nrSK_Res,"Fail"))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IF($C336="","",COUNTIFS(nrSK_PID,$D336,nrSK_Cat,$E336,nrSK_Res,"Pass")+COUNTIFS(nrSK_PID,$D336,nrSK_Cat,$E336,nrSK_Res,"Fail"))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IF($C337="","",COUNTIFS(nrSK_PID,$D337,nrSK_Cat,$E337,nrSK_Res,"Pass")+COUNTIFS(nrSK_PID,$D337,nrSK_Cat,$E337,nrSK_Res,"Fail"))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IF($C338="","",COUNTIFS(nrSK_PID,$D338,nrSK_Cat,$E338,nrSK_Res,"Pass")+COUNTIFS(nrSK_PID,$D338,nrSK_Cat,$E338,nrSK_Res,"Fail"))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IF($C339="","",COUNTIFS(nrSK_PID,$D339,nrSK_Cat,$E339,nrSK_Res,"Pass")+COUNTIFS(nrSK_PID,$D339,nrSK_Cat,$E339,nrSK_Res,"Fail"))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IF($C340="","",COUNTIFS(nrSK_PID,$D340,nrSK_Cat,$E340,nrSK_Res,"Pass")+COUNTIFS(nrSK_PID,$D340,nrSK_Cat,$E340,nrSK_Res,"Fail"))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IF($C341="","",COUNTIFS(nrSK_PID,$D341,nrSK_Cat,$E341,nrSK_Res,"Pass")+COUNTIFS(nrSK_PID,$D341,nrSK_Cat,$E341,nrSK_Res,"Fail"))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IF($C342="","",COUNTIFS(nrSK_PID,$D342,nrSK_Cat,$E342,nrSK_Res,"Pass")+COUNTIFS(nrSK_PID,$D342,nrSK_Cat,$E342,nrSK_Res,"Fail"))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IF($C343="","",COUNTIFS(nrSK_PID,$D343,nrSK_Cat,$E343,nrSK_Res,"Pass")+COUNTIFS(nrSK_PID,$D343,nrSK_Cat,$E343,nrSK_Res,"Fail"))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IF($C344="","",COUNTIFS(nrSK_PID,$D344,nrSK_Cat,$E344,nrSK_Res,"Pass")+COUNTIFS(nrSK_PID,$D344,nrSK_Cat,$E344,nrSK_Res,"Fail"))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IF($C345="","",COUNTIFS(nrSK_PID,$D345,nrSK_Cat,$E345,nrSK_Res,"Pass")+COUNTIFS(nrSK_PID,$D345,nrSK_Cat,$E345,nrSK_Res,"Fail"))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IF($C346="","",COUNTIFS(nrSK_PID,$D346,nrSK_Cat,$E346,nrSK_Res,"Pass")+COUNTIFS(nrSK_PID,$D346,nrSK_Cat,$E346,nrSK_Res,"Fail"))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IF($C347="","",COUNTIFS(nrSK_PID,$D347,nrSK_Cat,$E347,nrSK_Res,"Pass")+COUNTIFS(nrSK_PID,$D347,nrSK_Cat,$E347,nrSK_Res,"Fail"))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IF($C348="","",COUNTIFS(nrSK_PID,$D348,nrSK_Cat,$E348,nrSK_Res,"Pass")+COUNTIFS(nrSK_PID,$D348,nrSK_Cat,$E348,nrSK_Res,"Fail"))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IF($C349="","",COUNTIFS(nrSK_PID,$D349,nrSK_Cat,$E349,nrSK_Res,"Pass")+COUNTIFS(nrSK_PID,$D349,nrSK_Cat,$E349,nrSK_Res,"Fail"))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IF($C350="","",COUNTIFS(nrSK_PID,$D350,nrSK_Cat,$E350,nrSK_Res,"Pass")+COUNTIFS(nrSK_PID,$D350,nrSK_Cat,$E350,nrSK_Res,"Fail"))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IF($C351="","",COUNTIFS(nrSK_PID,$D351,nrSK_Cat,$E351,nrSK_Res,"Pass")+COUNTIFS(nrSK_PID,$D351,nrSK_Cat,$E351,nrSK_Res,"Fail"))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IF($C352="","",COUNTIFS(nrSK_PID,$D352,nrSK_Cat,$E352,nrSK_Res,"Pass")+COUNTIFS(nrSK_PID,$D352,nrSK_Cat,$E352,nrSK_Res,"Fail"))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IF($C353="","",COUNTIFS(nrSK_PID,$D353,nrSK_Cat,$E353,nrSK_Res,"Pass")+COUNTIFS(nrSK_PID,$D353,nrSK_Cat,$E353,nrSK_Res,"Fail"))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IF($C354="","",COUNTIFS(nrSK_PID,$D354,nrSK_Cat,$E354,nrSK_Res,"Pass")+COUNTIFS(nrSK_PID,$D354,nrSK_Cat,$E354,nrSK_Res,"Fail"))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IF($C355="","",COUNTIFS(nrSK_PID,$D355,nrSK_Cat,$E355,nrSK_Res,"Pass")+COUNTIFS(nrSK_PID,$D355,nrSK_Cat,$E355,nrSK_Res,"Fail"))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IF($C356="","",COUNTIFS(nrSK_PID,$D356,nrSK_Cat,$E356,nrSK_Res,"Pass")+COUNTIFS(nrSK_PID,$D356,nrSK_Cat,$E356,nrSK_Res,"Fail"))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IF($C357="","",COUNTIFS(nrSK_PID,$D357,nrSK_Cat,$E357,nrSK_Res,"Pass")+COUNTIFS(nrSK_PID,$D357,nrSK_Cat,$E357,nrSK_Res,"Fail"))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IF($C358="","",COUNTIFS(nrSK_PID,$D358,nrSK_Cat,$E358,nrSK_Res,"Pass")+COUNTIFS(nrSK_PID,$D358,nrSK_Cat,$E358,nrSK_Res,"Fail"))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IF($C359="","",COUNTIFS(nrSK_PID,$D359,nrSK_Cat,$E359,nrSK_Res,"Pass")+COUNTIFS(nrSK_PID,$D359,nrSK_Cat,$E359,nrSK_Res,"Fail"))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IF($C360="","",COUNTIFS(nrSK_PID,$D360,nrSK_Cat,$E360,nrSK_Res,"Pass")+COUNTIFS(nrSK_PID,$D360,nrSK_Cat,$E360,nrSK_Res,"Fail"))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IF($C361="","",COUNTIFS(nrSK_PID,$D361,nrSK_Cat,$E361,nrSK_Res,"Pass")+COUNTIFS(nrSK_PID,$D361,nrSK_Cat,$E361,nrSK_Res,"Fail"))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IF($C362="","",COUNTIFS(nrSK_PID,$D362,nrSK_Cat,$E362,nrSK_Res,"Pass")+COUNTIFS(nrSK_PID,$D362,nrSK_Cat,$E362,nrSK_Res,"Fail"))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IF($C363="","",COUNTIFS(nrSK_PID,$D363,nrSK_Cat,$E363,nrSK_Res,"Pass")+COUNTIFS(nrSK_PID,$D363,nrSK_Cat,$E363,nrSK_Res,"Fail"))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IF($C364="","",COUNTIFS(nrSK_PID,$D364,nrSK_Cat,$E364,nrSK_Res,"Pass")+COUNTIFS(nrSK_PID,$D364,nrSK_Cat,$E364,nrSK_Res,"Fail"))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IF($C365="","",COUNTIFS(nrSK_PID,$D365,nrSK_Cat,$E365,nrSK_Res,"Pass")+COUNTIFS(nrSK_PID,$D365,nrSK_Cat,$E365,nrSK_Res,"Fail"))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IF($C366="","",COUNTIFS(nrSK_PID,$D366,nrSK_Cat,$E366,nrSK_Res,"Pass")+COUNTIFS(nrSK_PID,$D366,nrSK_Cat,$E366,nrSK_Res,"Fail"))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IF($C367="","",COUNTIFS(nrSK_PID,$D367,nrSK_Cat,$E367,nrSK_Res,"Pass")+COUNTIFS(nrSK_PID,$D367,nrSK_Cat,$E367,nrSK_Res,"Fail"))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IF($C368="","",COUNTIFS(nrSK_PID,$D368,nrSK_Cat,$E368,nrSK_Res,"Pass")+COUNTIFS(nrSK_PID,$D368,nrSK_Cat,$E368,nrSK_Res,"Fail"))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IF($C369="","",COUNTIFS(nrSK_PID,$D369,nrSK_Cat,$E369,nrSK_Res,"Pass")+COUNTIFS(nrSK_PID,$D369,nrSK_Cat,$E369,nrSK_Res,"Fail"))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IF($C370="","",COUNTIFS(nrSK_PID,$D370,nrSK_Cat,$E370,nrSK_Res,"Pass")+COUNTIFS(nrSK_PID,$D370,nrSK_Cat,$E370,nrSK_Res,"Fail"))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IF($C371="","",COUNTIFS(nrSK_PID,$D371,nrSK_Cat,$E371,nrSK_Res,"Pass")+COUNTIFS(nrSK_PID,$D371,nrSK_Cat,$E371,nrSK_Res,"Fail"))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IF($C372="","",COUNTIFS(nrSK_PID,$D372,nrSK_Cat,$E372,nrSK_Res,"Pass")+COUNTIFS(nrSK_PID,$D372,nrSK_Cat,$E372,nrSK_Res,"Fail"))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IF($C373="","",COUNTIFS(nrSK_PID,$D373,nrSK_Cat,$E373,nrSK_Res,"Pass")+COUNTIFS(nrSK_PID,$D373,nrSK_Cat,$E373,nrSK_Res,"Fail"))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IF($C374="","",COUNTIFS(nrSK_PID,$D374,nrSK_Cat,$E374,nrSK_Res,"Pass")+COUNTIFS(nrSK_PID,$D374,nrSK_Cat,$E374,nrSK_Res,"Fail"))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IF($C375="","",COUNTIFS(nrSK_PID,$D375,nrSK_Cat,$E375,nrSK_Res,"Pass")+COUNTIFS(nrSK_PID,$D375,nrSK_Cat,$E375,nrSK_Res,"Fail"))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IF($C376="","",COUNTIFS(nrSK_PID,$D376,nrSK_Cat,$E376,nrSK_Res,"Pass")+COUNTIFS(nrSK_PID,$D376,nrSK_Cat,$E376,nrSK_Res,"Fail"))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IF($C377="","",COUNTIFS(nrSK_PID,$D377,nrSK_Cat,$E377,nrSK_Res,"Pass")+COUNTIFS(nrSK_PID,$D377,nrSK_Cat,$E377,nrSK_Res,"Fail"))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IF($C378="","",COUNTIFS(nrSK_PID,$D378,nrSK_Cat,$E378,nrSK_Res,"Pass")+COUNTIFS(nrSK_PID,$D378,nrSK_Cat,$E378,nrSK_Res,"Fail"))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IF($C379="","",COUNTIFS(nrSK_PID,$D379,nrSK_Cat,$E379,nrSK_Res,"Pass")+COUNTIFS(nrSK_PID,$D379,nrSK_Cat,$E379,nrSK_Res,"Fail"))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IF($C380="","",COUNTIFS(nrSK_PID,$D380,nrSK_Cat,$E380,nrSK_Res,"Pass")+COUNTIFS(nrSK_PID,$D380,nrSK_Cat,$E380,nrSK_Res,"Fail"))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IF($C381="","",COUNTIFS(nrSK_PID,$D381,nrSK_Cat,$E381,nrSK_Res,"Pass")+COUNTIFS(nrSK_PID,$D381,nrSK_Cat,$E381,nrSK_Res,"Fail"))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IF($C382="","",COUNTIFS(nrSK_PID,$D382,nrSK_Cat,$E382,nrSK_Res,"Pass")+COUNTIFS(nrSK_PID,$D382,nrSK_Cat,$E382,nrSK_Res,"Fail"))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IF($C383="","",COUNTIFS(nrSK_PID,$D383,nrSK_Cat,$E383,nrSK_Res,"Pass")+COUNTIFS(nrSK_PID,$D383,nrSK_Cat,$E383,nrSK_Res,"Fail"))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IF($C384="","",COUNTIFS(nrSK_PID,$D384,nrSK_Cat,$E384,nrSK_Res,"Pass")+COUNTIFS(nrSK_PID,$D384,nrSK_Cat,$E384,nrSK_Res,"Fail"))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IF($C385="","",COUNTIFS(nrSK_PID,$D385,nrSK_Cat,$E385,nrSK_Res,"Pass")+COUNTIFS(nrSK_PID,$D385,nrSK_Cat,$E385,nrSK_Res,"Fail"))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IF($C386="","",COUNTIFS(nrSK_PID,$D386,nrSK_Cat,$E386,nrSK_Res,"Pass")+COUNTIFS(nrSK_PID,$D386,nrSK_Cat,$E386,nrSK_Res,"Fail"))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IF($C387="","",COUNTIFS(nrSK_PID,$D387,nrSK_Cat,$E387,nrSK_Res,"Pass")+COUNTIFS(nrSK_PID,$D387,nrSK_Cat,$E387,nrSK_Res,"Fail"))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IF($C388="","",COUNTIFS(nrSK_PID,$D388,nrSK_Cat,$E388,nrSK_Res,"Pass")+COUNTIFS(nrSK_PID,$D388,nrSK_Cat,$E388,nrSK_Res,"Fail"))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IF($C389="","",COUNTIFS(nrSK_PID,$D389,nrSK_Cat,$E389,nrSK_Res,"Pass")+COUNTIFS(nrSK_PID,$D389,nrSK_Cat,$E389,nrSK_Res,"Fail"))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IF($C390="","",COUNTIFS(nrSK_PID,$D390,nrSK_Cat,$E390,nrSK_Res,"Pass")+COUNTIFS(nrSK_PID,$D390,nrSK_Cat,$E390,nrSK_Res,"Fail"))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IF($C391="","",COUNTIFS(nrSK_PID,$D391,nrSK_Cat,$E391,nrSK_Res,"Pass")+COUNTIFS(nrSK_PID,$D391,nrSK_Cat,$E391,nrSK_Res,"Fail"))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IF($C392="","",COUNTIFS(nrSK_PID,$D392,nrSK_Cat,$E392,nrSK_Res,"Pass")+COUNTIFS(nrSK_PID,$D392,nrSK_Cat,$E392,nrSK_Res,"Fail"))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IF($C393="","",COUNTIFS(nrSK_PID,$D393,nrSK_Cat,$E393,nrSK_Res,"Pass")+COUNTIFS(nrSK_PID,$D393,nrSK_Cat,$E393,nrSK_Res,"Fail"))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IF($C394="","",COUNTIFS(nrSK_PID,$D394,nrSK_Cat,$E394,nrSK_Res,"Pass")+COUNTIFS(nrSK_PID,$D394,nrSK_Cat,$E394,nrSK_Res,"Fail"))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IF($C395="","",COUNTIFS(nrSK_PID,$D395,nrSK_Cat,$E395,nrSK_Res,"Pass")+COUNTIFS(nrSK_PID,$D395,nrSK_Cat,$E395,nrSK_Res,"Fail"))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IF($C396="","",COUNTIFS(nrSK_PID,$D396,nrSK_Cat,$E396,nrSK_Res,"Pass")+COUNTIFS(nrSK_PID,$D396,nrSK_Cat,$E396,nrSK_Res,"Fail"))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IF($C397="","",COUNTIFS(nrSK_PID,$D397,nrSK_Cat,$E397,nrSK_Res,"Pass")+COUNTIFS(nrSK_PID,$D397,nrSK_Cat,$E397,nrSK_Res,"Fail"))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IF($C398="","",COUNTIFS(nrSK_PID,$D398,nrSK_Cat,$E398,nrSK_Res,"Pass")+COUNTIFS(nrSK_PID,$D398,nrSK_Cat,$E398,nrSK_Res,"Fail"))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IF($C399="","",COUNTIFS(nrSK_PID,$D399,nrSK_Cat,$E399,nrSK_Res,"Pass")+COUNTIFS(nrSK_PID,$D399,nrSK_Cat,$E399,nrSK_Res,"Fail"))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IF($C400="","",COUNTIFS(nrSK_PID,$D400,nrSK_Cat,$E400,nrSK_Res,"Pass")+COUNTIFS(nrSK_PID,$D400,nrSK_Cat,$E400,nrSK_Res,"Fail"))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IF($C401="","",COUNTIFS(nrSK_PID,$D401,nrSK_Cat,$E401,nrSK_Res,"Pass")+COUNTIFS(nrSK_PID,$D401,nrSK_Cat,$E401,nrSK_Res,"Fail"))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IF($C402="","",COUNTIFS(nrSK_PID,$D402,nrSK_Cat,$E402,nrSK_Res,"Pass")+COUNTIFS(nrSK_PID,$D402,nrSK_Cat,$E402,nrSK_Res,"Fail"))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IF($C403="","",COUNTIFS(nrSK_PID,$D403,nrSK_Cat,$E403,nrSK_Res,"Pass")+COUNTIFS(nrSK_PID,$D403,nrSK_Cat,$E403,nrSK_Res,"Fail"))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IF($C404="","",COUNTIFS(nrSK_PID,$D404,nrSK_Cat,$E404,nrSK_Res,"Pass")+COUNTIFS(nrSK_PID,$D404,nrSK_Cat,$E404,nrSK_Res,"Fail"))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IF($C405="","",COUNTIFS(nrSK_PID,$D405,nrSK_Cat,$E405,nrSK_Res,"Pass")+COUNTIFS(nrSK_PID,$D405,nrSK_Cat,$E405,nrSK_Res,"Fail"))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IF($C406="","",COUNTIFS(nrSK_PID,$D406,nrSK_Cat,$E406,nrSK_Res,"Pass")+COUNTIFS(nrSK_PID,$D406,nrSK_Cat,$E406,nrSK_Res,"Fail"))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IF($C407="","",COUNTIFS(nrSK_PID,$D407,nrSK_Cat,$E407,nrSK_Res,"Pass")+COUNTIFS(nrSK_PID,$D407,nrSK_Cat,$E407,nrSK_Res,"Fail"))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IF($C408="","",COUNTIFS(nrSK_PID,$D408,nrSK_Cat,$E408,nrSK_Res,"Pass")+COUNTIFS(nrSK_PID,$D408,nrSK_Cat,$E408,nrSK_Res,"Fail"))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IF($C409="","",COUNTIFS(nrSK_PID,$D409,nrSK_Cat,$E409,nrSK_Res,"Pass")+COUNTIFS(nrSK_PID,$D409,nrSK_Cat,$E409,nrSK_Res,"Fail"))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IF($C410="","",COUNTIFS(nrSK_PID,$D410,nrSK_Cat,$E410,nrSK_Res,"Pass")+COUNTIFS(nrSK_PID,$D410,nrSK_Cat,$E410,nrSK_Res,"Fail"))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IF($C411="","",COUNTIFS(nrSK_PID,$D411,nrSK_Cat,$E411,nrSK_Res,"Pass")+COUNTIFS(nrSK_PID,$D411,nrSK_Cat,$E411,nrSK_Res,"Fail"))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IF($C412="","",COUNTIFS(nrSK_PID,$D412,nrSK_Cat,$E412,nrSK_Res,"Pass")+COUNTIFS(nrSK_PID,$D412,nrSK_Cat,$E412,nrSK_Res,"Fail"))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IF($C413="","",COUNTIFS(nrSK_PID,$D413,nrSK_Cat,$E413,nrSK_Res,"Pass")+COUNTIFS(nrSK_PID,$D413,nrSK_Cat,$E413,nrSK_Res,"Fail"))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IF($C414="","",COUNTIFS(nrSK_PID,$D414,nrSK_Cat,$E414,nrSK_Res,"Pass")+COUNTIFS(nrSK_PID,$D414,nrSK_Cat,$E414,nrSK_Res,"Fail"))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IF($C415="","",COUNTIFS(nrSK_PID,$D415,nrSK_Cat,$E415,nrSK_Res,"Pass")+COUNTIFS(nrSK_PID,$D415,nrSK_Cat,$E415,nrSK_Res,"Fail"))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IF($C416="","",COUNTIFS(nrSK_PID,$D416,nrSK_Cat,$E416,nrSK_Res,"Pass")+COUNTIFS(nrSK_PID,$D416,nrSK_Cat,$E416,nrSK_Res,"Fail"))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IF($C417="","",COUNTIFS(nrSK_PID,$D417,nrSK_Cat,$E417,nrSK_Res,"Pass")+COUNTIFS(nrSK_PID,$D417,nrSK_Cat,$E417,nrSK_Res,"Fail"))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IF($C418="","",COUNTIFS(nrSK_PID,$D418,nrSK_Cat,$E418,nrSK_Res,"Pass")+COUNTIFS(nrSK_PID,$D418,nrSK_Cat,$E418,nrSK_Res,"Fail"))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IF($C419="","",COUNTIFS(nrSK_PID,$D419,nrSK_Cat,$E419,nrSK_Res,"Pass")+COUNTIFS(nrSK_PID,$D419,nrSK_Cat,$E419,nrSK_Res,"Fail"))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IF($C420="","",COUNTIFS(nrSK_PID,$D420,nrSK_Cat,$E420,nrSK_Res,"Pass")+COUNTIFS(nrSK_PID,$D420,nrSK_Cat,$E420,nrSK_Res,"Fail"))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IF($C421="","",COUNTIFS(nrSK_PID,$D421,nrSK_Cat,$E421,nrSK_Res,"Pass")+COUNTIFS(nrSK_PID,$D421,nrSK_Cat,$E421,nrSK_Res,"Fail"))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IF($C422="","",COUNTIFS(nrSK_PID,$D422,nrSK_Cat,$E422,nrSK_Res,"Pass")+COUNTIFS(nrSK_PID,$D422,nrSK_Cat,$E422,nrSK_Res,"Fail"))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IF($C423="","",COUNTIFS(nrSK_PID,$D423,nrSK_Cat,$E423,nrSK_Res,"Pass")+COUNTIFS(nrSK_PID,$D423,nrSK_Cat,$E423,nrSK_Res,"Fail"))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IF($C424="","",COUNTIFS(nrSK_PID,$D424,nrSK_Cat,$E424,nrSK_Res,"Pass")+COUNTIFS(nrSK_PID,$D424,nrSK_Cat,$E424,nrSK_Res,"Fail"))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IF($C425="","",COUNTIFS(nrSK_PID,$D425,nrSK_Cat,$E425,nrSK_Res,"Pass")+COUNTIFS(nrSK_PID,$D425,nrSK_Cat,$E425,nrSK_Res,"Fail"))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IF($C426="","",COUNTIFS(nrSK_PID,$D426,nrSK_Cat,$E426,nrSK_Res,"Pass")+COUNTIFS(nrSK_PID,$D426,nrSK_Cat,$E426,nrSK_Res,"Fail"))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IF($C427="","",COUNTIFS(nrSK_PID,$D427,nrSK_Cat,$E427,nrSK_Res,"Pass")+COUNTIFS(nrSK_PID,$D427,nrSK_Cat,$E427,nrSK_Res,"Fail"))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IF($C428="","",COUNTIFS(nrSK_PID,$D428,nrSK_Cat,$E428,nrSK_Res,"Pass")+COUNTIFS(nrSK_PID,$D428,nrSK_Cat,$E428,nrSK_Res,"Fail"))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IF($C429="","",COUNTIFS(nrSK_PID,$D429,nrSK_Cat,$E429,nrSK_Res,"Pass")+COUNTIFS(nrSK_PID,$D429,nrSK_Cat,$E429,nrSK_Res,"Fail"))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IF($C430="","",COUNTIFS(nrSK_PID,$D430,nrSK_Cat,$E430,nrSK_Res,"Pass")+COUNTIFS(nrSK_PID,$D430,nrSK_Cat,$E430,nrSK_Res,"Fail"))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IF($C431="","",COUNTIFS(nrSK_PID,$D431,nrSK_Cat,$E431,nrSK_Res,"Pass")+COUNTIFS(nrSK_PID,$D431,nrSK_Cat,$E431,nrSK_Res,"Fail"))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IF($C432="","",COUNTIFS(nrSK_PID,$D432,nrSK_Cat,$E432,nrSK_Res,"Pass")+COUNTIFS(nrSK_PID,$D432,nrSK_Cat,$E432,nrSK_Res,"Fail"))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IF($C433="","",COUNTIFS(nrSK_PID,$D433,nrSK_Cat,$E433,nrSK_Res,"Pass")+COUNTIFS(nrSK_PID,$D433,nrSK_Cat,$E433,nrSK_Res,"Fail"))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IF($C434="","",COUNTIFS(nrSK_PID,$D434,nrSK_Cat,$E434,nrSK_Res,"Pass")+COUNTIFS(nrSK_PID,$D434,nrSK_Cat,$E434,nrSK_Res,"Fail"))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IF($C435="","",COUNTIFS(nrSK_PID,$D435,nrSK_Cat,$E435,nrSK_Res,"Pass")+COUNTIFS(nrSK_PID,$D435,nrSK_Cat,$E435,nrSK_Res,"Fail"))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IF($C436="","",COUNTIFS(nrSK_PID,$D436,nrSK_Cat,$E436,nrSK_Res,"Pass")+COUNTIFS(nrSK_PID,$D436,nrSK_Cat,$E436,nrSK_Res,"Fail"))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IF($C437="","",COUNTIFS(nrSK_PID,$D437,nrSK_Cat,$E437,nrSK_Res,"Pass")+COUNTIFS(nrSK_PID,$D437,nrSK_Cat,$E437,nrSK_Res,"Fail"))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IF($C438="","",COUNTIFS(nrSK_PID,$D438,nrSK_Cat,$E438,nrSK_Res,"Pass")+COUNTIFS(nrSK_PID,$D438,nrSK_Cat,$E438,nrSK_Res,"Fail"))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IF($C439="","",COUNTIFS(nrSK_PID,$D439,nrSK_Cat,$E439,nrSK_Res,"Pass")+COUNTIFS(nrSK_PID,$D439,nrSK_Cat,$E439,nrSK_Res,"Fail"))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IF($C440="","",COUNTIFS(nrSK_PID,$D440,nrSK_Cat,$E440,nrSK_Res,"Pass")+COUNTIFS(nrSK_PID,$D440,nrSK_Cat,$E440,nrSK_Res,"Fail"))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IF($C441="","",COUNTIFS(nrSK_PID,$D441,nrSK_Cat,$E441,nrSK_Res,"Pass")+COUNTIFS(nrSK_PID,$D441,nrSK_Cat,$E441,nrSK_Res,"Fail"))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IF($C442="","",COUNTIFS(nrSK_PID,$D442,nrSK_Cat,$E442,nrSK_Res,"Pass")+COUNTIFS(nrSK_PID,$D442,nrSK_Cat,$E442,nrSK_Res,"Fail"))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IF($C443="","",COUNTIFS(nrSK_PID,$D443,nrSK_Cat,$E443,nrSK_Res,"Pass")+COUNTIFS(nrSK_PID,$D443,nrSK_Cat,$E443,nrSK_Res,"Fail"))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IF($C444="","",COUNTIFS(nrSK_PID,$D444,nrSK_Cat,$E444,nrSK_Res,"Pass")+COUNTIFS(nrSK_PID,$D444,nrSK_Cat,$E444,nrSK_Res,"Fail"))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IF($C445="","",COUNTIFS(nrSK_PID,$D445,nrSK_Cat,$E445,nrSK_Res,"Pass")+COUNTIFS(nrSK_PID,$D445,nrSK_Cat,$E445,nrSK_Res,"Fail"))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IF($C446="","",COUNTIFS(nrSK_PID,$D446,nrSK_Cat,$E446,nrSK_Res,"Pass")+COUNTIFS(nrSK_PID,$D446,nrSK_Cat,$E446,nrSK_Res,"Fail"))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IF($C447="","",COUNTIFS(nrSK_PID,$D447,nrSK_Cat,$E447,nrSK_Res,"Pass")+COUNTIFS(nrSK_PID,$D447,nrSK_Cat,$E447,nrSK_Res,"Fail"))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IF($C448="","",COUNTIFS(nrSK_PID,$D448,nrSK_Cat,$E448,nrSK_Res,"Pass")+COUNTIFS(nrSK_PID,$D448,nrSK_Cat,$E448,nrSK_Res,"Fail"))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IF($C449="","",COUNTIFS(nrSK_PID,$D449,nrSK_Cat,$E449,nrSK_Res,"Pass")+COUNTIFS(nrSK_PID,$D449,nrSK_Cat,$E449,nrSK_Res,"Fail"))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IF($C450="","",COUNTIFS(nrSK_PID,$D450,nrSK_Cat,$E450,nrSK_Res,"Pass")+COUNTIFS(nrSK_PID,$D450,nrSK_Cat,$E450,nrSK_Res,"Fail"))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IF($C451="","",COUNTIFS(nrSK_PID,$D451,nrSK_Cat,$E451,nrSK_Res,"Pass")+COUNTIFS(nrSK_PID,$D451,nrSK_Cat,$E451,nrSK_Res,"Fail"))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IF($C452="","",COUNTIFS(nrSK_PID,$D452,nrSK_Cat,$E452,nrSK_Res,"Pass")+COUNTIFS(nrSK_PID,$D452,nrSK_Cat,$E452,nrSK_Res,"Fail"))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IF($C453="","",COUNTIFS(nrSK_PID,$D453,nrSK_Cat,$E453,nrSK_Res,"Pass")+COUNTIFS(nrSK_PID,$D453,nrSK_Cat,$E453,nrSK_Res,"Fail"))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IF($C454="","",COUNTIFS(nrSK_PID,$D454,nrSK_Cat,$E454,nrSK_Res,"Pass")+COUNTIFS(nrSK_PID,$D454,nrSK_Cat,$E454,nrSK_Res,"Fail"))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IF($C455="","",COUNTIFS(nrSK_PID,$D455,nrSK_Cat,$E455,nrSK_Res,"Pass")+COUNTIFS(nrSK_PID,$D455,nrSK_Cat,$E455,nrSK_Res,"Fail"))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IF($C456="","",COUNTIFS(nrSK_PID,$D456,nrSK_Cat,$E456,nrSK_Res,"Pass")+COUNTIFS(nrSK_PID,$D456,nrSK_Cat,$E456,nrSK_Res,"Fail"))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IF($C457="","",COUNTIFS(nrSK_PID,$D457,nrSK_Cat,$E457,nrSK_Res,"Pass")+COUNTIFS(nrSK_PID,$D457,nrSK_Cat,$E457,nrSK_Res,"Fail"))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IF($C458="","",COUNTIFS(nrSK_PID,$D458,nrSK_Cat,$E458,nrSK_Res,"Pass")+COUNTIFS(nrSK_PID,$D458,nrSK_Cat,$E458,nrSK_Res,"Fail"))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IF($C459="","",COUNTIFS(nrSK_PID,$D459,nrSK_Cat,$E459,nrSK_Res,"Pass")+COUNTIFS(nrSK_PID,$D459,nrSK_Cat,$E459,nrSK_Res,"Fail"))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IF($C460="","",COUNTIFS(nrSK_PID,$D460,nrSK_Cat,$E460,nrSK_Res,"Pass")+COUNTIFS(nrSK_PID,$D460,nrSK_Cat,$E460,nrSK_Res,"Fail"))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IF($C461="","",COUNTIFS(nrSK_PID,$D461,nrSK_Cat,$E461,nrSK_Res,"Pass")+COUNTIFS(nrSK_PID,$D461,nrSK_Cat,$E461,nrSK_Res,"Fail"))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IF($C462="","",COUNTIFS(nrSK_PID,$D462,nrSK_Cat,$E462,nrSK_Res,"Pass")+COUNTIFS(nrSK_PID,$D462,nrSK_Cat,$E462,nrSK_Res,"Fail"))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IF($C463="","",COUNTIFS(nrSK_PID,$D463,nrSK_Cat,$E463,nrSK_Res,"Pass")+COUNTIFS(nrSK_PID,$D463,nrSK_Cat,$E463,nrSK_Res,"Fail"))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IF($C464="","",COUNTIFS(nrSK_PID,$D464,nrSK_Cat,$E464,nrSK_Res,"Pass")+COUNTIFS(nrSK_PID,$D464,nrSK_Cat,$E464,nrSK_Res,"Fail"))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IF($C465="","",COUNTIFS(nrSK_PID,$D465,nrSK_Cat,$E465,nrSK_Res,"Pass")+COUNTIFS(nrSK_PID,$D465,nrSK_Cat,$E465,nrSK_Res,"Fail"))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IF($C466="","",COUNTIFS(nrSK_PID,$D466,nrSK_Cat,$E466,nrSK_Res,"Pass")+COUNTIFS(nrSK_PID,$D466,nrSK_Cat,$E466,nrSK_Res,"Fail"))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IF($C467="","",COUNTIFS(nrSK_PID,$D467,nrSK_Cat,$E467,nrSK_Res,"Pass")+COUNTIFS(nrSK_PID,$D467,nrSK_Cat,$E467,nrSK_Res,"Fail"))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IF($C468="","",COUNTIFS(nrSK_PID,$D468,nrSK_Cat,$E468,nrSK_Res,"Pass")+COUNTIFS(nrSK_PID,$D468,nrSK_Cat,$E468,nrSK_Res,"Fail"))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IF($C469="","",COUNTIFS(nrSK_PID,$D469,nrSK_Cat,$E469,nrSK_Res,"Pass")+COUNTIFS(nrSK_PID,$D469,nrSK_Cat,$E469,nrSK_Res,"Fail"))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IF($C470="","",COUNTIFS(nrSK_PID,$D470,nrSK_Cat,$E470,nrSK_Res,"Pass")+COUNTIFS(nrSK_PID,$D470,nrSK_Cat,$E470,nrSK_Res,"Fail"))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IF($C471="","",COUNTIFS(nrSK_PID,$D471,nrSK_Cat,$E471,nrSK_Res,"Pass")+COUNTIFS(nrSK_PID,$D471,nrSK_Cat,$E471,nrSK_Res,"Fail"))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IF($C472="","",COUNTIFS(nrSK_PID,$D472,nrSK_Cat,$E472,nrSK_Res,"Pass")+COUNTIFS(nrSK_PID,$D472,nrSK_Cat,$E472,nrSK_Res,"Fail"))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IF($C473="","",COUNTIFS(nrSK_PID,$D473,nrSK_Cat,$E473,nrSK_Res,"Pass")+COUNTIFS(nrSK_PID,$D473,nrSK_Cat,$E473,nrSK_Res,"Fail"))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IF($C474="","",COUNTIFS(nrSK_PID,$D474,nrSK_Cat,$E474,nrSK_Res,"Pass")+COUNTIFS(nrSK_PID,$D474,nrSK_Cat,$E474,nrSK_Res,"Fail"))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IF($C475="","",COUNTIFS(nrSK_PID,$D475,nrSK_Cat,$E475,nrSK_Res,"Pass")+COUNTIFS(nrSK_PID,$D475,nrSK_Cat,$E475,nrSK_Res,"Fail"))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IF($C476="","",COUNTIFS(nrSK_PID,$D476,nrSK_Cat,$E476,nrSK_Res,"Pass")+COUNTIFS(nrSK_PID,$D476,nrSK_Cat,$E476,nrSK_Res,"Fail"))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IF($C477="","",COUNTIFS(nrSK_PID,$D477,nrSK_Cat,$E477,nrSK_Res,"Pass")+COUNTIFS(nrSK_PID,$D477,nrSK_Cat,$E477,nrSK_Res,"Fail"))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IF($C478="","",COUNTIFS(nrSK_PID,$D478,nrSK_Cat,$E478,nrSK_Res,"Pass")+COUNTIFS(nrSK_PID,$D478,nrSK_Cat,$E478,nrSK_Res,"Fail"))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IF($C479="","",COUNTIFS(nrSK_PID,$D479,nrSK_Cat,$E479,nrSK_Res,"Pass")+COUNTIFS(nrSK_PID,$D479,nrSK_Cat,$E479,nrSK_Res,"Fail"))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IF($C480="","",COUNTIFS(nrSK_PID,$D480,nrSK_Cat,$E480,nrSK_Res,"Pass")+COUNTIFS(nrSK_PID,$D480,nrSK_Cat,$E480,nrSK_Res,"Fail"))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IF($C481="","",COUNTIFS(nrSK_PID,$D481,nrSK_Cat,$E481,nrSK_Res,"Pass")+COUNTIFS(nrSK_PID,$D481,nrSK_Cat,$E481,nrSK_Res,"Fail"))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IF($C482="","",COUNTIFS(nrSK_PID,$D482,nrSK_Cat,$E482,nrSK_Res,"Pass")+COUNTIFS(nrSK_PID,$D482,nrSK_Cat,$E482,nrSK_Res,"Fail"))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IF($C483="","",COUNTIFS(nrSK_PID,$D483,nrSK_Cat,$E483,nrSK_Res,"Pass")+COUNTIFS(nrSK_PID,$D483,nrSK_Cat,$E483,nrSK_Res,"Fail"))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IF($C484="","",COUNTIFS(nrSK_PID,$D484,nrSK_Cat,$E484,nrSK_Res,"Pass")+COUNTIFS(nrSK_PID,$D484,nrSK_Cat,$E484,nrSK_Res,"Fail"))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IF($C485="","",COUNTIFS(nrSK_PID,$D485,nrSK_Cat,$E485,nrSK_Res,"Pass")+COUNTIFS(nrSK_PID,$D485,nrSK_Cat,$E485,nrSK_Res,"Fail"))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IF($C486="","",COUNTIFS(nrSK_PID,$D486,nrSK_Cat,$E486,nrSK_Res,"Pass")+COUNTIFS(nrSK_PID,$D486,nrSK_Cat,$E486,nrSK_Res,"Fail"))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IF($C487="","",COUNTIFS(nrSK_PID,$D487,nrSK_Cat,$E487,nrSK_Res,"Pass")+COUNTIFS(nrSK_PID,$D487,nrSK_Cat,$E487,nrSK_Res,"Fail"))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IF($C488="","",COUNTIFS(nrSK_PID,$D488,nrSK_Cat,$E488,nrSK_Res,"Pass")+COUNTIFS(nrSK_PID,$D488,nrSK_Cat,$E488,nrSK_Res,"Fail"))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IF($C489="","",COUNTIFS(nrSK_PID,$D489,nrSK_Cat,$E489,nrSK_Res,"Pass")+COUNTIFS(nrSK_PID,$D489,nrSK_Cat,$E489,nrSK_Res,"Fail"))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IF($C490="","",COUNTIFS(nrSK_PID,$D490,nrSK_Cat,$E490,nrSK_Res,"Pass")+COUNTIFS(nrSK_PID,$D490,nrSK_Cat,$E490,nrSK_Res,"Fail"))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IF($C491="","",COUNTIFS(nrSK_PID,$D491,nrSK_Cat,$E491,nrSK_Res,"Pass")+COUNTIFS(nrSK_PID,$D491,nrSK_Cat,$E491,nrSK_Res,"Fail"))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IF($C492="","",COUNTIFS(nrSK_PID,$D492,nrSK_Cat,$E492,nrSK_Res,"Pass")+COUNTIFS(nrSK_PID,$D492,nrSK_Cat,$E492,nrSK_Res,"Fail"))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IF($C493="","",COUNTIFS(nrSK_PID,$D493,nrSK_Cat,$E493,nrSK_Res,"Pass")+COUNTIFS(nrSK_PID,$D493,nrSK_Cat,$E493,nrSK_Res,"Fail"))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IF($C494="","",COUNTIFS(nrSK_PID,$D494,nrSK_Cat,$E494,nrSK_Res,"Pass")+COUNTIFS(nrSK_PID,$D494,nrSK_Cat,$E494,nrSK_Res,"Fail"))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IF($C495="","",COUNTIFS(nrSK_PID,$D495,nrSK_Cat,$E495,nrSK_Res,"Pass")+COUNTIFS(nrSK_PID,$D495,nrSK_Cat,$E495,nrSK_Res,"Fail"))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IF($C496="","",COUNTIFS(nrSK_PID,$D496,nrSK_Cat,$E496,nrSK_Res,"Pass")+COUNTIFS(nrSK_PID,$D496,nrSK_Cat,$E496,nrSK_Res,"Fail"))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IF($C497="","",COUNTIFS(nrSK_PID,$D497,nrSK_Cat,$E497,nrSK_Res,"Pass")+COUNTIFS(nrSK_PID,$D497,nrSK_Cat,$E497,nrSK_Res,"Fail"))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IF($C498="","",COUNTIFS(nrSK_PID,$D498,nrSK_Cat,$E498,nrSK_Res,"Pass")+COUNTIFS(nrSK_PID,$D498,nrSK_Cat,$E498,nrSK_Res,"Fail"))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IF($C499="","",COUNTIFS(nrSK_PID,$D499,nrSK_Cat,$E499,nrSK_Res,"Pass")+COUNTIFS(nrSK_PID,$D499,nrSK_Cat,$E499,nrSK_Res,"Fail"))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IF($C500="","",COUNTIFS(nrSK_PID,$D500,nrSK_Cat,$E500,nrSK_Res,"Pass")+COUNTIFS(nrSK_PID,$D500,nrSK_Cat,$E500,nrSK_Res,"Fail"))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IF($C501="","",COUNTIFS(nrSK_PID,$D501,nrSK_Cat,$E501,nrSK_Res,"Pass")+COUNTIFS(nrSK_PID,$D501,nrSK_Cat,$E501,nrSK_Res,"Fail"))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IF($C502="","",COUNTIFS(nrSK_PID,$D502,nrSK_Cat,$E502,nrSK_Res,"Pass")+COUNTIFS(nrSK_PID,$D502,nrSK_Cat,$E502,nrSK_Res,"Fail"))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IF($C503="","",COUNTIFS(nrSK_PID,$D503,nrSK_Cat,$E503,nrSK_Res,"Pass")+COUNTIFS(nrSK_PID,$D503,nrSK_Cat,$E503,nrSK_Res,"Fail"))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IF($C504="","",COUNTIFS(nrSK_PID,$D504,nrSK_Cat,$E504,nrSK_Res,"Pass")+COUNTIFS(nrSK_PID,$D504,nrSK_Cat,$E504,nrSK_Res,"Fail"))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IF($C505="","",COUNTIFS(nrSK_PID,$D505,nrSK_Cat,$E505,nrSK_Res,"Pass")+COUNTIFS(nrSK_PID,$D505,nrSK_Cat,$E505,nrSK_Res,"Fail"))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IF($C506="","",COUNTIFS(nrSK_PID,$D506,nrSK_Cat,$E506,nrSK_Res,"Pass")+COUNTIFS(nrSK_PID,$D506,nrSK_Cat,$E506,nrSK_Res,"Fail"))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IF($C507="","",COUNTIFS(nrSK_PID,$D507,nrSK_Cat,$E507,nrSK_Res,"Pass")+COUNTIFS(nrSK_PID,$D507,nrSK_Cat,$E507,nrSK_Res,"Fail"))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IF($C508="","",COUNTIFS(nrSK_PID,$D508,nrSK_Cat,$E508,nrSK_Res,"Pass")+COUNTIFS(nrSK_PID,$D508,nrSK_Cat,$E508,nrSK_Res,"Fail"))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IF($C509="","",COUNTIFS(nrSK_PID,$D509,nrSK_Cat,$E509,nrSK_Res,"Pass")+COUNTIFS(nrSK_PID,$D509,nrSK_Cat,$E509,nrSK_Res,"Fail"))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IF($C510="","",COUNTIFS(nrSK_PID,$D510,nrSK_Cat,$E510,nrSK_Res,"Pass")+COUNTIFS(nrSK_PID,$D510,nrSK_Cat,$E510,nrSK_Res,"Fail"))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IF($C511="","",COUNTIFS(nrSK_PID,$D511,nrSK_Cat,$E511,nrSK_Res,"Pass")+COUNTIFS(nrSK_PID,$D511,nrSK_Cat,$E511,nrSK_Res,"Fail"))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IF($C512="","",COUNTIFS(nrSK_PID,$D512,nrSK_Cat,$E512,nrSK_Res,"Pass")+COUNTIFS(nrSK_PID,$D512,nrSK_Cat,$E512,nrSK_Res,"Fail"))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IF($C513="","",COUNTIFS(nrSK_PID,$D513,nrSK_Cat,$E513,nrSK_Res,"Pass")+COUNTIFS(nrSK_PID,$D513,nrSK_Cat,$E513,nrSK_Res,"Fail"))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IF($C514="","",COUNTIFS(nrSK_PID,$D514,nrSK_Cat,$E514,nrSK_Res,"Pass")+COUNTIFS(nrSK_PID,$D514,nrSK_Cat,$E514,nrSK_Res,"Fail"))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IF($C515="","",COUNTIFS(nrSK_PID,$D515,nrSK_Cat,$E515,nrSK_Res,"Pass")+COUNTIFS(nrSK_PID,$D515,nrSK_Cat,$E515,nrSK_Res,"Fail"))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IF($C516="","",COUNTIFS(nrSK_PID,$D516,nrSK_Cat,$E516,nrSK_Res,"Pass")+COUNTIFS(nrSK_PID,$D516,nrSK_Cat,$E516,nrSK_Res,"Fail"))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IF($C517="","",COUNTIFS(nrSK_PID,$D517,nrSK_Cat,$E517,nrSK_Res,"Pass")+COUNTIFS(nrSK_PID,$D517,nrSK_Cat,$E517,nrSK_Res,"Fail"))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IF($C518="","",COUNTIFS(nrSK_PID,$D518,nrSK_Cat,$E518,nrSK_Res,"Pass")+COUNTIFS(nrSK_PID,$D518,nrSK_Cat,$E518,nrSK_Res,"Fail"))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IF($C519="","",COUNTIFS(nrSK_PID,$D519,nrSK_Cat,$E519,nrSK_Res,"Pass")+COUNTIFS(nrSK_PID,$D519,nrSK_Cat,$E519,nrSK_Res,"Fail"))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IF($C520="","",COUNTIFS(nrSK_PID,$D520,nrSK_Cat,$E520,nrSK_Res,"Pass")+COUNTIFS(nrSK_PID,$D520,nrSK_Cat,$E520,nrSK_Res,"Fail"))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IF($C521="","",COUNTIFS(nrSK_PID,$D521,nrSK_Cat,$E521,nrSK_Res,"Pass")+COUNTIFS(nrSK_PID,$D521,nrSK_Cat,$E521,nrSK_Res,"Fail"))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IF($C522="","",COUNTIFS(nrSK_PID,$D522,nrSK_Cat,$E522,nrSK_Res,"Pass")+COUNTIFS(nrSK_PID,$D522,nrSK_Cat,$E522,nrSK_Res,"Fail"))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IF($C523="","",COUNTIFS(nrSK_PID,$D523,nrSK_Cat,$E523,nrSK_Res,"Pass")+COUNTIFS(nrSK_PID,$D523,nrSK_Cat,$E523,nrSK_Res,"Fail"))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IF($C524="","",COUNTIFS(nrSK_PID,$D524,nrSK_Cat,$E524,nrSK_Res,"Pass")+COUNTIFS(nrSK_PID,$D524,nrSK_Cat,$E524,nrSK_Res,"Fail"))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IF($C525="","",COUNTIFS(nrSK_PID,$D525,nrSK_Cat,$E525,nrSK_Res,"Pass")+COUNTIFS(nrSK_PID,$D525,nrSK_Cat,$E525,nrSK_Res,"Fail"))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IF($C526="","",COUNTIFS(nrSK_PID,$D526,nrSK_Cat,$E526,nrSK_Res,"Pass")+COUNTIFS(nrSK_PID,$D526,nrSK_Cat,$E526,nrSK_Res,"Fail"))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IF($C527="","",COUNTIFS(nrSK_PID,$D527,nrSK_Cat,$E527,nrSK_Res,"Pass")+COUNTIFS(nrSK_PID,$D527,nrSK_Cat,$E527,nrSK_Res,"Fail"))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IF($C528="","",COUNTIFS(nrSK_PID,$D528,nrSK_Cat,$E528,nrSK_Res,"Pass")+COUNTIFS(nrSK_PID,$D528,nrSK_Cat,$E528,nrSK_Res,"Fail"))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IF($C529="","",COUNTIFS(nrSK_PID,$D529,nrSK_Cat,$E529,nrSK_Res,"Pass")+COUNTIFS(nrSK_PID,$D529,nrSK_Cat,$E529,nrSK_Res,"Fail"))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IF($C530="","",COUNTIFS(nrSK_PID,$D530,nrSK_Cat,$E530,nrSK_Res,"Pass")+COUNTIFS(nrSK_PID,$D530,nrSK_Cat,$E530,nrSK_Res,"Fail"))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IF($C531="","",COUNTIFS(nrSK_PID,$D531,nrSK_Cat,$E531,nrSK_Res,"Pass")+COUNTIFS(nrSK_PID,$D531,nrSK_Cat,$E531,nrSK_Res,"Fail"))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IF($C532="","",COUNTIFS(nrSK_PID,$D532,nrSK_Cat,$E532,nrSK_Res,"Pass")+COUNTIFS(nrSK_PID,$D532,nrSK_Cat,$E532,nrSK_Res,"Fail"))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IF($C533="","",COUNTIFS(nrSK_PID,$D533,nrSK_Cat,$E533,nrSK_Res,"Pass")+COUNTIFS(nrSK_PID,$D533,nrSK_Cat,$E533,nrSK_Res,"Fail"))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IF($C534="","",COUNTIFS(nrSK_PID,$D534,nrSK_Cat,$E534,nrSK_Res,"Pass")+COUNTIFS(nrSK_PID,$D534,nrSK_Cat,$E534,nrSK_Res,"Fail"))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IF($C535="","",COUNTIFS(nrSK_PID,$D535,nrSK_Cat,$E535,nrSK_Res,"Pass")+COUNTIFS(nrSK_PID,$D535,nrSK_Cat,$E535,nrSK_Res,"Fail"))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IF($C536="","",COUNTIFS(nrSK_PID,$D536,nrSK_Cat,$E536,nrSK_Res,"Pass")+COUNTIFS(nrSK_PID,$D536,nrSK_Cat,$E536,nrSK_Res,"Fail"))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IF($C537="","",COUNTIFS(nrSK_PID,$D537,nrSK_Cat,$E537,nrSK_Res,"Pass")+COUNTIFS(nrSK_PID,$D537,nrSK_Cat,$E537,nrSK_Res,"Fail"))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IF($C538="","",COUNTIFS(nrSK_PID,$D538,nrSK_Cat,$E538,nrSK_Res,"Pass")+COUNTIFS(nrSK_PID,$D538,nrSK_Cat,$E538,nrSK_Res,"Fail"))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IF($C539="","",COUNTIFS(nrSK_PID,$D539,nrSK_Cat,$E539,nrSK_Res,"Pass")+COUNTIFS(nrSK_PID,$D539,nrSK_Cat,$E539,nrSK_Res,"Fail"))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IF($C540="","",COUNTIFS(nrSK_PID,$D540,nrSK_Cat,$E540,nrSK_Res,"Pass")+COUNTIFS(nrSK_PID,$D540,nrSK_Cat,$E540,nrSK_Res,"Fail"))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IF($C541="","",COUNTIFS(nrSK_PID,$D541,nrSK_Cat,$E541,nrSK_Res,"Pass")+COUNTIFS(nrSK_PID,$D541,nrSK_Cat,$E541,nrSK_Res,"Fail"))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IF($C542="","",COUNTIFS(nrSK_PID,$D542,nrSK_Cat,$E542,nrSK_Res,"Pass")+COUNTIFS(nrSK_PID,$D542,nrSK_Cat,$E542,nrSK_Res,"Fail"))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IF($C543="","",COUNTIFS(nrSK_PID,$D543,nrSK_Cat,$E543,nrSK_Res,"Pass")+COUNTIFS(nrSK_PID,$D543,nrSK_Cat,$E543,nrSK_Res,"Fail"))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IF($C544="","",COUNTIFS(nrSK_PID,$D544,nrSK_Cat,$E544,nrSK_Res,"Pass")+COUNTIFS(nrSK_PID,$D544,nrSK_Cat,$E544,nrSK_Res,"Fail"))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IF($C545="","",COUNTIFS(nrSK_PID,$D545,nrSK_Cat,$E545,nrSK_Res,"Pass")+COUNTIFS(nrSK_PID,$D545,nrSK_Cat,$E545,nrSK_Res,"Fail"))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IF($C546="","",COUNTIFS(nrSK_PID,$D546,nrSK_Cat,$E546,nrSK_Res,"Pass")+COUNTIFS(nrSK_PID,$D546,nrSK_Cat,$E546,nrSK_Res,"Fail"))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IF($C547="","",COUNTIFS(nrSK_PID,$D547,nrSK_Cat,$E547,nrSK_Res,"Pass")+COUNTIFS(nrSK_PID,$D547,nrSK_Cat,$E547,nrSK_Res,"Fail"))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IF($C548="","",COUNTIFS(nrSK_PID,$D548,nrSK_Cat,$E548,nrSK_Res,"Pass")+COUNTIFS(nrSK_PID,$D548,nrSK_Cat,$E548,nrSK_Res,"Fail"))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IF($C549="","",COUNTIFS(nrSK_PID,$D549,nrSK_Cat,$E549,nrSK_Res,"Pass")+COUNTIFS(nrSK_PID,$D549,nrSK_Cat,$E549,nrSK_Res,"Fail"))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IF($C550="","",COUNTIFS(nrSK_PID,$D550,nrSK_Cat,$E550,nrSK_Res,"Pass")+COUNTIFS(nrSK_PID,$D550,nrSK_Cat,$E550,nrSK_Res,"Fail"))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IF($C551="","",COUNTIFS(nrSK_PID,$D551,nrSK_Cat,$E551,nrSK_Res,"Pass")+COUNTIFS(nrSK_PID,$D551,nrSK_Cat,$E551,nrSK_Res,"Fail"))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IF($C552="","",COUNTIFS(nrSK_PID,$D552,nrSK_Cat,$E552,nrSK_Res,"Pass")+COUNTIFS(nrSK_PID,$D552,nrSK_Cat,$E552,nrSK_Res,"Fail"))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IF($C553="","",COUNTIFS(nrSK_PID,$D553,nrSK_Cat,$E553,nrSK_Res,"Pass")+COUNTIFS(nrSK_PID,$D553,nrSK_Cat,$E553,nrSK_Res,"Fail"))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IF($C554="","",COUNTIFS(nrSK_PID,$D554,nrSK_Cat,$E554,nrSK_Res,"Pass")+COUNTIFS(nrSK_PID,$D554,nrSK_Cat,$E554,nrSK_Res,"Fail"))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IF($C555="","",COUNTIFS(nrSK_PID,$D555,nrSK_Cat,$E555,nrSK_Res,"Pass")+COUNTIFS(nrSK_PID,$D555,nrSK_Cat,$E555,nrSK_Res,"Fail"))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IF($C556="","",COUNTIFS(nrSK_PID,$D556,nrSK_Cat,$E556,nrSK_Res,"Pass")+COUNTIFS(nrSK_PID,$D556,nrSK_Cat,$E556,nrSK_Res,"Fail"))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IF($C557="","",COUNTIFS(nrSK_PID,$D557,nrSK_Cat,$E557,nrSK_Res,"Pass")+COUNTIFS(nrSK_PID,$D557,nrSK_Cat,$E557,nrSK_Res,"Fail"))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IF($C558="","",COUNTIFS(nrSK_PID,$D558,nrSK_Cat,$E558,nrSK_Res,"Pass")+COUNTIFS(nrSK_PID,$D558,nrSK_Cat,$E558,nrSK_Res,"Fail"))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IF($C559="","",COUNTIFS(nrSK_PID,$D559,nrSK_Cat,$E559,nrSK_Res,"Pass")+COUNTIFS(nrSK_PID,$D559,nrSK_Cat,$E559,nrSK_Res,"Fail"))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IF($C560="","",COUNTIFS(nrSK_PID,$D560,nrSK_Cat,$E560,nrSK_Res,"Pass")+COUNTIFS(nrSK_PID,$D560,nrSK_Cat,$E560,nrSK_Res,"Fail"))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IF($C561="","",COUNTIFS(nrSK_PID,$D561,nrSK_Cat,$E561,nrSK_Res,"Pass")+COUNTIFS(nrSK_PID,$D561,nrSK_Cat,$E561,nrSK_Res,"Fail"))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IF($C562="","",COUNTIFS(nrSK_PID,$D562,nrSK_Cat,$E562,nrSK_Res,"Pass")+COUNTIFS(nrSK_PID,$D562,nrSK_Cat,$E562,nrSK_Res,"Fail"))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IF($C563="","",COUNTIFS(nrSK_PID,$D563,nrSK_Cat,$E563,nrSK_Res,"Pass")+COUNTIFS(nrSK_PID,$D563,nrSK_Cat,$E563,nrSK_Res,"Fail"))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IF($C564="","",COUNTIFS(nrSK_PID,$D564,nrSK_Cat,$E564,nrSK_Res,"Pass")+COUNTIFS(nrSK_PID,$D564,nrSK_Cat,$E564,nrSK_Res,"Fail"))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IF($C565="","",COUNTIFS(nrSK_PID,$D565,nrSK_Cat,$E565,nrSK_Res,"Pass")+COUNTIFS(nrSK_PID,$D565,nrSK_Cat,$E565,nrSK_Res,"Fail"))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IF($C566="","",COUNTIFS(nrSK_PID,$D566,nrSK_Cat,$E566,nrSK_Res,"Pass")+COUNTIFS(nrSK_PID,$D566,nrSK_Cat,$E566,nrSK_Res,"Fail"))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IF($C567="","",COUNTIFS(nrSK_PID,$D567,nrSK_Cat,$E567,nrSK_Res,"Pass")+COUNTIFS(nrSK_PID,$D567,nrSK_Cat,$E567,nrSK_Res,"Fail"))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IF($C568="","",COUNTIFS(nrSK_PID,$D568,nrSK_Cat,$E568,nrSK_Res,"Pass")+COUNTIFS(nrSK_PID,$D568,nrSK_Cat,$E568,nrSK_Res,"Fail"))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IF($C569="","",COUNTIFS(nrSK_PID,$D569,nrSK_Cat,$E569,nrSK_Res,"Pass")+COUNTIFS(nrSK_PID,$D569,nrSK_Cat,$E569,nrSK_Res,"Fail"))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IF($C570="","",COUNTIFS(nrSK_PID,$D570,nrSK_Cat,$E570,nrSK_Res,"Pass")+COUNTIFS(nrSK_PID,$D570,nrSK_Cat,$E570,nrSK_Res,"Fail"))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IF($C571="","",COUNTIFS(nrSK_PID,$D571,nrSK_Cat,$E571,nrSK_Res,"Pass")+COUNTIFS(nrSK_PID,$D571,nrSK_Cat,$E571,nrSK_Res,"Fail"))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IF($C572="","",COUNTIFS(nrSK_PID,$D572,nrSK_Cat,$E572,nrSK_Res,"Pass")+COUNTIFS(nrSK_PID,$D572,nrSK_Cat,$E572,nrSK_Res,"Fail"))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IF($C573="","",COUNTIFS(nrSK_PID,$D573,nrSK_Cat,$E573,nrSK_Res,"Pass")+COUNTIFS(nrSK_PID,$D573,nrSK_Cat,$E573,nrSK_Res,"Fail"))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IF($C574="","",COUNTIFS(nrSK_PID,$D574,nrSK_Cat,$E574,nrSK_Res,"Pass")+COUNTIFS(nrSK_PID,$D574,nrSK_Cat,$E574,nrSK_Res,"Fail"))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IF($C575="","",COUNTIFS(nrSK_PID,$D575,nrSK_Cat,$E575,nrSK_Res,"Pass")+COUNTIFS(nrSK_PID,$D575,nrSK_Cat,$E575,nrSK_Res,"Fail"))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IF($C576="","",COUNTIFS(nrSK_PID,$D576,nrSK_Cat,$E576,nrSK_Res,"Pass")+COUNTIFS(nrSK_PID,$D576,nrSK_Cat,$E576,nrSK_Res,"Fail"))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IF($C577="","",COUNTIFS(nrSK_PID,$D577,nrSK_Cat,$E577,nrSK_Res,"Pass")+COUNTIFS(nrSK_PID,$D577,nrSK_Cat,$E577,nrSK_Res,"Fail"))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IF($C578="","",COUNTIFS(nrSK_PID,$D578,nrSK_Cat,$E578,nrSK_Res,"Pass")+COUNTIFS(nrSK_PID,$D578,nrSK_Cat,$E578,nrSK_Res,"Fail"))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IF($C579="","",COUNTIFS(nrSK_PID,$D579,nrSK_Cat,$E579,nrSK_Res,"Pass")+COUNTIFS(nrSK_PID,$D579,nrSK_Cat,$E579,nrSK_Res,"Fail"))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IF($C580="","",COUNTIFS(nrSK_PID,$D580,nrSK_Cat,$E580,nrSK_Res,"Pass")+COUNTIFS(nrSK_PID,$D580,nrSK_Cat,$E580,nrSK_Res,"Fail"))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IF($C581="","",COUNTIFS(nrSK_PID,$D581,nrSK_Cat,$E581,nrSK_Res,"Pass")+COUNTIFS(nrSK_PID,$D581,nrSK_Cat,$E581,nrSK_Res,"Fail"))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IF($C582="","",COUNTIFS(nrSK_PID,$D582,nrSK_Cat,$E582,nrSK_Res,"Pass")+COUNTIFS(nrSK_PID,$D582,nrSK_Cat,$E582,nrSK_Res,"Fail"))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IF($C583="","",COUNTIFS(nrSK_PID,$D583,nrSK_Cat,$E583,nrSK_Res,"Pass")+COUNTIFS(nrSK_PID,$D583,nrSK_Cat,$E583,nrSK_Res,"Fail"))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IF($C584="","",COUNTIFS(nrSK_PID,$D584,nrSK_Cat,$E584,nrSK_Res,"Pass")+COUNTIFS(nrSK_PID,$D584,nrSK_Cat,$E584,nrSK_Res,"Fail"))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IF($C585="","",COUNTIFS(nrSK_PID,$D585,nrSK_Cat,$E585,nrSK_Res,"Pass")+COUNTIFS(nrSK_PID,$D585,nrSK_Cat,$E585,nrSK_Res,"Fail"))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IF($C586="","",COUNTIFS(nrSK_PID,$D586,nrSK_Cat,$E586,nrSK_Res,"Pass")+COUNTIFS(nrSK_PID,$D586,nrSK_Cat,$E586,nrSK_Res,"Fail"))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IF($C587="","",COUNTIFS(nrSK_PID,$D587,nrSK_Cat,$E587,nrSK_Res,"Pass")+COUNTIFS(nrSK_PID,$D587,nrSK_Cat,$E587,nrSK_Res,"Fail"))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IF($C588="","",COUNTIFS(nrSK_PID,$D588,nrSK_Cat,$E588,nrSK_Res,"Pass")+COUNTIFS(nrSK_PID,$D588,nrSK_Cat,$E588,nrSK_Res,"Fail"))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IF($C589="","",COUNTIFS(nrSK_PID,$D589,nrSK_Cat,$E589,nrSK_Res,"Pass")+COUNTIFS(nrSK_PID,$D589,nrSK_Cat,$E589,nrSK_Res,"Fail"))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IF($C590="","",COUNTIFS(nrSK_PID,$D590,nrSK_Cat,$E590,nrSK_Res,"Pass")+COUNTIFS(nrSK_PID,$D590,nrSK_Cat,$E590,nrSK_Res,"Fail"))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IF($C591="","",COUNTIFS(nrSK_PID,$D591,nrSK_Cat,$E591,nrSK_Res,"Pass")+COUNTIFS(nrSK_PID,$D591,nrSK_Cat,$E591,nrSK_Res,"Fail"))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IF($C592="","",COUNTIFS(nrSK_PID,$D592,nrSK_Cat,$E592,nrSK_Res,"Pass")+COUNTIFS(nrSK_PID,$D592,nrSK_Cat,$E592,nrSK_Res,"Fail"))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IF($C593="","",COUNTIFS(nrSK_PID,$D593,nrSK_Cat,$E593,nrSK_Res,"Pass")+COUNTIFS(nrSK_PID,$D593,nrSK_Cat,$E593,nrSK_Res,"Fail"))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IF($C594="","",COUNTIFS(nrSK_PID,$D594,nrSK_Cat,$E594,nrSK_Res,"Pass")+COUNTIFS(nrSK_PID,$D594,nrSK_Cat,$E594,nrSK_Res,"Fail"))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IF($C595="","",COUNTIFS(nrSK_PID,$D595,nrSK_Cat,$E595,nrSK_Res,"Pass")+COUNTIFS(nrSK_PID,$D595,nrSK_Cat,$E595,nrSK_Res,"Fail"))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IF($C596="","",COUNTIFS(nrSK_PID,$D596,nrSK_Cat,$E596,nrSK_Res,"Pass")+COUNTIFS(nrSK_PID,$D596,nrSK_Cat,$E596,nrSK_Res,"Fail"))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IF($C597="","",COUNTIFS(nrSK_PID,$D597,nrSK_Cat,$E597,nrSK_Res,"Pass")+COUNTIFS(nrSK_PID,$D597,nrSK_Cat,$E597,nrSK_Res,"Fail"))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IF($C598="","",COUNTIFS(nrSK_PID,$D598,nrSK_Cat,$E598,nrSK_Res,"Pass")+COUNTIFS(nrSK_PID,$D598,nrSK_Cat,$E598,nrSK_Res,"Fail"))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IF($C599="","",COUNTIFS(nrSK_PID,$D599,nrSK_Cat,$E599,nrSK_Res,"Pass")+COUNTIFS(nrSK_PID,$D599,nrSK_Cat,$E599,nrSK_Res,"Fail"))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IF($C600="","",COUNTIFS(nrSK_PID,$D600,nrSK_Cat,$E600,nrSK_Res,"Pass")+COUNTIFS(nrSK_PID,$D600,nrSK_Cat,$E600,nrSK_Res,"Fail"))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IF($C601="","",COUNTIFS(nrSK_PID,$D601,nrSK_Cat,$E601,nrSK_Res,"Pass")+COUNTIFS(nrSK_PID,$D601,nrSK_Cat,$E601,nrSK_Res,"Fail"))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IF($C602="","",COUNTIFS(nrSK_PID,$D602,nrSK_Cat,$E602,nrSK_Res,"Pass")+COUNTIFS(nrSK_PID,$D602,nrSK_Cat,$E602,nrSK_Res,"Fail"))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IF($C603="","",COUNTIFS(nrSK_PID,$D603,nrSK_Cat,$E603,nrSK_Res,"Pass")+COUNTIFS(nrSK_PID,$D603,nrSK_Cat,$E603,nrSK_Res,"Fail"))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IF($C604="","",COUNTIFS(nrSK_PID,$D604,nrSK_Cat,$E604,nrSK_Res,"Pass")+COUNTIFS(nrSK_PID,$D604,nrSK_Cat,$E604,nrSK_Res,"Fail"))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IF($C605="","",COUNTIFS(nrSK_PID,$D605,nrSK_Cat,$E605,nrSK_Res,"Pass")+COUNTIFS(nrSK_PID,$D605,nrSK_Cat,$E605,nrSK_Res,"Fail"))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row>
  </sheetData>
  <autoFilter ref="B5:R5"/>
  <conditionalFormatting sqref="O6:O605">
    <cfRule type="expression" priority="1" dxfId="0">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IF($B6="","",SUMPRODUCT((UPPER(D6:AQ6)&lt;&gt;"X")*(TRANSPOSE(rngWMdue)&lt;&gt;"")*(TRANSPOSE(rngWMdue)&lt;TODAY())))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IF($B7="","",SUMPRODUCT((UPPER(D7:AQ7)&lt;&gt;"X")*(TRANSPOSE(rngWMdue)&lt;&gt;"")*(TRANSPOSE(rngWMdue)&lt;TODAY())))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IF($B8="","",SUMPRODUCT((UPPER(D8:AQ8)&lt;&gt;"X")*(TRANSPOSE(rngWMdue)&lt;&gt;"")*(TRANSPOSE(rngWMdue)&lt;TODAY())))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IF($B9="","",SUMPRODUCT((UPPER(D9:AQ9)&lt;&gt;"X")*(TRANSPOSE(rngWMdue)&lt;&gt;"")*(TRANSPOSE(rngWMdue)&lt;TODAY())))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IF($B10="","",SUMPRODUCT((UPPER(D10:AQ10)&lt;&gt;"X")*(TRANSPOSE(rngWMdue)&lt;&gt;"")*(TRANSPOSE(rngWMdue)&lt;TODAY())))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IF($B11="","",SUMPRODUCT((UPPER(D11:AQ11)&lt;&gt;"X")*(TRANSPOSE(rngWMdue)&lt;&gt;"")*(TRANSPOSE(rngWMdue)&lt;TODAY())))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IF($B12="","",SUMPRODUCT((UPPER(D12:AQ12)&lt;&gt;"X")*(TRANSPOSE(rngWMdue)&lt;&gt;"")*(TRANSPOSE(rngWMdue)&lt;TODAY())))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IF($B13="","",SUMPRODUCT((UPPER(D13:AQ13)&lt;&gt;"X")*(TRANSPOSE(rngWMdue)&lt;&gt;"")*(TRANSPOSE(rngWMdue)&lt;TODAY())))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IF($B14="","",SUMPRODUCT((UPPER(D14:AQ14)&lt;&gt;"X")*(TRANSPOSE(rngWMdue)&lt;&gt;"")*(TRANSPOSE(rngWMdue)&lt;TODAY())))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IF($B15="","",SUMPRODUCT((UPPER(D15:AQ15)&lt;&gt;"X")*(TRANSPOSE(rngWMdue)&lt;&gt;"")*(TRANSPOSE(rngWMdue)&lt;TODAY())))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IF($B16="","",SUMPRODUCT((UPPER(D16:AQ16)&lt;&gt;"X")*(TRANSPOSE(rngWMdue)&lt;&gt;"")*(TRANSPOSE(rngWMdue)&lt;TODAY())))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IF($B17="","",SUMPRODUCT((UPPER(D17:AQ17)&lt;&gt;"X")*(TRANSPOSE(rngWMdue)&lt;&gt;"")*(TRANSPOSE(rngWMdue)&lt;TODAY())))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IF($B18="","",SUMPRODUCT((UPPER(D18:AQ18)&lt;&gt;"X")*(TRANSPOSE(rngWMdue)&lt;&gt;"")*(TRANSPOSE(rngWMdue)&lt;TODAY())))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IF($B19="","",SUMPRODUCT((UPPER(D19:AQ19)&lt;&gt;"X")*(TRANSPOSE(rngWMdue)&lt;&gt;"")*(TRANSPOSE(rngWMdue)&lt;TODAY())))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IF($B20="","",SUMPRODUCT((UPPER(D20:AQ20)&lt;&gt;"X")*(TRANSPOSE(rngWMdue)&lt;&gt;"")*(TRANSPOSE(rngWMdue)&lt;TODAY())))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IF($B21="","",SUMPRODUCT((UPPER(D21:AQ21)&lt;&gt;"X")*(TRANSPOSE(rngWMdue)&lt;&gt;"")*(TRANSPOSE(rngWMdue)&lt;TODAY())))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IF($B22="","",SUMPRODUCT((UPPER(D22:AQ22)&lt;&gt;"X")*(TRANSPOSE(rngWMdue)&lt;&gt;"")*(TRANSPOSE(rngWMdue)&lt;TODAY())))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IF($B23="","",SUMPRODUCT((UPPER(D23:AQ23)&lt;&gt;"X")*(TRANSPOSE(rngWMdue)&lt;&gt;"")*(TRANSPOSE(rngWMdue)&lt;TODAY())))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IF($B24="","",SUMPRODUCT((UPPER(D24:AQ24)&lt;&gt;"X")*(TRANSPOSE(rngWMdue)&lt;&gt;"")*(TRANSPOSE(rngWMdue)&lt;TODAY())))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IF($B25="","",SUMPRODUCT((UPPER(D25:AQ25)&lt;&gt;"X")*(TRANSPOSE(rngWMdue)&lt;&gt;"")*(TRANSPOSE(rngWMdue)&lt;TODAY())))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IF($B26="","",SUMPRODUCT((UPPER(D26:AQ26)&lt;&gt;"X")*(TRANSPOSE(rngWMdue)&lt;&gt;"")*(TRANSPOSE(rngWMdue)&lt;TODAY())))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IF($B27="","",SUMPRODUCT((UPPER(D27:AQ27)&lt;&gt;"X")*(TRANSPOSE(rngWMdue)&lt;&gt;"")*(TRANSPOSE(rngWMdue)&lt;TODAY())))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IF($B28="","",SUMPRODUCT((UPPER(D28:AQ28)&lt;&gt;"X")*(TRANSPOSE(rngWMdue)&lt;&gt;"")*(TRANSPOSE(rngWMdue)&lt;TODAY())))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IF($B29="","",SUMPRODUCT((UPPER(D29:AQ29)&lt;&gt;"X")*(TRANSPOSE(rngWMdue)&lt;&gt;"")*(TRANSPOSE(rngWMdue)&lt;TODAY())))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IF($B30="","",SUMPRODUCT((UPPER(D30:AQ30)&lt;&gt;"X")*(TRANSPOSE(rngWMdue)&lt;&gt;"")*(TRANSPOSE(rngWMdue)&lt;TODAY())))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IF($B31="","",SUMPRODUCT((UPPER(D31:AQ31)&lt;&gt;"X")*(TRANSPOSE(rngWMdue)&lt;&gt;"")*(TRANSPOSE(rngWMdue)&lt;TODAY())))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IF($B32="","",SUMPRODUCT((UPPER(D32:AQ32)&lt;&gt;"X")*(TRANSPOSE(rngWMdue)&lt;&gt;"")*(TRANSPOSE(rngWMdue)&lt;TODAY())))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IF($B33="","",SUMPRODUCT((UPPER(D33:AQ33)&lt;&gt;"X")*(TRANSPOSE(rngWMdue)&lt;&gt;"")*(TRANSPOSE(rngWMdue)&lt;TODAY())))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IF($B34="","",SUMPRODUCT((UPPER(D34:AQ34)&lt;&gt;"X")*(TRANSPOSE(rngWMdue)&lt;&gt;"")*(TRANSPOSE(rngWMdue)&lt;TODAY())))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IF($B35="","",SUMPRODUCT((UPPER(D35:AQ35)&lt;&gt;"X")*(TRANSPOSE(rngWMdue)&lt;&gt;"")*(TRANSPOSE(rngWMdue)&lt;TODAY())))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IF($B36="","",SUMPRODUCT((UPPER(D36:AQ36)&lt;&gt;"X")*(TRANSPOSE(rngWMdue)&lt;&gt;"")*(TRANSPOSE(rngWMdue)&lt;TODAY())))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IF($B37="","",SUMPRODUCT((UPPER(D37:AQ37)&lt;&gt;"X")*(TRANSPOSE(rngWMdue)&lt;&gt;"")*(TRANSPOSE(rngWMdue)&lt;TODAY())))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IF($B38="","",SUMPRODUCT((UPPER(D38:AQ38)&lt;&gt;"X")*(TRANSPOSE(rngWMdue)&lt;&gt;"")*(TRANSPOSE(rngWMdue)&lt;TODAY())))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IF($B39="","",SUMPRODUCT((UPPER(D39:AQ39)&lt;&gt;"X")*(TRANSPOSE(rngWMdue)&lt;&gt;"")*(TRANSPOSE(rngWMdue)&lt;TODAY())))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IF($B40="","",SUMPRODUCT((UPPER(D40:AQ40)&lt;&gt;"X")*(TRANSPOSE(rngWMdue)&lt;&gt;"")*(TRANSPOSE(rngWMdue)&lt;TODAY())))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IF($B41="","",SUMPRODUCT((UPPER(D41:AQ41)&lt;&gt;"X")*(TRANSPOSE(rngWMdue)&lt;&gt;"")*(TRANSPOSE(rngWMdue)&lt;TODAY())))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IF($B42="","",SUMPRODUCT((UPPER(D42:AQ42)&lt;&gt;"X")*(TRANSPOSE(rngWMdue)&lt;&gt;"")*(TRANSPOSE(rngWMdue)&lt;TODAY())))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IF($B43="","",SUMPRODUCT((UPPER(D43:AQ43)&lt;&gt;"X")*(TRANSPOSE(rngWMdue)&lt;&gt;"")*(TRANSPOSE(rngWMdue)&lt;TODAY())))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IF($B44="","",SUMPRODUCT((UPPER(D44:AQ44)&lt;&gt;"X")*(TRANSPOSE(rngWMdue)&lt;&gt;"")*(TRANSPOSE(rngWMdue)&lt;TODAY())))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IF($B45="","",SUMPRODUCT((UPPER(D45:AQ45)&lt;&gt;"X")*(TRANSPOSE(rngWMdue)&lt;&gt;"")*(TRANSPOSE(rngWMdue)&lt;TODAY())))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IF($B46="","",SUMPRODUCT((UPPER(D46:AQ46)&lt;&gt;"X")*(TRANSPOSE(rngWMdue)&lt;&gt;"")*(TRANSPOSE(rngWMdue)&lt;TODAY())))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IF($B47="","",SUMPRODUCT((UPPER(D47:AQ47)&lt;&gt;"X")*(TRANSPOSE(rngWMdue)&lt;&gt;"")*(TRANSPOSE(rngWMdue)&lt;TODAY())))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IF($B48="","",SUMPRODUCT((UPPER(D48:AQ48)&lt;&gt;"X")*(TRANSPOSE(rngWMdue)&lt;&gt;"")*(TRANSPOSE(rngWMdue)&lt;TODAY())))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IF($B49="","",SUMPRODUCT((UPPER(D49:AQ49)&lt;&gt;"X")*(TRANSPOSE(rngWMdue)&lt;&gt;"")*(TRANSPOSE(rngWMdue)&lt;TODAY())))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IF($B50="","",SUMPRODUCT((UPPER(D50:AQ50)&lt;&gt;"X")*(TRANSPOSE(rngWMdue)&lt;&gt;"")*(TRANSPOSE(rngWMdue)&lt;TODAY())))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IF($B51="","",SUMPRODUCT((UPPER(D51:AQ51)&lt;&gt;"X")*(TRANSPOSE(rngWMdue)&lt;&gt;"")*(TRANSPOSE(rngWMdue)&lt;TODAY())))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IF($B52="","",SUMPRODUCT((UPPER(D52:AQ52)&lt;&gt;"X")*(TRANSPOSE(rngWMdue)&lt;&gt;"")*(TRANSPOSE(rngWMdue)&lt;TODAY())))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IF($B53="","",SUMPRODUCT((UPPER(D53:AQ53)&lt;&gt;"X")*(TRANSPOSE(rngWMdue)&lt;&gt;"")*(TRANSPOSE(rngWMdue)&lt;TODAY())))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IF($B54="","",SUMPRODUCT((UPPER(D54:AQ54)&lt;&gt;"X")*(TRANSPOSE(rngWMdue)&lt;&gt;"")*(TRANSPOSE(rngWMdue)&lt;TODAY())))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IF($B55="","",SUMPRODUCT((UPPER(D55:AQ55)&lt;&gt;"X")*(TRANSPOSE(rngWMdue)&lt;&gt;"")*(TRANSPOSE(rngWMdue)&lt;TODAY())))</f>
        <v/>
      </c>
      <c r="AT55" s="17">
        <f>IF($B55="","",IF(AS55=0,"Yes","No"))</f>
        <v/>
      </c>
    </row>
  </sheetData>
  <conditionalFormatting sqref="AT6:AT55">
    <cfRule type="cellIs" priority="1" operator="equal" dxfId="2">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T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IF(OR($D6="",$C6=""),"",_xlfn.LET(_xlpm.dn,_xlfn.XLOOKUP($C6,nrCDdate,nrCDnum,"",1),IF(_xlpm.dn="","(after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IF(OR($D7="",$C7=""),"",_xlfn.LET(_xlpm.dn,_xlfn.XLOOKUP($C7,nrCDdate,nrCDnum,"",1),IF(_xlpm.dn="","(after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IF(OR($D8="",$C8=""),"",_xlfn.LET(_xlpm.dn,_xlfn.XLOOKUP($C8,nrCDdate,nrCDnum,"",1),IF(_xlpm.dn="","(after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IF(OR($D9="",$C9=""),"",_xlfn.LET(_xlpm.dn,_xlfn.XLOOKUP($C9,nrCDdate,nrCDnum,"",1),IF(_xlpm.dn="","(after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IF(OR($D10="",$C10=""),"",_xlfn.LET(_xlpm.dn,_xlfn.XLOOKUP($C10,nrCDdate,nrCDnum,"",1),IF(_xlpm.dn="","(after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IF(OR($D11="",$C11=""),"",_xlfn.LET(_xlpm.dn,_xlfn.XLOOKUP($C11,nrCDdate,nrCDnum,"",1),IF(_xlpm.dn="","(after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IF(OR($D12="",$C12=""),"",_xlfn.LET(_xlpm.dn,_xlfn.XLOOKUP($C12,nrCDdate,nrCDnum,"",1),IF(_xlpm.dn="","(after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IF(OR($D13="",$C13=""),"",_xlfn.LET(_xlpm.dn,_xlfn.XLOOKUP($C13,nrCDdate,nrCDnum,"",1),IF(_xlpm.dn="","(after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IF(OR($D14="",$C14=""),"",_xlfn.LET(_xlpm.dn,_xlfn.XLOOKUP($C14,nrCDdate,nrCDnum,"",1),IF(_xlpm.dn="","(after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IF(OR($D15="",$C15=""),"",_xlfn.LET(_xlpm.dn,_xlfn.XLOOKUP($C15,nrCDdate,nrCDnum,"",1),IF(_xlpm.dn="","(after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IF(OR($D16="",$C16=""),"",_xlfn.LET(_xlpm.dn,_xlfn.XLOOKUP($C16,nrCDdate,nrCDnum,"",1),IF(_xlpm.dn="","(after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IF(OR($D17="",$C17=""),"",_xlfn.LET(_xlpm.dn,_xlfn.XLOOKUP($C17,nrCDdate,nrCDnum,"",1),IF(_xlpm.dn="","(after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IF(OR($D18="",$C18=""),"",_xlfn.LET(_xlpm.dn,_xlfn.XLOOKUP($C18,nrCDdate,nrCDnum,"",1),IF(_xlpm.dn="","(after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IF(OR($D19="",$C19=""),"",_xlfn.LET(_xlpm.dn,_xlfn.XLOOKUP($C19,nrCDdate,nrCDnum,"",1),IF(_xlpm.dn="","(after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IF(OR($D20="",$C20=""),"",_xlfn.LET(_xlpm.dn,_xlfn.XLOOKUP($C20,nrCDdate,nrCDnum,"",1),IF(_xlpm.dn="","(after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IF(OR($D21="",$C21=""),"",_xlfn.LET(_xlpm.dn,_xlfn.XLOOKUP($C21,nrCDdate,nrCDnum,"",1),IF(_xlpm.dn="","(after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IF(OR($D22="",$C22=""),"",_xlfn.LET(_xlpm.dn,_xlfn.XLOOKUP($C22,nrCDdate,nrCDnum,"",1),IF(_xlpm.dn="","(after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IF(OR($D23="",$C23=""),"",_xlfn.LET(_xlpm.dn,_xlfn.XLOOKUP($C23,nrCDdate,nrCDnum,"",1),IF(_xlpm.dn="","(after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IF(OR($D24="",$C24=""),"",_xlfn.LET(_xlpm.dn,_xlfn.XLOOKUP($C24,nrCDdate,nrCDnum,"",1),IF(_xlpm.dn="","(after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IF(OR($D25="",$C25=""),"",_xlfn.LET(_xlpm.dn,_xlfn.XLOOKUP($C25,nrCDdate,nrCDnum,"",1),IF(_xlpm.dn="","(after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IF(OR($D26="",$C26=""),"",_xlfn.LET(_xlpm.dn,_xlfn.XLOOKUP($C26,nrCDdate,nrCDnum,"",1),IF(_xlpm.dn="","(after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IF(OR($D27="",$C27=""),"",_xlfn.LET(_xlpm.dn,_xlfn.XLOOKUP($C27,nrCDdate,nrCDnum,"",1),IF(_xlpm.dn="","(after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IF(OR($D28="",$C28=""),"",_xlfn.LET(_xlpm.dn,_xlfn.XLOOKUP($C28,nrCDdate,nrCDnum,"",1),IF(_xlpm.dn="","(after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IF(OR($D29="",$C29=""),"",_xlfn.LET(_xlpm.dn,_xlfn.XLOOKUP($C29,nrCDdate,nrCDnum,"",1),IF(_xlpm.dn="","(after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IF(OR($D30="",$C30=""),"",_xlfn.LET(_xlpm.dn,_xlfn.XLOOKUP($C30,nrCDdate,nrCDnum,"",1),IF(_xlpm.dn="","(after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IF(OR($D31="",$C31=""),"",_xlfn.LET(_xlpm.dn,_xlfn.XLOOKUP($C31,nrCDdate,nrCDnum,"",1),IF(_xlpm.dn="","(after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IF(OR($D32="",$C32=""),"",_xlfn.LET(_xlpm.dn,_xlfn.XLOOKUP($C32,nrCDdate,nrCDnum,"",1),IF(_xlpm.dn="","(after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IF(OR($D33="",$C33=""),"",_xlfn.LET(_xlpm.dn,_xlfn.XLOOKUP($C33,nrCDdate,nrCDnum,"",1),IF(_xlpm.dn="","(after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IF(OR($D34="",$C34=""),"",_xlfn.LET(_xlpm.dn,_xlfn.XLOOKUP($C34,nrCDdate,nrCDnum,"",1),IF(_xlpm.dn="","(after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IF(OR($D35="",$C35=""),"",_xlfn.LET(_xlpm.dn,_xlfn.XLOOKUP($C35,nrCDdate,nrCDnum,"",1),IF(_xlpm.dn="","(after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IF(OR($D36="",$C36=""),"",_xlfn.LET(_xlpm.dn,_xlfn.XLOOKUP($C36,nrCDdate,nrCDnum,"",1),IF(_xlpm.dn="","(after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IF(OR($D37="",$C37=""),"",_xlfn.LET(_xlpm.dn,_xlfn.XLOOKUP($C37,nrCDdate,nrCDnum,"",1),IF(_xlpm.dn="","(after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IF(OR($D38="",$C38=""),"",_xlfn.LET(_xlpm.dn,_xlfn.XLOOKUP($C38,nrCDdate,nrCDnum,"",1),IF(_xlpm.dn="","(after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IF(OR($D39="",$C39=""),"",_xlfn.LET(_xlpm.dn,_xlfn.XLOOKUP($C39,nrCDdate,nrCDnum,"",1),IF(_xlpm.dn="","(after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IF(OR($D40="",$C40=""),"",_xlfn.LET(_xlpm.dn,_xlfn.XLOOKUP($C40,nrCDdate,nrCDnum,"",1),IF(_xlpm.dn="","(after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IF(OR($D41="",$C41=""),"",_xlfn.LET(_xlpm.dn,_xlfn.XLOOKUP($C41,nrCDdate,nrCDnum,"",1),IF(_xlpm.dn="","(after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IF(OR($D42="",$C42=""),"",_xlfn.LET(_xlpm.dn,_xlfn.XLOOKUP($C42,nrCDdate,nrCDnum,"",1),IF(_xlpm.dn="","(after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IF(OR($D43="",$C43=""),"",_xlfn.LET(_xlpm.dn,_xlfn.XLOOKUP($C43,nrCDdate,nrCDnum,"",1),IF(_xlpm.dn="","(after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IF(OR($D44="",$C44=""),"",_xlfn.LET(_xlpm.dn,_xlfn.XLOOKUP($C44,nrCDdate,nrCDnum,"",1),IF(_xlpm.dn="","(after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IF(OR($D45="",$C45=""),"",_xlfn.LET(_xlpm.dn,_xlfn.XLOOKUP($C45,nrCDdate,nrCDnum,"",1),IF(_xlpm.dn="","(after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IF(OR($D46="",$C46=""),"",_xlfn.LET(_xlpm.dn,_xlfn.XLOOKUP($C46,nrCDdate,nrCDnum,"",1),IF(_xlpm.dn="","(after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IF(OR($D47="",$C47=""),"",_xlfn.LET(_xlpm.dn,_xlfn.XLOOKUP($C47,nrCDdate,nrCDnum,"",1),IF(_xlpm.dn="","(after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IF(OR($D48="",$C48=""),"",_xlfn.LET(_xlpm.dn,_xlfn.XLOOKUP($C48,nrCDdate,nrCDnum,"",1),IF(_xlpm.dn="","(after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IF(OR($D49="",$C49=""),"",_xlfn.LET(_xlpm.dn,_xlfn.XLOOKUP($C49,nrCDdate,nrCDnum,"",1),IF(_xlpm.dn="","(after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IF(OR($D50="",$C50=""),"",_xlfn.LET(_xlpm.dn,_xlfn.XLOOKUP($C50,nrCDdate,nrCDnum,"",1),IF(_xlpm.dn="","(after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IF(OR($D51="",$C51=""),"",_xlfn.LET(_xlpm.dn,_xlfn.XLOOKUP($C51,nrCDdate,nrCDnum,"",1),IF(_xlpm.dn="","(after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IF(OR($D52="",$C52=""),"",_xlfn.LET(_xlpm.dn,_xlfn.XLOOKUP($C52,nrCDdate,nrCDnum,"",1),IF(_xlpm.dn="","(after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IF(OR($D53="",$C53=""),"",_xlfn.LET(_xlpm.dn,_xlfn.XLOOKUP($C53,nrCDdate,nrCDnum,"",1),IF(_xlpm.dn="","(after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IF(OR($D54="",$C54=""),"",_xlfn.LET(_xlpm.dn,_xlfn.XLOOKUP($C54,nrCDdate,nrCDnum,"",1),IF(_xlpm.dn="","(after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IF(OR($D55="",$C55=""),"",_xlfn.LET(_xlpm.dn,_xlfn.XLOOKUP($C55,nrCDdate,nrCDnum,"",1),IF(_xlpm.dn="","(after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IF(OR($D56="",$C56=""),"",_xlfn.LET(_xlpm.dn,_xlfn.XLOOKUP($C56,nrCDdate,nrCDnum,"",1),IF(_xlpm.dn="","(after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IF(OR($D57="",$C57=""),"",_xlfn.LET(_xlpm.dn,_xlfn.XLOOKUP($C57,nrCDdate,nrCDnum,"",1),IF(_xlpm.dn="","(after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IF(OR($D58="",$C58=""),"",_xlfn.LET(_xlpm.dn,_xlfn.XLOOKUP($C58,nrCDdate,nrCDnum,"",1),IF(_xlpm.dn="","(after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IF(OR($D59="",$C59=""),"",_xlfn.LET(_xlpm.dn,_xlfn.XLOOKUP($C59,nrCDdate,nrCDnum,"",1),IF(_xlpm.dn="","(after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IF(OR($D60="",$C60=""),"",_xlfn.LET(_xlpm.dn,_xlfn.XLOOKUP($C60,nrCDdate,nrCDnum,"",1),IF(_xlpm.dn="","(after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IF(OR($D61="",$C61=""),"",_xlfn.LET(_xlpm.dn,_xlfn.XLOOKUP($C61,nrCDdate,nrCDnum,"",1),IF(_xlpm.dn="","(after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IF(OR($D62="",$C62=""),"",_xlfn.LET(_xlpm.dn,_xlfn.XLOOKUP($C62,nrCDdate,nrCDnum,"",1),IF(_xlpm.dn="","(after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IF(OR($D63="",$C63=""),"",_xlfn.LET(_xlpm.dn,_xlfn.XLOOKUP($C63,nrCDdate,nrCDnum,"",1),IF(_xlpm.dn="","(after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IF(OR($D64="",$C64=""),"",_xlfn.LET(_xlpm.dn,_xlfn.XLOOKUP($C64,nrCDdate,nrCDnum,"",1),IF(_xlpm.dn="","(after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IF(OR($D65="",$C65=""),"",_xlfn.LET(_xlpm.dn,_xlfn.XLOOKUP($C65,nrCDdate,nrCDnum,"",1),IF(_xlpm.dn="","(after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IF(OR($D66="",$C66=""),"",_xlfn.LET(_xlpm.dn,_xlfn.XLOOKUP($C66,nrCDdate,nrCDnum,"",1),IF(_xlpm.dn="","(after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IF(OR($D67="",$C67=""),"",_xlfn.LET(_xlpm.dn,_xlfn.XLOOKUP($C67,nrCDdate,nrCDnum,"",1),IF(_xlpm.dn="","(after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IF(OR($D68="",$C68=""),"",_xlfn.LET(_xlpm.dn,_xlfn.XLOOKUP($C68,nrCDdate,nrCDnum,"",1),IF(_xlpm.dn="","(after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IF(OR($D69="",$C69=""),"",_xlfn.LET(_xlpm.dn,_xlfn.XLOOKUP($C69,nrCDdate,nrCDnum,"",1),IF(_xlpm.dn="","(after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IF(OR($D70="",$C70=""),"",_xlfn.LET(_xlpm.dn,_xlfn.XLOOKUP($C70,nrCDdate,nrCDnum,"",1),IF(_xlpm.dn="","(after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IF(OR($D71="",$C71=""),"",_xlfn.LET(_xlpm.dn,_xlfn.XLOOKUP($C71,nrCDdate,nrCDnum,"",1),IF(_xlpm.dn="","(after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IF(OR($D72="",$C72=""),"",_xlfn.LET(_xlpm.dn,_xlfn.XLOOKUP($C72,nrCDdate,nrCDnum,"",1),IF(_xlpm.dn="","(after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IF(OR($D73="",$C73=""),"",_xlfn.LET(_xlpm.dn,_xlfn.XLOOKUP($C73,nrCDdate,nrCDnum,"",1),IF(_xlpm.dn="","(after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IF(OR($D74="",$C74=""),"",_xlfn.LET(_xlpm.dn,_xlfn.XLOOKUP($C74,nrCDdate,nrCDnum,"",1),IF(_xlpm.dn="","(after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IF(OR($D75="",$C75=""),"",_xlfn.LET(_xlpm.dn,_xlfn.XLOOKUP($C75,nrCDdate,nrCDnum,"",1),IF(_xlpm.dn="","(after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IF(OR($D76="",$C76=""),"",_xlfn.LET(_xlpm.dn,_xlfn.XLOOKUP($C76,nrCDdate,nrCDnum,"",1),IF(_xlpm.dn="","(after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IF(OR($D77="",$C77=""),"",_xlfn.LET(_xlpm.dn,_xlfn.XLOOKUP($C77,nrCDdate,nrCDnum,"",1),IF(_xlpm.dn="","(after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IF(OR($D78="",$C78=""),"",_xlfn.LET(_xlpm.dn,_xlfn.XLOOKUP($C78,nrCDdate,nrCDnum,"",1),IF(_xlpm.dn="","(after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IF(OR($D79="",$C79=""),"",_xlfn.LET(_xlpm.dn,_xlfn.XLOOKUP($C79,nrCDdate,nrCDnum,"",1),IF(_xlpm.dn="","(after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IF(OR($D80="",$C80=""),"",_xlfn.LET(_xlpm.dn,_xlfn.XLOOKUP($C80,nrCDdate,nrCDnum,"",1),IF(_xlpm.dn="","(after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IF(OR($D81="",$C81=""),"",_xlfn.LET(_xlpm.dn,_xlfn.XLOOKUP($C81,nrCDdate,nrCDnum,"",1),IF(_xlpm.dn="","(after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IF(OR($D82="",$C82=""),"",_xlfn.LET(_xlpm.dn,_xlfn.XLOOKUP($C82,nrCDdate,nrCDnum,"",1),IF(_xlpm.dn="","(after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IF(OR($D83="",$C83=""),"",_xlfn.LET(_xlpm.dn,_xlfn.XLOOKUP($C83,nrCDdate,nrCDnum,"",1),IF(_xlpm.dn="","(after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IF(OR($D84="",$C84=""),"",_xlfn.LET(_xlpm.dn,_xlfn.XLOOKUP($C84,nrCDdate,nrCDnum,"",1),IF(_xlpm.dn="","(after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IF(OR($D85="",$C85=""),"",_xlfn.LET(_xlpm.dn,_xlfn.XLOOKUP($C85,nrCDdate,nrCDnum,"",1),IF(_xlpm.dn="","(after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IF(OR($D86="",$C86=""),"",_xlfn.LET(_xlpm.dn,_xlfn.XLOOKUP($C86,nrCDdate,nrCDnum,"",1),IF(_xlpm.dn="","(after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IF(OR($D87="",$C87=""),"",_xlfn.LET(_xlpm.dn,_xlfn.XLOOKUP($C87,nrCDdate,nrCDnum,"",1),IF(_xlpm.dn="","(after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IF(OR($D88="",$C88=""),"",_xlfn.LET(_xlpm.dn,_xlfn.XLOOKUP($C88,nrCDdate,nrCDnum,"",1),IF(_xlpm.dn="","(after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IF(OR($D89="",$C89=""),"",_xlfn.LET(_xlpm.dn,_xlfn.XLOOKUP($C89,nrCDdate,nrCDnum,"",1),IF(_xlpm.dn="","(after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IF(OR($D90="",$C90=""),"",_xlfn.LET(_xlpm.dn,_xlfn.XLOOKUP($C90,nrCDdate,nrCDnum,"",1),IF(_xlpm.dn="","(after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IF(OR($D91="",$C91=""),"",_xlfn.LET(_xlpm.dn,_xlfn.XLOOKUP($C91,nrCDdate,nrCDnum,"",1),IF(_xlpm.dn="","(after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IF(OR($D92="",$C92=""),"",_xlfn.LET(_xlpm.dn,_xlfn.XLOOKUP($C92,nrCDdate,nrCDnum,"",1),IF(_xlpm.dn="","(after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IF(OR($D93="",$C93=""),"",_xlfn.LET(_xlpm.dn,_xlfn.XLOOKUP($C93,nrCDdate,nrCDnum,"",1),IF(_xlpm.dn="","(after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IF(OR($D94="",$C94=""),"",_xlfn.LET(_xlpm.dn,_xlfn.XLOOKUP($C94,nrCDdate,nrCDnum,"",1),IF(_xlpm.dn="","(after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IF(OR($D95="",$C95=""),"",_xlfn.LET(_xlpm.dn,_xlfn.XLOOKUP($C95,nrCDdate,nrCDnum,"",1),IF(_xlpm.dn="","(after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IF(OR($D96="",$C96=""),"",_xlfn.LET(_xlpm.dn,_xlfn.XLOOKUP($C96,nrCDdate,nrCDnum,"",1),IF(_xlpm.dn="","(after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IF(OR($D97="",$C97=""),"",_xlfn.LET(_xlpm.dn,_xlfn.XLOOKUP($C97,nrCDdate,nrCDnum,"",1),IF(_xlpm.dn="","(after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IF(OR($D98="",$C98=""),"",_xlfn.LET(_xlpm.dn,_xlfn.XLOOKUP($C98,nrCDdate,nrCDnum,"",1),IF(_xlpm.dn="","(after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IF(OR($D99="",$C99=""),"",_xlfn.LET(_xlpm.dn,_xlfn.XLOOKUP($C99,nrCDdate,nrCDnum,"",1),IF(_xlpm.dn="","(after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IF(OR($D100="",$C100=""),"",_xlfn.LET(_xlpm.dn,_xlfn.XLOOKUP($C100,nrCDdate,nrCDnum,"",1),IF(_xlpm.dn="","(after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IF(OR($D101="",$C101=""),"",_xlfn.LET(_xlpm.dn,_xlfn.XLOOKUP($C101,nrCDdate,nrCDnum,"",1),IF(_xlpm.dn="","(after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IF(OR($D102="",$C102=""),"",_xlfn.LET(_xlpm.dn,_xlfn.XLOOKUP($C102,nrCDdate,nrCDnum,"",1),IF(_xlpm.dn="","(after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IF(OR($D103="",$C103=""),"",_xlfn.LET(_xlpm.dn,_xlfn.XLOOKUP($C103,nrCDdate,nrCDnum,"",1),IF(_xlpm.dn="","(after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IF(OR($D104="",$C104=""),"",_xlfn.LET(_xlpm.dn,_xlfn.XLOOKUP($C104,nrCDdate,nrCDnum,"",1),IF(_xlpm.dn="","(after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IF(OR($D105="",$C105=""),"",_xlfn.LET(_xlpm.dn,_xlfn.XLOOKUP($C105,nrCDdate,nrCDnum,"",1),IF(_xlpm.dn="","(after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IF(OR($D106="",$C106=""),"",_xlfn.LET(_xlpm.dn,_xlfn.XLOOKUP($C106,nrCDdate,nrCDnum,"",1),IF(_xlpm.dn="","(after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IF(OR($D107="",$C107=""),"",_xlfn.LET(_xlpm.dn,_xlfn.XLOOKUP($C107,nrCDdate,nrCDnum,"",1),IF(_xlpm.dn="","(after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IF(OR($D108="",$C108=""),"",_xlfn.LET(_xlpm.dn,_xlfn.XLOOKUP($C108,nrCDdate,nrCDnum,"",1),IF(_xlpm.dn="","(after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IF(OR($D109="",$C109=""),"",_xlfn.LET(_xlpm.dn,_xlfn.XLOOKUP($C109,nrCDdate,nrCDnum,"",1),IF(_xlpm.dn="","(after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IF(OR($D110="",$C110=""),"",_xlfn.LET(_xlpm.dn,_xlfn.XLOOKUP($C110,nrCDdate,nrCDnum,"",1),IF(_xlpm.dn="","(after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IF(OR($D111="",$C111=""),"",_xlfn.LET(_xlpm.dn,_xlfn.XLOOKUP($C111,nrCDdate,nrCDnum,"",1),IF(_xlpm.dn="","(after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IF(OR($D112="",$C112=""),"",_xlfn.LET(_xlpm.dn,_xlfn.XLOOKUP($C112,nrCDdate,nrCDnum,"",1),IF(_xlpm.dn="","(after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IF(OR($D113="",$C113=""),"",_xlfn.LET(_xlpm.dn,_xlfn.XLOOKUP($C113,nrCDdate,nrCDnum,"",1),IF(_xlpm.dn="","(after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IF(OR($D114="",$C114=""),"",_xlfn.LET(_xlpm.dn,_xlfn.XLOOKUP($C114,nrCDdate,nrCDnum,"",1),IF(_xlpm.dn="","(after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IF(OR($D115="",$C115=""),"",_xlfn.LET(_xlpm.dn,_xlfn.XLOOKUP($C115,nrCDdate,nrCDnum,"",1),IF(_xlpm.dn="","(after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IF(OR($D116="",$C116=""),"",_xlfn.LET(_xlpm.dn,_xlfn.XLOOKUP($C116,nrCDdate,nrCDnum,"",1),IF(_xlpm.dn="","(after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IF(OR($D117="",$C117=""),"",_xlfn.LET(_xlpm.dn,_xlfn.XLOOKUP($C117,nrCDdate,nrCDnum,"",1),IF(_xlpm.dn="","(after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IF(OR($D118="",$C118=""),"",_xlfn.LET(_xlpm.dn,_xlfn.XLOOKUP($C118,nrCDdate,nrCDnum,"",1),IF(_xlpm.dn="","(after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IF(OR($D119="",$C119=""),"",_xlfn.LET(_xlpm.dn,_xlfn.XLOOKUP($C119,nrCDdate,nrCDnum,"",1),IF(_xlpm.dn="","(after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IF(OR($D120="",$C120=""),"",_xlfn.LET(_xlpm.dn,_xlfn.XLOOKUP($C120,nrCDdate,nrCDnum,"",1),IF(_xlpm.dn="","(after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IF(OR($D121="",$C121=""),"",_xlfn.LET(_xlpm.dn,_xlfn.XLOOKUP($C121,nrCDdate,nrCDnum,"",1),IF(_xlpm.dn="","(after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IF(OR($D122="",$C122=""),"",_xlfn.LET(_xlpm.dn,_xlfn.XLOOKUP($C122,nrCDdate,nrCDnum,"",1),IF(_xlpm.dn="","(after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IF(OR($D123="",$C123=""),"",_xlfn.LET(_xlpm.dn,_xlfn.XLOOKUP($C123,nrCDdate,nrCDnum,"",1),IF(_xlpm.dn="","(after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IF(OR($D124="",$C124=""),"",_xlfn.LET(_xlpm.dn,_xlfn.XLOOKUP($C124,nrCDdate,nrCDnum,"",1),IF(_xlpm.dn="","(after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IF(OR($D125="",$C125=""),"",_xlfn.LET(_xlpm.dn,_xlfn.XLOOKUP($C125,nrCDdate,nrCDnum,"",1),IF(_xlpm.dn="","(after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IF(OR($D126="",$C126=""),"",_xlfn.LET(_xlpm.dn,_xlfn.XLOOKUP($C126,nrCDdate,nrCDnum,"",1),IF(_xlpm.dn="","(after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IF(OR($D127="",$C127=""),"",_xlfn.LET(_xlpm.dn,_xlfn.XLOOKUP($C127,nrCDdate,nrCDnum,"",1),IF(_xlpm.dn="","(after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IF(OR($D128="",$C128=""),"",_xlfn.LET(_xlpm.dn,_xlfn.XLOOKUP($C128,nrCDdate,nrCDnum,"",1),IF(_xlpm.dn="","(after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IF(OR($D129="",$C129=""),"",_xlfn.LET(_xlpm.dn,_xlfn.XLOOKUP($C129,nrCDdate,nrCDnum,"",1),IF(_xlpm.dn="","(after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IF(OR($D130="",$C130=""),"",_xlfn.LET(_xlpm.dn,_xlfn.XLOOKUP($C130,nrCDdate,nrCDnum,"",1),IF(_xlpm.dn="","(after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IF(OR($D131="",$C131=""),"",_xlfn.LET(_xlpm.dn,_xlfn.XLOOKUP($C131,nrCDdate,nrCDnum,"",1),IF(_xlpm.dn="","(after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IF(OR($D132="",$C132=""),"",_xlfn.LET(_xlpm.dn,_xlfn.XLOOKUP($C132,nrCDdate,nrCDnum,"",1),IF(_xlpm.dn="","(after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IF(OR($D133="",$C133=""),"",_xlfn.LET(_xlpm.dn,_xlfn.XLOOKUP($C133,nrCDdate,nrCDnum,"",1),IF(_xlpm.dn="","(after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IF(OR($D134="",$C134=""),"",_xlfn.LET(_xlpm.dn,_xlfn.XLOOKUP($C134,nrCDdate,nrCDnum,"",1),IF(_xlpm.dn="","(after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IF(OR($D135="",$C135=""),"",_xlfn.LET(_xlpm.dn,_xlfn.XLOOKUP($C135,nrCDdate,nrCDnum,"",1),IF(_xlpm.dn="","(after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IF(OR($D136="",$C136=""),"",_xlfn.LET(_xlpm.dn,_xlfn.XLOOKUP($C136,nrCDdate,nrCDnum,"",1),IF(_xlpm.dn="","(after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IF(OR($D137="",$C137=""),"",_xlfn.LET(_xlpm.dn,_xlfn.XLOOKUP($C137,nrCDdate,nrCDnum,"",1),IF(_xlpm.dn="","(after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IF(OR($D138="",$C138=""),"",_xlfn.LET(_xlpm.dn,_xlfn.XLOOKUP($C138,nrCDdate,nrCDnum,"",1),IF(_xlpm.dn="","(after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IF(OR($D139="",$C139=""),"",_xlfn.LET(_xlpm.dn,_xlfn.XLOOKUP($C139,nrCDdate,nrCDnum,"",1),IF(_xlpm.dn="","(after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IF(OR($D140="",$C140=""),"",_xlfn.LET(_xlpm.dn,_xlfn.XLOOKUP($C140,nrCDdate,nrCDnum,"",1),IF(_xlpm.dn="","(after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IF(OR($D141="",$C141=""),"",_xlfn.LET(_xlpm.dn,_xlfn.XLOOKUP($C141,nrCDdate,nrCDnum,"",1),IF(_xlpm.dn="","(after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IF(OR($D142="",$C142=""),"",_xlfn.LET(_xlpm.dn,_xlfn.XLOOKUP($C142,nrCDdate,nrCDnum,"",1),IF(_xlpm.dn="","(after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IF(OR($D143="",$C143=""),"",_xlfn.LET(_xlpm.dn,_xlfn.XLOOKUP($C143,nrCDdate,nrCDnum,"",1),IF(_xlpm.dn="","(after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IF(OR($D144="",$C144=""),"",_xlfn.LET(_xlpm.dn,_xlfn.XLOOKUP($C144,nrCDdate,nrCDnum,"",1),IF(_xlpm.dn="","(after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IF(OR($D145="",$C145=""),"",_xlfn.LET(_xlpm.dn,_xlfn.XLOOKUP($C145,nrCDdate,nrCDnum,"",1),IF(_xlpm.dn="","(after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IF(OR($D146="",$C146=""),"",_xlfn.LET(_xlpm.dn,_xlfn.XLOOKUP($C146,nrCDdate,nrCDnum,"",1),IF(_xlpm.dn="","(after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IF(OR($D147="",$C147=""),"",_xlfn.LET(_xlpm.dn,_xlfn.XLOOKUP($C147,nrCDdate,nrCDnum,"",1),IF(_xlpm.dn="","(after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IF(OR($D148="",$C148=""),"",_xlfn.LET(_xlpm.dn,_xlfn.XLOOKUP($C148,nrCDdate,nrCDnum,"",1),IF(_xlpm.dn="","(after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IF(OR($D149="",$C149=""),"",_xlfn.LET(_xlpm.dn,_xlfn.XLOOKUP($C149,nrCDdate,nrCDnum,"",1),IF(_xlpm.dn="","(after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IF(OR($D150="",$C150=""),"",_xlfn.LET(_xlpm.dn,_xlfn.XLOOKUP($C150,nrCDdate,nrCDnum,"",1),IF(_xlpm.dn="","(after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IF(OR($D151="",$C151=""),"",_xlfn.LET(_xlpm.dn,_xlfn.XLOOKUP($C151,nrCDdate,nrCDnum,"",1),IF(_xlpm.dn="","(after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IF(OR($D152="",$C152=""),"",_xlfn.LET(_xlpm.dn,_xlfn.XLOOKUP($C152,nrCDdate,nrCDnum,"",1),IF(_xlpm.dn="","(after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IF(OR($D153="",$C153=""),"",_xlfn.LET(_xlpm.dn,_xlfn.XLOOKUP($C153,nrCDdate,nrCDnum,"",1),IF(_xlpm.dn="","(after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IF(OR($D154="",$C154=""),"",_xlfn.LET(_xlpm.dn,_xlfn.XLOOKUP($C154,nrCDdate,nrCDnum,"",1),IF(_xlpm.dn="","(after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IF(OR($D155="",$C155=""),"",_xlfn.LET(_xlpm.dn,_xlfn.XLOOKUP($C155,nrCDdate,nrCDnum,"",1),IF(_xlpm.dn="","(after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IF(OR($D156="",$C156=""),"",_xlfn.LET(_xlpm.dn,_xlfn.XLOOKUP($C156,nrCDdate,nrCDnum,"",1),IF(_xlpm.dn="","(after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IF(OR($D157="",$C157=""),"",_xlfn.LET(_xlpm.dn,_xlfn.XLOOKUP($C157,nrCDdate,nrCDnum,"",1),IF(_xlpm.dn="","(after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IF(OR($D158="",$C158=""),"",_xlfn.LET(_xlpm.dn,_xlfn.XLOOKUP($C158,nrCDdate,nrCDnum,"",1),IF(_xlpm.dn="","(after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IF(OR($D159="",$C159=""),"",_xlfn.LET(_xlpm.dn,_xlfn.XLOOKUP($C159,nrCDdate,nrCDnum,"",1),IF(_xlpm.dn="","(after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IF(OR($D160="",$C160=""),"",_xlfn.LET(_xlpm.dn,_xlfn.XLOOKUP($C160,nrCDdate,nrCDnum,"",1),IF(_xlpm.dn="","(after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IF(OR($D161="",$C161=""),"",_xlfn.LET(_xlpm.dn,_xlfn.XLOOKUP($C161,nrCDdate,nrCDnum,"",1),IF(_xlpm.dn="","(after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IF(OR($D162="",$C162=""),"",_xlfn.LET(_xlpm.dn,_xlfn.XLOOKUP($C162,nrCDdate,nrCDnum,"",1),IF(_xlpm.dn="","(after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IF(OR($D163="",$C163=""),"",_xlfn.LET(_xlpm.dn,_xlfn.XLOOKUP($C163,nrCDdate,nrCDnum,"",1),IF(_xlpm.dn="","(after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IF(OR($D164="",$C164=""),"",_xlfn.LET(_xlpm.dn,_xlfn.XLOOKUP($C164,nrCDdate,nrCDnum,"",1),IF(_xlpm.dn="","(after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IF(OR($D165="",$C165=""),"",_xlfn.LET(_xlpm.dn,_xlfn.XLOOKUP($C165,nrCDdate,nrCDnum,"",1),IF(_xlpm.dn="","(after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IF(OR($D166="",$C166=""),"",_xlfn.LET(_xlpm.dn,_xlfn.XLOOKUP($C166,nrCDdate,nrCDnum,"",1),IF(_xlpm.dn="","(after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IF(OR($D167="",$C167=""),"",_xlfn.LET(_xlpm.dn,_xlfn.XLOOKUP($C167,nrCDdate,nrCDnum,"",1),IF(_xlpm.dn="","(after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IF(OR($D168="",$C168=""),"",_xlfn.LET(_xlpm.dn,_xlfn.XLOOKUP($C168,nrCDdate,nrCDnum,"",1),IF(_xlpm.dn="","(after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IF(OR($D169="",$C169=""),"",_xlfn.LET(_xlpm.dn,_xlfn.XLOOKUP($C169,nrCDdate,nrCDnum,"",1),IF(_xlpm.dn="","(after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IF(OR($D170="",$C170=""),"",_xlfn.LET(_xlpm.dn,_xlfn.XLOOKUP($C170,nrCDdate,nrCDnum,"",1),IF(_xlpm.dn="","(after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IF(OR($D171="",$C171=""),"",_xlfn.LET(_xlpm.dn,_xlfn.XLOOKUP($C171,nrCDdate,nrCDnum,"",1),IF(_xlpm.dn="","(after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IF(OR($D172="",$C172=""),"",_xlfn.LET(_xlpm.dn,_xlfn.XLOOKUP($C172,nrCDdate,nrCDnum,"",1),IF(_xlpm.dn="","(after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IF(OR($D173="",$C173=""),"",_xlfn.LET(_xlpm.dn,_xlfn.XLOOKUP($C173,nrCDdate,nrCDnum,"",1),IF(_xlpm.dn="","(after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IF(OR($D174="",$C174=""),"",_xlfn.LET(_xlpm.dn,_xlfn.XLOOKUP($C174,nrCDdate,nrCDnum,"",1),IF(_xlpm.dn="","(after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IF(OR($D175="",$C175=""),"",_xlfn.LET(_xlpm.dn,_xlfn.XLOOKUP($C175,nrCDdate,nrCDnum,"",1),IF(_xlpm.dn="","(after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IF(OR($D176="",$C176=""),"",_xlfn.LET(_xlpm.dn,_xlfn.XLOOKUP($C176,nrCDdate,nrCDnum,"",1),IF(_xlpm.dn="","(after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IF(OR($D177="",$C177=""),"",_xlfn.LET(_xlpm.dn,_xlfn.XLOOKUP($C177,nrCDdate,nrCDnum,"",1),IF(_xlpm.dn="","(after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IF(OR($D178="",$C178=""),"",_xlfn.LET(_xlpm.dn,_xlfn.XLOOKUP($C178,nrCDdate,nrCDnum,"",1),IF(_xlpm.dn="","(after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IF(OR($D179="",$C179=""),"",_xlfn.LET(_xlpm.dn,_xlfn.XLOOKUP($C179,nrCDdate,nrCDnum,"",1),IF(_xlpm.dn="","(after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IF(OR($D180="",$C180=""),"",_xlfn.LET(_xlpm.dn,_xlfn.XLOOKUP($C180,nrCDdate,nrCDnum,"",1),IF(_xlpm.dn="","(after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IF(OR($D181="",$C181=""),"",_xlfn.LET(_xlpm.dn,_xlfn.XLOOKUP($C181,nrCDdate,nrCDnum,"",1),IF(_xlpm.dn="","(after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IF(OR($D182="",$C182=""),"",_xlfn.LET(_xlpm.dn,_xlfn.XLOOKUP($C182,nrCDdate,nrCDnum,"",1),IF(_xlpm.dn="","(after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IF(OR($D183="",$C183=""),"",_xlfn.LET(_xlpm.dn,_xlfn.XLOOKUP($C183,nrCDdate,nrCDnum,"",1),IF(_xlpm.dn="","(after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IF(OR($D184="",$C184=""),"",_xlfn.LET(_xlpm.dn,_xlfn.XLOOKUP($C184,nrCDdate,nrCDnum,"",1),IF(_xlpm.dn="","(after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IF(OR($D185="",$C185=""),"",_xlfn.LET(_xlpm.dn,_xlfn.XLOOKUP($C185,nrCDdate,nrCDnum,"",1),IF(_xlpm.dn="","(after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IF(OR($D186="",$C186=""),"",_xlfn.LET(_xlpm.dn,_xlfn.XLOOKUP($C186,nrCDdate,nrCDnum,"",1),IF(_xlpm.dn="","(after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IF(OR($D187="",$C187=""),"",_xlfn.LET(_xlpm.dn,_xlfn.XLOOKUP($C187,nrCDdate,nrCDnum,"",1),IF(_xlpm.dn="","(after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IF(OR($D188="",$C188=""),"",_xlfn.LET(_xlpm.dn,_xlfn.XLOOKUP($C188,nrCDdate,nrCDnum,"",1),IF(_xlpm.dn="","(after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IF(OR($D189="",$C189=""),"",_xlfn.LET(_xlpm.dn,_xlfn.XLOOKUP($C189,nrCDdate,nrCDnum,"",1),IF(_xlpm.dn="","(after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IF(OR($D190="",$C190=""),"",_xlfn.LET(_xlpm.dn,_xlfn.XLOOKUP($C190,nrCDdate,nrCDnum,"",1),IF(_xlpm.dn="","(after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IF(OR($D191="",$C191=""),"",_xlfn.LET(_xlpm.dn,_xlfn.XLOOKUP($C191,nrCDdate,nrCDnum,"",1),IF(_xlpm.dn="","(after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IF(OR($D192="",$C192=""),"",_xlfn.LET(_xlpm.dn,_xlfn.XLOOKUP($C192,nrCDdate,nrCDnum,"",1),IF(_xlpm.dn="","(after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IF(OR($D193="",$C193=""),"",_xlfn.LET(_xlpm.dn,_xlfn.XLOOKUP($C193,nrCDdate,nrCDnum,"",1),IF(_xlpm.dn="","(after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IF(OR($D194="",$C194=""),"",_xlfn.LET(_xlpm.dn,_xlfn.XLOOKUP($C194,nrCDdate,nrCDnum,"",1),IF(_xlpm.dn="","(after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IF(OR($D195="",$C195=""),"",_xlfn.LET(_xlpm.dn,_xlfn.XLOOKUP($C195,nrCDdate,nrCDnum,"",1),IF(_xlpm.dn="","(after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IF(OR($D196="",$C196=""),"",_xlfn.LET(_xlpm.dn,_xlfn.XLOOKUP($C196,nrCDdate,nrCDnum,"",1),IF(_xlpm.dn="","(after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IF(OR($D197="",$C197=""),"",_xlfn.LET(_xlpm.dn,_xlfn.XLOOKUP($C197,nrCDdate,nrCDnum,"",1),IF(_xlpm.dn="","(after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IF(OR($D198="",$C198=""),"",_xlfn.LET(_xlpm.dn,_xlfn.XLOOKUP($C198,nrCDdate,nrCDnum,"",1),IF(_xlpm.dn="","(after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IF(OR($D199="",$C199=""),"",_xlfn.LET(_xlpm.dn,_xlfn.XLOOKUP($C199,nrCDdate,nrCDnum,"",1),IF(_xlpm.dn="","(after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IF(OR($D200="",$C200=""),"",_xlfn.LET(_xlpm.dn,_xlfn.XLOOKUP($C200,nrCDdate,nrCDnum,"",1),IF(_xlpm.dn="","(after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IF(OR($D201="",$C201=""),"",_xlfn.LET(_xlpm.dn,_xlfn.XLOOKUP($C201,nrCDdate,nrCDnum,"",1),IF(_xlpm.dn="","(after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IF(OR($D202="",$C202=""),"",_xlfn.LET(_xlpm.dn,_xlfn.XLOOKUP($C202,nrCDdate,nrCDnum,"",1),IF(_xlpm.dn="","(after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IF(OR($D203="",$C203=""),"",_xlfn.LET(_xlpm.dn,_xlfn.XLOOKUP($C203,nrCDdate,nrCDnum,"",1),IF(_xlpm.dn="","(after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IF(OR($D204="",$C204=""),"",_xlfn.LET(_xlpm.dn,_xlfn.XLOOKUP($C204,nrCDdate,nrCDnum,"",1),IF(_xlpm.dn="","(after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IF(OR($D205="",$C205=""),"",_xlfn.LET(_xlpm.dn,_xlfn.XLOOKUP($C205,nrCDdate,nrCDnum,"",1),IF(_xlpm.dn="","(after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IF(OR($D206="",$C206=""),"",_xlfn.LET(_xlpm.dn,_xlfn.XLOOKUP($C206,nrCDdate,nrCDnum,"",1),IF(_xlpm.dn="","(after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IF(OR($D207="",$C207=""),"",_xlfn.LET(_xlpm.dn,_xlfn.XLOOKUP($C207,nrCDdate,nrCDnum,"",1),IF(_xlpm.dn="","(after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IF(OR($D208="",$C208=""),"",_xlfn.LET(_xlpm.dn,_xlfn.XLOOKUP($C208,nrCDdate,nrCDnum,"",1),IF(_xlpm.dn="","(after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IF(OR($D209="",$C209=""),"",_xlfn.LET(_xlpm.dn,_xlfn.XLOOKUP($C209,nrCDdate,nrCDnum,"",1),IF(_xlpm.dn="","(after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IF(OR($D210="",$C210=""),"",_xlfn.LET(_xlpm.dn,_xlfn.XLOOKUP($C210,nrCDdate,nrCDnum,"",1),IF(_xlpm.dn="","(after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IF(OR($D211="",$C211=""),"",_xlfn.LET(_xlpm.dn,_xlfn.XLOOKUP($C211,nrCDdate,nrCDnum,"",1),IF(_xlpm.dn="","(after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IF(OR($D212="",$C212=""),"",_xlfn.LET(_xlpm.dn,_xlfn.XLOOKUP($C212,nrCDdate,nrCDnum,"",1),IF(_xlpm.dn="","(after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IF(OR($D213="",$C213=""),"",_xlfn.LET(_xlpm.dn,_xlfn.XLOOKUP($C213,nrCDdate,nrCDnum,"",1),IF(_xlpm.dn="","(after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IF(OR($D214="",$C214=""),"",_xlfn.LET(_xlpm.dn,_xlfn.XLOOKUP($C214,nrCDdate,nrCDnum,"",1),IF(_xlpm.dn="","(after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IF(OR($D215="",$C215=""),"",_xlfn.LET(_xlpm.dn,_xlfn.XLOOKUP($C215,nrCDdate,nrCDnum,"",1),IF(_xlpm.dn="","(after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IF(OR($D216="",$C216=""),"",_xlfn.LET(_xlpm.dn,_xlfn.XLOOKUP($C216,nrCDdate,nrCDnum,"",1),IF(_xlpm.dn="","(after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IF(OR($D217="",$C217=""),"",_xlfn.LET(_xlpm.dn,_xlfn.XLOOKUP($C217,nrCDdate,nrCDnum,"",1),IF(_xlpm.dn="","(after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IF(OR($D218="",$C218=""),"",_xlfn.LET(_xlpm.dn,_xlfn.XLOOKUP($C218,nrCDdate,nrCDnum,"",1),IF(_xlpm.dn="","(after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IF(OR($D219="",$C219=""),"",_xlfn.LET(_xlpm.dn,_xlfn.XLOOKUP($C219,nrCDdate,nrCDnum,"",1),IF(_xlpm.dn="","(after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IF(OR($D220="",$C220=""),"",_xlfn.LET(_xlpm.dn,_xlfn.XLOOKUP($C220,nrCDdate,nrCDnum,"",1),IF(_xlpm.dn="","(after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IF(OR($D221="",$C221=""),"",_xlfn.LET(_xlpm.dn,_xlfn.XLOOKUP($C221,nrCDdate,nrCDnum,"",1),IF(_xlpm.dn="","(after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IF(OR($D222="",$C222=""),"",_xlfn.LET(_xlpm.dn,_xlfn.XLOOKUP($C222,nrCDdate,nrCDnum,"",1),IF(_xlpm.dn="","(after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IF(OR($D223="",$C223=""),"",_xlfn.LET(_xlpm.dn,_xlfn.XLOOKUP($C223,nrCDdate,nrCDnum,"",1),IF(_xlpm.dn="","(after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IF(OR($D224="",$C224=""),"",_xlfn.LET(_xlpm.dn,_xlfn.XLOOKUP($C224,nrCDdate,nrCDnum,"",1),IF(_xlpm.dn="","(after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IF(OR($D225="",$C225=""),"",_xlfn.LET(_xlpm.dn,_xlfn.XLOOKUP($C225,nrCDdate,nrCDnum,"",1),IF(_xlpm.dn="","(after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IF(OR($D226="",$C226=""),"",_xlfn.LET(_xlpm.dn,_xlfn.XLOOKUP($C226,nrCDdate,nrCDnum,"",1),IF(_xlpm.dn="","(after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IF(OR($D227="",$C227=""),"",_xlfn.LET(_xlpm.dn,_xlfn.XLOOKUP($C227,nrCDdate,nrCDnum,"",1),IF(_xlpm.dn="","(after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IF(OR($D228="",$C228=""),"",_xlfn.LET(_xlpm.dn,_xlfn.XLOOKUP($C228,nrCDdate,nrCDnum,"",1),IF(_xlpm.dn="","(after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IF(OR($D229="",$C229=""),"",_xlfn.LET(_xlpm.dn,_xlfn.XLOOKUP($C229,nrCDdate,nrCDnum,"",1),IF(_xlpm.dn="","(after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IF(OR($D230="",$C230=""),"",_xlfn.LET(_xlpm.dn,_xlfn.XLOOKUP($C230,nrCDdate,nrCDnum,"",1),IF(_xlpm.dn="","(after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IF(OR($D231="",$C231=""),"",_xlfn.LET(_xlpm.dn,_xlfn.XLOOKUP($C231,nrCDdate,nrCDnum,"",1),IF(_xlpm.dn="","(after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IF(OR($D232="",$C232=""),"",_xlfn.LET(_xlpm.dn,_xlfn.XLOOKUP($C232,nrCDdate,nrCDnum,"",1),IF(_xlpm.dn="","(after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IF(OR($D233="",$C233=""),"",_xlfn.LET(_xlpm.dn,_xlfn.XLOOKUP($C233,nrCDdate,nrCDnum,"",1),IF(_xlpm.dn="","(after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IF(OR($D234="",$C234=""),"",_xlfn.LET(_xlpm.dn,_xlfn.XLOOKUP($C234,nrCDdate,nrCDnum,"",1),IF(_xlpm.dn="","(after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IF(OR($D235="",$C235=""),"",_xlfn.LET(_xlpm.dn,_xlfn.XLOOKUP($C235,nrCDdate,nrCDnum,"",1),IF(_xlpm.dn="","(after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IF(OR($D236="",$C236=""),"",_xlfn.LET(_xlpm.dn,_xlfn.XLOOKUP($C236,nrCDdate,nrCDnum,"",1),IF(_xlpm.dn="","(after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IF(OR($D237="",$C237=""),"",_xlfn.LET(_xlpm.dn,_xlfn.XLOOKUP($C237,nrCDdate,nrCDnum,"",1),IF(_xlpm.dn="","(after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IF(OR($D238="",$C238=""),"",_xlfn.LET(_xlpm.dn,_xlfn.XLOOKUP($C238,nrCDdate,nrCDnum,"",1),IF(_xlpm.dn="","(after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IF(OR($D239="",$C239=""),"",_xlfn.LET(_xlpm.dn,_xlfn.XLOOKUP($C239,nrCDdate,nrCDnum,"",1),IF(_xlpm.dn="","(after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IF(OR($D240="",$C240=""),"",_xlfn.LET(_xlpm.dn,_xlfn.XLOOKUP($C240,nrCDdate,nrCDnum,"",1),IF(_xlpm.dn="","(after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IF(OR($D241="",$C241=""),"",_xlfn.LET(_xlpm.dn,_xlfn.XLOOKUP($C241,nrCDdate,nrCDnum,"",1),IF(_xlpm.dn="","(after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IF(OR($D242="",$C242=""),"",_xlfn.LET(_xlpm.dn,_xlfn.XLOOKUP($C242,nrCDdate,nrCDnum,"",1),IF(_xlpm.dn="","(after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IF(OR($D243="",$C243=""),"",_xlfn.LET(_xlpm.dn,_xlfn.XLOOKUP($C243,nrCDdate,nrCDnum,"",1),IF(_xlpm.dn="","(after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IF(OR($D244="",$C244=""),"",_xlfn.LET(_xlpm.dn,_xlfn.XLOOKUP($C244,nrCDdate,nrCDnum,"",1),IF(_xlpm.dn="","(after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IF(OR($D245="",$C245=""),"",_xlfn.LET(_xlpm.dn,_xlfn.XLOOKUP($C245,nrCDdate,nrCDnum,"",1),IF(_xlpm.dn="","(after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IF(OR($D246="",$C246=""),"",_xlfn.LET(_xlpm.dn,_xlfn.XLOOKUP($C246,nrCDdate,nrCDnum,"",1),IF(_xlpm.dn="","(after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IF(OR($D247="",$C247=""),"",_xlfn.LET(_xlpm.dn,_xlfn.XLOOKUP($C247,nrCDdate,nrCDnum,"",1),IF(_xlpm.dn="","(after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IF(OR($D248="",$C248=""),"",_xlfn.LET(_xlpm.dn,_xlfn.XLOOKUP($C248,nrCDdate,nrCDnum,"",1),IF(_xlpm.dn="","(after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IF(OR($D249="",$C249=""),"",_xlfn.LET(_xlpm.dn,_xlfn.XLOOKUP($C249,nrCDdate,nrCDnum,"",1),IF(_xlpm.dn="","(after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IF(OR($D250="",$C250=""),"",_xlfn.LET(_xlpm.dn,_xlfn.XLOOKUP($C250,nrCDdate,nrCDnum,"",1),IF(_xlpm.dn="","(after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IF(OR($D251="",$C251=""),"",_xlfn.LET(_xlpm.dn,_xlfn.XLOOKUP($C251,nrCDdate,nrCDnum,"",1),IF(_xlpm.dn="","(after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IF(OR($D252="",$C252=""),"",_xlfn.LET(_xlpm.dn,_xlfn.XLOOKUP($C252,nrCDdate,nrCDnum,"",1),IF(_xlpm.dn="","(after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IF(OR($D253="",$C253=""),"",_xlfn.LET(_xlpm.dn,_xlfn.XLOOKUP($C253,nrCDdate,nrCDnum,"",1),IF(_xlpm.dn="","(after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IF(OR($D254="",$C254=""),"",_xlfn.LET(_xlpm.dn,_xlfn.XLOOKUP($C254,nrCDdate,nrCDnum,"",1),IF(_xlpm.dn="","(after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IF(OR($D255="",$C255=""),"",_xlfn.LET(_xlpm.dn,_xlfn.XLOOKUP($C255,nrCDdate,nrCDnum,"",1),IF(_xlpm.dn="","(after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IF(OR($D256="",$C256=""),"",_xlfn.LET(_xlpm.dn,_xlfn.XLOOKUP($C256,nrCDdate,nrCDnum,"",1),IF(_xlpm.dn="","(after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IF(OR($D257="",$C257=""),"",_xlfn.LET(_xlpm.dn,_xlfn.XLOOKUP($C257,nrCDdate,nrCDnum,"",1),IF(_xlpm.dn="","(after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IF(OR($D258="",$C258=""),"",_xlfn.LET(_xlpm.dn,_xlfn.XLOOKUP($C258,nrCDdate,nrCDnum,"",1),IF(_xlpm.dn="","(after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IF(OR($D259="",$C259=""),"",_xlfn.LET(_xlpm.dn,_xlfn.XLOOKUP($C259,nrCDdate,nrCDnum,"",1),IF(_xlpm.dn="","(after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IF(OR($D260="",$C260=""),"",_xlfn.LET(_xlpm.dn,_xlfn.XLOOKUP($C260,nrCDdate,nrCDnum,"",1),IF(_xlpm.dn="","(after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IF(OR($D261="",$C261=""),"",_xlfn.LET(_xlpm.dn,_xlfn.XLOOKUP($C261,nrCDdate,nrCDnum,"",1),IF(_xlpm.dn="","(after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IF(OR($D262="",$C262=""),"",_xlfn.LET(_xlpm.dn,_xlfn.XLOOKUP($C262,nrCDdate,nrCDnum,"",1),IF(_xlpm.dn="","(after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IF(OR($D263="",$C263=""),"",_xlfn.LET(_xlpm.dn,_xlfn.XLOOKUP($C263,nrCDdate,nrCDnum,"",1),IF(_xlpm.dn="","(after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IF(OR($D264="",$C264=""),"",_xlfn.LET(_xlpm.dn,_xlfn.XLOOKUP($C264,nrCDdate,nrCDnum,"",1),IF(_xlpm.dn="","(after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IF(OR($D265="",$C265=""),"",_xlfn.LET(_xlpm.dn,_xlfn.XLOOKUP($C265,nrCDdate,nrCDnum,"",1),IF(_xlpm.dn="","(after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IF(OR($D266="",$C266=""),"",_xlfn.LET(_xlpm.dn,_xlfn.XLOOKUP($C266,nrCDdate,nrCDnum,"",1),IF(_xlpm.dn="","(after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IF(OR($D267="",$C267=""),"",_xlfn.LET(_xlpm.dn,_xlfn.XLOOKUP($C267,nrCDdate,nrCDnum,"",1),IF(_xlpm.dn="","(after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IF(OR($D268="",$C268=""),"",_xlfn.LET(_xlpm.dn,_xlfn.XLOOKUP($C268,nrCDdate,nrCDnum,"",1),IF(_xlpm.dn="","(after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IF(OR($D269="",$C269=""),"",_xlfn.LET(_xlpm.dn,_xlfn.XLOOKUP($C269,nrCDdate,nrCDnum,"",1),IF(_xlpm.dn="","(after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IF(OR($D270="",$C270=""),"",_xlfn.LET(_xlpm.dn,_xlfn.XLOOKUP($C270,nrCDdate,nrCDnum,"",1),IF(_xlpm.dn="","(after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IF(OR($D271="",$C271=""),"",_xlfn.LET(_xlpm.dn,_xlfn.XLOOKUP($C271,nrCDdate,nrCDnum,"",1),IF(_xlpm.dn="","(after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IF(OR($D272="",$C272=""),"",_xlfn.LET(_xlpm.dn,_xlfn.XLOOKUP($C272,nrCDdate,nrCDnum,"",1),IF(_xlpm.dn="","(after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IF(OR($D273="",$C273=""),"",_xlfn.LET(_xlpm.dn,_xlfn.XLOOKUP($C273,nrCDdate,nrCDnum,"",1),IF(_xlpm.dn="","(after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IF(OR($D274="",$C274=""),"",_xlfn.LET(_xlpm.dn,_xlfn.XLOOKUP($C274,nrCDdate,nrCDnum,"",1),IF(_xlpm.dn="","(after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IF(OR($D275="",$C275=""),"",_xlfn.LET(_xlpm.dn,_xlfn.XLOOKUP($C275,nrCDdate,nrCDnum,"",1),IF(_xlpm.dn="","(after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IF(OR($D276="",$C276=""),"",_xlfn.LET(_xlpm.dn,_xlfn.XLOOKUP($C276,nrCDdate,nrCDnum,"",1),IF(_xlpm.dn="","(after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IF(OR($D277="",$C277=""),"",_xlfn.LET(_xlpm.dn,_xlfn.XLOOKUP($C277,nrCDdate,nrCDnum,"",1),IF(_xlpm.dn="","(after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IF(OR($D278="",$C278=""),"",_xlfn.LET(_xlpm.dn,_xlfn.XLOOKUP($C278,nrCDdate,nrCDnum,"",1),IF(_xlpm.dn="","(after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IF(OR($D279="",$C279=""),"",_xlfn.LET(_xlpm.dn,_xlfn.XLOOKUP($C279,nrCDdate,nrCDnum,"",1),IF(_xlpm.dn="","(after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IF(OR($D280="",$C280=""),"",_xlfn.LET(_xlpm.dn,_xlfn.XLOOKUP($C280,nrCDdate,nrCDnum,"",1),IF(_xlpm.dn="","(after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IF(OR($D281="",$C281=""),"",_xlfn.LET(_xlpm.dn,_xlfn.XLOOKUP($C281,nrCDdate,nrCDnum,"",1),IF(_xlpm.dn="","(after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IF(OR($D282="",$C282=""),"",_xlfn.LET(_xlpm.dn,_xlfn.XLOOKUP($C282,nrCDdate,nrCDnum,"",1),IF(_xlpm.dn="","(after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IF(OR($D283="",$C283=""),"",_xlfn.LET(_xlpm.dn,_xlfn.XLOOKUP($C283,nrCDdate,nrCDnum,"",1),IF(_xlpm.dn="","(after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IF(OR($D284="",$C284=""),"",_xlfn.LET(_xlpm.dn,_xlfn.XLOOKUP($C284,nrCDdate,nrCDnum,"",1),IF(_xlpm.dn="","(after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IF(OR($D285="",$C285=""),"",_xlfn.LET(_xlpm.dn,_xlfn.XLOOKUP($C285,nrCDdate,nrCDnum,"",1),IF(_xlpm.dn="","(after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IF(OR($D286="",$C286=""),"",_xlfn.LET(_xlpm.dn,_xlfn.XLOOKUP($C286,nrCDdate,nrCDnum,"",1),IF(_xlpm.dn="","(after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IF(OR($D287="",$C287=""),"",_xlfn.LET(_xlpm.dn,_xlfn.XLOOKUP($C287,nrCDdate,nrCDnum,"",1),IF(_xlpm.dn="","(after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IF(OR($D288="",$C288=""),"",_xlfn.LET(_xlpm.dn,_xlfn.XLOOKUP($C288,nrCDdate,nrCDnum,"",1),IF(_xlpm.dn="","(after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IF(OR($D289="",$C289=""),"",_xlfn.LET(_xlpm.dn,_xlfn.XLOOKUP($C289,nrCDdate,nrCDnum,"",1),IF(_xlpm.dn="","(after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IF(OR($D290="",$C290=""),"",_xlfn.LET(_xlpm.dn,_xlfn.XLOOKUP($C290,nrCDdate,nrCDnum,"",1),IF(_xlpm.dn="","(after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IF(OR($D291="",$C291=""),"",_xlfn.LET(_xlpm.dn,_xlfn.XLOOKUP($C291,nrCDdate,nrCDnum,"",1),IF(_xlpm.dn="","(after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IF(OR($D292="",$C292=""),"",_xlfn.LET(_xlpm.dn,_xlfn.XLOOKUP($C292,nrCDdate,nrCDnum,"",1),IF(_xlpm.dn="","(after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IF(OR($D293="",$C293=""),"",_xlfn.LET(_xlpm.dn,_xlfn.XLOOKUP($C293,nrCDdate,nrCDnum,"",1),IF(_xlpm.dn="","(after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IF(OR($D294="",$C294=""),"",_xlfn.LET(_xlpm.dn,_xlfn.XLOOKUP($C294,nrCDdate,nrCDnum,"",1),IF(_xlpm.dn="","(after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IF(OR($D295="",$C295=""),"",_xlfn.LET(_xlpm.dn,_xlfn.XLOOKUP($C295,nrCDdate,nrCDnum,"",1),IF(_xlpm.dn="","(after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IF(OR($D296="",$C296=""),"",_xlfn.LET(_xlpm.dn,_xlfn.XLOOKUP($C296,nrCDdate,nrCDnum,"",1),IF(_xlpm.dn="","(after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IF(OR($D297="",$C297=""),"",_xlfn.LET(_xlpm.dn,_xlfn.XLOOKUP($C297,nrCDdate,nrCDnum,"",1),IF(_xlpm.dn="","(after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IF(OR($D298="",$C298=""),"",_xlfn.LET(_xlpm.dn,_xlfn.XLOOKUP($C298,nrCDdate,nrCDnum,"",1),IF(_xlpm.dn="","(after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IF(OR($D299="",$C299=""),"",_xlfn.LET(_xlpm.dn,_xlfn.XLOOKUP($C299,nrCDdate,nrCDnum,"",1),IF(_xlpm.dn="","(after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IF(OR($D300="",$C300=""),"",_xlfn.LET(_xlpm.dn,_xlfn.XLOOKUP($C300,nrCDdate,nrCDnum,"",1),IF(_xlpm.dn="","(after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IF(OR($D301="",$C301=""),"",_xlfn.LET(_xlpm.dn,_xlfn.XLOOKUP($C301,nrCDdate,nrCDnum,"",1),IF(_xlpm.dn="","(after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IF(OR($D302="",$C302=""),"",_xlfn.LET(_xlpm.dn,_xlfn.XLOOKUP($C302,nrCDdate,nrCDnum,"",1),IF(_xlpm.dn="","(after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IF(OR($D303="",$C303=""),"",_xlfn.LET(_xlpm.dn,_xlfn.XLOOKUP($C303,nrCDdate,nrCDnum,"",1),IF(_xlpm.dn="","(after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IF(OR($D304="",$C304=""),"",_xlfn.LET(_xlpm.dn,_xlfn.XLOOKUP($C304,nrCDdate,nrCDnum,"",1),IF(_xlpm.dn="","(after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IF(OR($D305="",$C305=""),"",_xlfn.LET(_xlpm.dn,_xlfn.XLOOKUP($C305,nrCDdate,nrCDnum,"",1),IF(_xlpm.dn="","(after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autoFilter ref="B5:N5"/>
  <conditionalFormatting sqref="L6:L305">
    <cfRule type="expression" priority="1" dxfId="0">
      <formula>$L6="OVERDUE"</formula>
    </cfRule>
    <cfRule type="expression" priority="2" dxfId="0">
      <formula>$L6="CHECK DATE"</formula>
    </cfRule>
    <cfRule type="expression" priority="3" dxfId="2">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3">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22" t="n"/>
      <c r="U6" s="22" t="n"/>
      <c r="V6" s="22" t="n"/>
      <c r="W6" s="22" t="n"/>
      <c r="X6" s="22" t="n"/>
      <c r="Y6" s="22" t="n"/>
      <c r="Z6" s="22" t="n"/>
      <c r="AA6" s="17">
        <f>IF($B6="","",IF(COUNT(T6:Z6)=0,"",SUM(T6:Z6)))</f>
        <v/>
      </c>
      <c r="AB6" s="17">
        <f>IF($B6="","",IF($AA6="","",IF(cfgPTFinalMinPoints=0,"(rubric pending)",IF($AA6&gt;=cfgPTFinalMinPoints,"Yes","No"))))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22" t="n"/>
      <c r="U7" s="22" t="n"/>
      <c r="V7" s="22" t="n"/>
      <c r="W7" s="22" t="n"/>
      <c r="X7" s="22" t="n"/>
      <c r="Y7" s="22" t="n"/>
      <c r="Z7" s="22" t="n"/>
      <c r="AA7" s="17">
        <f>IF($B7="","",IF(COUNT(T7:Z7)=0,"",SUM(T7:Z7)))</f>
        <v/>
      </c>
      <c r="AB7" s="17">
        <f>IF($B7="","",IF($AA7="","",IF(cfgPTFinalMinPoints=0,"(rubric pending)",IF($AA7&gt;=cfgPTFinalMinPoints,"Yes","No"))))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22" t="n"/>
      <c r="U8" s="22" t="n"/>
      <c r="V8" s="22" t="n"/>
      <c r="W8" s="22" t="n"/>
      <c r="X8" s="22" t="n"/>
      <c r="Y8" s="22" t="n"/>
      <c r="Z8" s="22" t="n"/>
      <c r="AA8" s="17">
        <f>IF($B8="","",IF(COUNT(T8:Z8)=0,"",SUM(T8:Z8)))</f>
        <v/>
      </c>
      <c r="AB8" s="17">
        <f>IF($B8="","",IF($AA8="","",IF(cfgPTFinalMinPoints=0,"(rubric pending)",IF($AA8&gt;=cfgPTFinalMinPoints,"Yes","No"))))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22" t="n"/>
      <c r="U9" s="22" t="n"/>
      <c r="V9" s="22" t="n"/>
      <c r="W9" s="22" t="n"/>
      <c r="X9" s="22" t="n"/>
      <c r="Y9" s="22" t="n"/>
      <c r="Z9" s="22" t="n"/>
      <c r="AA9" s="17">
        <f>IF($B9="","",IF(COUNT(T9:Z9)=0,"",SUM(T9:Z9)))</f>
        <v/>
      </c>
      <c r="AB9" s="17">
        <f>IF($B9="","",IF($AA9="","",IF(cfgPTFinalMinPoints=0,"(rubric pending)",IF($AA9&gt;=cfgPTFinalMinPoints,"Yes","No"))))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22" t="n"/>
      <c r="U10" s="22" t="n"/>
      <c r="V10" s="22" t="n"/>
      <c r="W10" s="22" t="n"/>
      <c r="X10" s="22" t="n"/>
      <c r="Y10" s="22" t="n"/>
      <c r="Z10" s="22" t="n"/>
      <c r="AA10" s="17">
        <f>IF($B10="","",IF(COUNT(T10:Z10)=0,"",SUM(T10:Z10)))</f>
        <v/>
      </c>
      <c r="AB10" s="17">
        <f>IF($B10="","",IF($AA10="","",IF(cfgPTFinalMinPoints=0,"(rubric pending)",IF($AA10&gt;=cfgPTFinalMinPoints,"Yes","No"))))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22" t="n"/>
      <c r="U11" s="22" t="n"/>
      <c r="V11" s="22" t="n"/>
      <c r="W11" s="22" t="n"/>
      <c r="X11" s="22" t="n"/>
      <c r="Y11" s="22" t="n"/>
      <c r="Z11" s="22" t="n"/>
      <c r="AA11" s="17">
        <f>IF($B11="","",IF(COUNT(T11:Z11)=0,"",SUM(T11:Z11)))</f>
        <v/>
      </c>
      <c r="AB11" s="17">
        <f>IF($B11="","",IF($AA11="","",IF(cfgPTFinalMinPoints=0,"(rubric pending)",IF($AA11&gt;=cfgPTFinalMinPoints,"Yes","No"))))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22" t="n"/>
      <c r="U12" s="22" t="n"/>
      <c r="V12" s="22" t="n"/>
      <c r="W12" s="22" t="n"/>
      <c r="X12" s="22" t="n"/>
      <c r="Y12" s="22" t="n"/>
      <c r="Z12" s="22" t="n"/>
      <c r="AA12" s="17">
        <f>IF($B12="","",IF(COUNT(T12:Z12)=0,"",SUM(T12:Z12)))</f>
        <v/>
      </c>
      <c r="AB12" s="17">
        <f>IF($B12="","",IF($AA12="","",IF(cfgPTFinalMinPoints=0,"(rubric pending)",IF($AA12&gt;=cfgPTFinalMinPoints,"Yes","No"))))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22" t="n"/>
      <c r="U13" s="22" t="n"/>
      <c r="V13" s="22" t="n"/>
      <c r="W13" s="22" t="n"/>
      <c r="X13" s="22" t="n"/>
      <c r="Y13" s="22" t="n"/>
      <c r="Z13" s="22" t="n"/>
      <c r="AA13" s="17">
        <f>IF($B13="","",IF(COUNT(T13:Z13)=0,"",SUM(T13:Z13)))</f>
        <v/>
      </c>
      <c r="AB13" s="17">
        <f>IF($B13="","",IF($AA13="","",IF(cfgPTFinalMinPoints=0,"(rubric pending)",IF($AA13&gt;=cfgPTFinalMinPoints,"Yes","No"))))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22" t="n"/>
      <c r="U14" s="22" t="n"/>
      <c r="V14" s="22" t="n"/>
      <c r="W14" s="22" t="n"/>
      <c r="X14" s="22" t="n"/>
      <c r="Y14" s="22" t="n"/>
      <c r="Z14" s="22" t="n"/>
      <c r="AA14" s="17">
        <f>IF($B14="","",IF(COUNT(T14:Z14)=0,"",SUM(T14:Z14)))</f>
        <v/>
      </c>
      <c r="AB14" s="17">
        <f>IF($B14="","",IF($AA14="","",IF(cfgPTFinalMinPoints=0,"(rubric pending)",IF($AA14&gt;=cfgPTFinalMinPoints,"Yes","No"))))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22" t="n"/>
      <c r="U15" s="22" t="n"/>
      <c r="V15" s="22" t="n"/>
      <c r="W15" s="22" t="n"/>
      <c r="X15" s="22" t="n"/>
      <c r="Y15" s="22" t="n"/>
      <c r="Z15" s="22" t="n"/>
      <c r="AA15" s="17">
        <f>IF($B15="","",IF(COUNT(T15:Z15)=0,"",SUM(T15:Z15)))</f>
        <v/>
      </c>
      <c r="AB15" s="17">
        <f>IF($B15="","",IF($AA15="","",IF(cfgPTFinalMinPoints=0,"(rubric pending)",IF($AA15&gt;=cfgPTFinalMinPoints,"Yes","No"))))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22" t="n"/>
      <c r="U16" s="22" t="n"/>
      <c r="V16" s="22" t="n"/>
      <c r="W16" s="22" t="n"/>
      <c r="X16" s="22" t="n"/>
      <c r="Y16" s="22" t="n"/>
      <c r="Z16" s="22" t="n"/>
      <c r="AA16" s="17">
        <f>IF($B16="","",IF(COUNT(T16:Z16)=0,"",SUM(T16:Z16)))</f>
        <v/>
      </c>
      <c r="AB16" s="17">
        <f>IF($B16="","",IF($AA16="","",IF(cfgPTFinalMinPoints=0,"(rubric pending)",IF($AA16&gt;=cfgPTFinalMinPoints,"Yes","No"))))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22" t="n"/>
      <c r="U17" s="22" t="n"/>
      <c r="V17" s="22" t="n"/>
      <c r="W17" s="22" t="n"/>
      <c r="X17" s="22" t="n"/>
      <c r="Y17" s="22" t="n"/>
      <c r="Z17" s="22" t="n"/>
      <c r="AA17" s="17">
        <f>IF($B17="","",IF(COUNT(T17:Z17)=0,"",SUM(T17:Z17)))</f>
        <v/>
      </c>
      <c r="AB17" s="17">
        <f>IF($B17="","",IF($AA17="","",IF(cfgPTFinalMinPoints=0,"(rubric pending)",IF($AA17&gt;=cfgPTFinalMinPoints,"Yes","No"))))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22" t="n"/>
      <c r="U18" s="22" t="n"/>
      <c r="V18" s="22" t="n"/>
      <c r="W18" s="22" t="n"/>
      <c r="X18" s="22" t="n"/>
      <c r="Y18" s="22" t="n"/>
      <c r="Z18" s="22" t="n"/>
      <c r="AA18" s="17">
        <f>IF($B18="","",IF(COUNT(T18:Z18)=0,"",SUM(T18:Z18)))</f>
        <v/>
      </c>
      <c r="AB18" s="17">
        <f>IF($B18="","",IF($AA18="","",IF(cfgPTFinalMinPoints=0,"(rubric pending)",IF($AA18&gt;=cfgPTFinalMinPoints,"Yes","No"))))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22" t="n"/>
      <c r="U19" s="22" t="n"/>
      <c r="V19" s="22" t="n"/>
      <c r="W19" s="22" t="n"/>
      <c r="X19" s="22" t="n"/>
      <c r="Y19" s="22" t="n"/>
      <c r="Z19" s="22" t="n"/>
      <c r="AA19" s="17">
        <f>IF($B19="","",IF(COUNT(T19:Z19)=0,"",SUM(T19:Z19)))</f>
        <v/>
      </c>
      <c r="AB19" s="17">
        <f>IF($B19="","",IF($AA19="","",IF(cfgPTFinalMinPoints=0,"(rubric pending)",IF($AA19&gt;=cfgPTFinalMinPoints,"Yes","No"))))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22" t="n"/>
      <c r="U20" s="22" t="n"/>
      <c r="V20" s="22" t="n"/>
      <c r="W20" s="22" t="n"/>
      <c r="X20" s="22" t="n"/>
      <c r="Y20" s="22" t="n"/>
      <c r="Z20" s="22" t="n"/>
      <c r="AA20" s="17">
        <f>IF($B20="","",IF(COUNT(T20:Z20)=0,"",SUM(T20:Z20)))</f>
        <v/>
      </c>
      <c r="AB20" s="17">
        <f>IF($B20="","",IF($AA20="","",IF(cfgPTFinalMinPoints=0,"(rubric pending)",IF($AA20&gt;=cfgPTFinalMinPoints,"Yes","No"))))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22" t="n"/>
      <c r="U21" s="22" t="n"/>
      <c r="V21" s="22" t="n"/>
      <c r="W21" s="22" t="n"/>
      <c r="X21" s="22" t="n"/>
      <c r="Y21" s="22" t="n"/>
      <c r="Z21" s="22" t="n"/>
      <c r="AA21" s="17">
        <f>IF($B21="","",IF(COUNT(T21:Z21)=0,"",SUM(T21:Z21)))</f>
        <v/>
      </c>
      <c r="AB21" s="17">
        <f>IF($B21="","",IF($AA21="","",IF(cfgPTFinalMinPoints=0,"(rubric pending)",IF($AA21&gt;=cfgPTFinalMinPoints,"Yes","No"))))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22" t="n"/>
      <c r="U22" s="22" t="n"/>
      <c r="V22" s="22" t="n"/>
      <c r="W22" s="22" t="n"/>
      <c r="X22" s="22" t="n"/>
      <c r="Y22" s="22" t="n"/>
      <c r="Z22" s="22" t="n"/>
      <c r="AA22" s="17">
        <f>IF($B22="","",IF(COUNT(T22:Z22)=0,"",SUM(T22:Z22)))</f>
        <v/>
      </c>
      <c r="AB22" s="17">
        <f>IF($B22="","",IF($AA22="","",IF(cfgPTFinalMinPoints=0,"(rubric pending)",IF($AA22&gt;=cfgPTFinalMinPoints,"Yes","No"))))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22" t="n"/>
      <c r="U23" s="22" t="n"/>
      <c r="V23" s="22" t="n"/>
      <c r="W23" s="22" t="n"/>
      <c r="X23" s="22" t="n"/>
      <c r="Y23" s="22" t="n"/>
      <c r="Z23" s="22" t="n"/>
      <c r="AA23" s="17">
        <f>IF($B23="","",IF(COUNT(T23:Z23)=0,"",SUM(T23:Z23)))</f>
        <v/>
      </c>
      <c r="AB23" s="17">
        <f>IF($B23="","",IF($AA23="","",IF(cfgPTFinalMinPoints=0,"(rubric pending)",IF($AA23&gt;=cfgPTFinalMinPoints,"Yes","No"))))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22" t="n"/>
      <c r="U24" s="22" t="n"/>
      <c r="V24" s="22" t="n"/>
      <c r="W24" s="22" t="n"/>
      <c r="X24" s="22" t="n"/>
      <c r="Y24" s="22" t="n"/>
      <c r="Z24" s="22" t="n"/>
      <c r="AA24" s="17">
        <f>IF($B24="","",IF(COUNT(T24:Z24)=0,"",SUM(T24:Z24)))</f>
        <v/>
      </c>
      <c r="AB24" s="17">
        <f>IF($B24="","",IF($AA24="","",IF(cfgPTFinalMinPoints=0,"(rubric pending)",IF($AA24&gt;=cfgPTFinalMinPoints,"Yes","No"))))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22" t="n"/>
      <c r="U25" s="22" t="n"/>
      <c r="V25" s="22" t="n"/>
      <c r="W25" s="22" t="n"/>
      <c r="X25" s="22" t="n"/>
      <c r="Y25" s="22" t="n"/>
      <c r="Z25" s="22" t="n"/>
      <c r="AA25" s="17">
        <f>IF($B25="","",IF(COUNT(T25:Z25)=0,"",SUM(T25:Z25)))</f>
        <v/>
      </c>
      <c r="AB25" s="17">
        <f>IF($B25="","",IF($AA25="","",IF(cfgPTFinalMinPoints=0,"(rubric pending)",IF($AA25&gt;=cfgPTFinalMinPoints,"Yes","No"))))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22" t="n"/>
      <c r="U26" s="22" t="n"/>
      <c r="V26" s="22" t="n"/>
      <c r="W26" s="22" t="n"/>
      <c r="X26" s="22" t="n"/>
      <c r="Y26" s="22" t="n"/>
      <c r="Z26" s="22" t="n"/>
      <c r="AA26" s="17">
        <f>IF($B26="","",IF(COUNT(T26:Z26)=0,"",SUM(T26:Z26)))</f>
        <v/>
      </c>
      <c r="AB26" s="17">
        <f>IF($B26="","",IF($AA26="","",IF(cfgPTFinalMinPoints=0,"(rubric pending)",IF($AA26&gt;=cfgPTFinalMinPoints,"Yes","No"))))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22" t="n"/>
      <c r="U27" s="22" t="n"/>
      <c r="V27" s="22" t="n"/>
      <c r="W27" s="22" t="n"/>
      <c r="X27" s="22" t="n"/>
      <c r="Y27" s="22" t="n"/>
      <c r="Z27" s="22" t="n"/>
      <c r="AA27" s="17">
        <f>IF($B27="","",IF(COUNT(T27:Z27)=0,"",SUM(T27:Z27)))</f>
        <v/>
      </c>
      <c r="AB27" s="17">
        <f>IF($B27="","",IF($AA27="","",IF(cfgPTFinalMinPoints=0,"(rubric pending)",IF($AA27&gt;=cfgPTFinalMinPoints,"Yes","No"))))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22" t="n"/>
      <c r="U28" s="22" t="n"/>
      <c r="V28" s="22" t="n"/>
      <c r="W28" s="22" t="n"/>
      <c r="X28" s="22" t="n"/>
      <c r="Y28" s="22" t="n"/>
      <c r="Z28" s="22" t="n"/>
      <c r="AA28" s="17">
        <f>IF($B28="","",IF(COUNT(T28:Z28)=0,"",SUM(T28:Z28)))</f>
        <v/>
      </c>
      <c r="AB28" s="17">
        <f>IF($B28="","",IF($AA28="","",IF(cfgPTFinalMinPoints=0,"(rubric pending)",IF($AA28&gt;=cfgPTFinalMinPoints,"Yes","No"))))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22" t="n"/>
      <c r="U29" s="22" t="n"/>
      <c r="V29" s="22" t="n"/>
      <c r="W29" s="22" t="n"/>
      <c r="X29" s="22" t="n"/>
      <c r="Y29" s="22" t="n"/>
      <c r="Z29" s="22" t="n"/>
      <c r="AA29" s="17">
        <f>IF($B29="","",IF(COUNT(T29:Z29)=0,"",SUM(T29:Z29)))</f>
        <v/>
      </c>
      <c r="AB29" s="17">
        <f>IF($B29="","",IF($AA29="","",IF(cfgPTFinalMinPoints=0,"(rubric pending)",IF($AA29&gt;=cfgPTFinalMinPoints,"Yes","No"))))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22" t="n"/>
      <c r="U30" s="22" t="n"/>
      <c r="V30" s="22" t="n"/>
      <c r="W30" s="22" t="n"/>
      <c r="X30" s="22" t="n"/>
      <c r="Y30" s="22" t="n"/>
      <c r="Z30" s="22" t="n"/>
      <c r="AA30" s="17">
        <f>IF($B30="","",IF(COUNT(T30:Z30)=0,"",SUM(T30:Z30)))</f>
        <v/>
      </c>
      <c r="AB30" s="17">
        <f>IF($B30="","",IF($AA30="","",IF(cfgPTFinalMinPoints=0,"(rubric pending)",IF($AA30&gt;=cfgPTFinalMinPoints,"Yes","No"))))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22" t="n"/>
      <c r="U31" s="22" t="n"/>
      <c r="V31" s="22" t="n"/>
      <c r="W31" s="22" t="n"/>
      <c r="X31" s="22" t="n"/>
      <c r="Y31" s="22" t="n"/>
      <c r="Z31" s="22" t="n"/>
      <c r="AA31" s="17">
        <f>IF($B31="","",IF(COUNT(T31:Z31)=0,"",SUM(T31:Z31)))</f>
        <v/>
      </c>
      <c r="AB31" s="17">
        <f>IF($B31="","",IF($AA31="","",IF(cfgPTFinalMinPoints=0,"(rubric pending)",IF($AA31&gt;=cfgPTFinalMinPoints,"Yes","No"))))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22" t="n"/>
      <c r="U32" s="22" t="n"/>
      <c r="V32" s="22" t="n"/>
      <c r="W32" s="22" t="n"/>
      <c r="X32" s="22" t="n"/>
      <c r="Y32" s="22" t="n"/>
      <c r="Z32" s="22" t="n"/>
      <c r="AA32" s="17">
        <f>IF($B32="","",IF(COUNT(T32:Z32)=0,"",SUM(T32:Z32)))</f>
        <v/>
      </c>
      <c r="AB32" s="17">
        <f>IF($B32="","",IF($AA32="","",IF(cfgPTFinalMinPoints=0,"(rubric pending)",IF($AA32&gt;=cfgPTFinalMinPoints,"Yes","No"))))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22" t="n"/>
      <c r="U33" s="22" t="n"/>
      <c r="V33" s="22" t="n"/>
      <c r="W33" s="22" t="n"/>
      <c r="X33" s="22" t="n"/>
      <c r="Y33" s="22" t="n"/>
      <c r="Z33" s="22" t="n"/>
      <c r="AA33" s="17">
        <f>IF($B33="","",IF(COUNT(T33:Z33)=0,"",SUM(T33:Z33)))</f>
        <v/>
      </c>
      <c r="AB33" s="17">
        <f>IF($B33="","",IF($AA33="","",IF(cfgPTFinalMinPoints=0,"(rubric pending)",IF($AA33&gt;=cfgPTFinalMinPoints,"Yes","No"))))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22" t="n"/>
      <c r="U34" s="22" t="n"/>
      <c r="V34" s="22" t="n"/>
      <c r="W34" s="22" t="n"/>
      <c r="X34" s="22" t="n"/>
      <c r="Y34" s="22" t="n"/>
      <c r="Z34" s="22" t="n"/>
      <c r="AA34" s="17">
        <f>IF($B34="","",IF(COUNT(T34:Z34)=0,"",SUM(T34:Z34)))</f>
        <v/>
      </c>
      <c r="AB34" s="17">
        <f>IF($B34="","",IF($AA34="","",IF(cfgPTFinalMinPoints=0,"(rubric pending)",IF($AA34&gt;=cfgPTFinalMinPoints,"Yes","No"))))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22" t="n"/>
      <c r="U35" s="22" t="n"/>
      <c r="V35" s="22" t="n"/>
      <c r="W35" s="22" t="n"/>
      <c r="X35" s="22" t="n"/>
      <c r="Y35" s="22" t="n"/>
      <c r="Z35" s="22" t="n"/>
      <c r="AA35" s="17">
        <f>IF($B35="","",IF(COUNT(T35:Z35)=0,"",SUM(T35:Z35)))</f>
        <v/>
      </c>
      <c r="AB35" s="17">
        <f>IF($B35="","",IF($AA35="","",IF(cfgPTFinalMinPoints=0,"(rubric pending)",IF($AA35&gt;=cfgPTFinalMinPoints,"Yes","No"))))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22" t="n"/>
      <c r="U36" s="22" t="n"/>
      <c r="V36" s="22" t="n"/>
      <c r="W36" s="22" t="n"/>
      <c r="X36" s="22" t="n"/>
      <c r="Y36" s="22" t="n"/>
      <c r="Z36" s="22" t="n"/>
      <c r="AA36" s="17">
        <f>IF($B36="","",IF(COUNT(T36:Z36)=0,"",SUM(T36:Z36)))</f>
        <v/>
      </c>
      <c r="AB36" s="17">
        <f>IF($B36="","",IF($AA36="","",IF(cfgPTFinalMinPoints=0,"(rubric pending)",IF($AA36&gt;=cfgPTFinalMinPoints,"Yes","No"))))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22" t="n"/>
      <c r="U37" s="22" t="n"/>
      <c r="V37" s="22" t="n"/>
      <c r="W37" s="22" t="n"/>
      <c r="X37" s="22" t="n"/>
      <c r="Y37" s="22" t="n"/>
      <c r="Z37" s="22" t="n"/>
      <c r="AA37" s="17">
        <f>IF($B37="","",IF(COUNT(T37:Z37)=0,"",SUM(T37:Z37)))</f>
        <v/>
      </c>
      <c r="AB37" s="17">
        <f>IF($B37="","",IF($AA37="","",IF(cfgPTFinalMinPoints=0,"(rubric pending)",IF($AA37&gt;=cfgPTFinalMinPoints,"Yes","No"))))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22" t="n"/>
      <c r="U38" s="22" t="n"/>
      <c r="V38" s="22" t="n"/>
      <c r="W38" s="22" t="n"/>
      <c r="X38" s="22" t="n"/>
      <c r="Y38" s="22" t="n"/>
      <c r="Z38" s="22" t="n"/>
      <c r="AA38" s="17">
        <f>IF($B38="","",IF(COUNT(T38:Z38)=0,"",SUM(T38:Z38)))</f>
        <v/>
      </c>
      <c r="AB38" s="17">
        <f>IF($B38="","",IF($AA38="","",IF(cfgPTFinalMinPoints=0,"(rubric pending)",IF($AA38&gt;=cfgPTFinalMinPoints,"Yes","No"))))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22" t="n"/>
      <c r="U39" s="22" t="n"/>
      <c r="V39" s="22" t="n"/>
      <c r="W39" s="22" t="n"/>
      <c r="X39" s="22" t="n"/>
      <c r="Y39" s="22" t="n"/>
      <c r="Z39" s="22" t="n"/>
      <c r="AA39" s="17">
        <f>IF($B39="","",IF(COUNT(T39:Z39)=0,"",SUM(T39:Z39)))</f>
        <v/>
      </c>
      <c r="AB39" s="17">
        <f>IF($B39="","",IF($AA39="","",IF(cfgPTFinalMinPoints=0,"(rubric pending)",IF($AA39&gt;=cfgPTFinalMinPoints,"Yes","No"))))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22" t="n"/>
      <c r="U40" s="22" t="n"/>
      <c r="V40" s="22" t="n"/>
      <c r="W40" s="22" t="n"/>
      <c r="X40" s="22" t="n"/>
      <c r="Y40" s="22" t="n"/>
      <c r="Z40" s="22" t="n"/>
      <c r="AA40" s="17">
        <f>IF($B40="","",IF(COUNT(T40:Z40)=0,"",SUM(T40:Z40)))</f>
        <v/>
      </c>
      <c r="AB40" s="17">
        <f>IF($B40="","",IF($AA40="","",IF(cfgPTFinalMinPoints=0,"(rubric pending)",IF($AA40&gt;=cfgPTFinalMinPoints,"Yes","No"))))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22" t="n"/>
      <c r="U41" s="22" t="n"/>
      <c r="V41" s="22" t="n"/>
      <c r="W41" s="22" t="n"/>
      <c r="X41" s="22" t="n"/>
      <c r="Y41" s="22" t="n"/>
      <c r="Z41" s="22" t="n"/>
      <c r="AA41" s="17">
        <f>IF($B41="","",IF(COUNT(T41:Z41)=0,"",SUM(T41:Z41)))</f>
        <v/>
      </c>
      <c r="AB41" s="17">
        <f>IF($B41="","",IF($AA41="","",IF(cfgPTFinalMinPoints=0,"(rubric pending)",IF($AA41&gt;=cfgPTFinalMinPoints,"Yes","No"))))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22" t="n"/>
      <c r="U42" s="22" t="n"/>
      <c r="V42" s="22" t="n"/>
      <c r="W42" s="22" t="n"/>
      <c r="X42" s="22" t="n"/>
      <c r="Y42" s="22" t="n"/>
      <c r="Z42" s="22" t="n"/>
      <c r="AA42" s="17">
        <f>IF($B42="","",IF(COUNT(T42:Z42)=0,"",SUM(T42:Z42)))</f>
        <v/>
      </c>
      <c r="AB42" s="17">
        <f>IF($B42="","",IF($AA42="","",IF(cfgPTFinalMinPoints=0,"(rubric pending)",IF($AA42&gt;=cfgPTFinalMinPoints,"Yes","No"))))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22" t="n"/>
      <c r="U43" s="22" t="n"/>
      <c r="V43" s="22" t="n"/>
      <c r="W43" s="22" t="n"/>
      <c r="X43" s="22" t="n"/>
      <c r="Y43" s="22" t="n"/>
      <c r="Z43" s="22" t="n"/>
      <c r="AA43" s="17">
        <f>IF($B43="","",IF(COUNT(T43:Z43)=0,"",SUM(T43:Z43)))</f>
        <v/>
      </c>
      <c r="AB43" s="17">
        <f>IF($B43="","",IF($AA43="","",IF(cfgPTFinalMinPoints=0,"(rubric pending)",IF($AA43&gt;=cfgPTFinalMinPoints,"Yes","No"))))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22" t="n"/>
      <c r="U44" s="22" t="n"/>
      <c r="V44" s="22" t="n"/>
      <c r="W44" s="22" t="n"/>
      <c r="X44" s="22" t="n"/>
      <c r="Y44" s="22" t="n"/>
      <c r="Z44" s="22" t="n"/>
      <c r="AA44" s="17">
        <f>IF($B44="","",IF(COUNT(T44:Z44)=0,"",SUM(T44:Z44)))</f>
        <v/>
      </c>
      <c r="AB44" s="17">
        <f>IF($B44="","",IF($AA44="","",IF(cfgPTFinalMinPoints=0,"(rubric pending)",IF($AA44&gt;=cfgPTFinalMinPoints,"Yes","No"))))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22" t="n"/>
      <c r="U45" s="22" t="n"/>
      <c r="V45" s="22" t="n"/>
      <c r="W45" s="22" t="n"/>
      <c r="X45" s="22" t="n"/>
      <c r="Y45" s="22" t="n"/>
      <c r="Z45" s="22" t="n"/>
      <c r="AA45" s="17">
        <f>IF($B45="","",IF(COUNT(T45:Z45)=0,"",SUM(T45:Z45)))</f>
        <v/>
      </c>
      <c r="AB45" s="17">
        <f>IF($B45="","",IF($AA45="","",IF(cfgPTFinalMinPoints=0,"(rubric pending)",IF($AA45&gt;=cfgPTFinalMinPoints,"Yes","No"))))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22" t="n"/>
      <c r="U46" s="22" t="n"/>
      <c r="V46" s="22" t="n"/>
      <c r="W46" s="22" t="n"/>
      <c r="X46" s="22" t="n"/>
      <c r="Y46" s="22" t="n"/>
      <c r="Z46" s="22" t="n"/>
      <c r="AA46" s="17">
        <f>IF($B46="","",IF(COUNT(T46:Z46)=0,"",SUM(T46:Z46)))</f>
        <v/>
      </c>
      <c r="AB46" s="17">
        <f>IF($B46="","",IF($AA46="","",IF(cfgPTFinalMinPoints=0,"(rubric pending)",IF($AA46&gt;=cfgPTFinalMinPoints,"Yes","No"))))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22" t="n"/>
      <c r="U47" s="22" t="n"/>
      <c r="V47" s="22" t="n"/>
      <c r="W47" s="22" t="n"/>
      <c r="X47" s="22" t="n"/>
      <c r="Y47" s="22" t="n"/>
      <c r="Z47" s="22" t="n"/>
      <c r="AA47" s="17">
        <f>IF($B47="","",IF(COUNT(T47:Z47)=0,"",SUM(T47:Z47)))</f>
        <v/>
      </c>
      <c r="AB47" s="17">
        <f>IF($B47="","",IF($AA47="","",IF(cfgPTFinalMinPoints=0,"(rubric pending)",IF($AA47&gt;=cfgPTFinalMinPoints,"Yes","No"))))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22" t="n"/>
      <c r="U48" s="22" t="n"/>
      <c r="V48" s="22" t="n"/>
      <c r="W48" s="22" t="n"/>
      <c r="X48" s="22" t="n"/>
      <c r="Y48" s="22" t="n"/>
      <c r="Z48" s="22" t="n"/>
      <c r="AA48" s="17">
        <f>IF($B48="","",IF(COUNT(T48:Z48)=0,"",SUM(T48:Z48)))</f>
        <v/>
      </c>
      <c r="AB48" s="17">
        <f>IF($B48="","",IF($AA48="","",IF(cfgPTFinalMinPoints=0,"(rubric pending)",IF($AA48&gt;=cfgPTFinalMinPoints,"Yes","No"))))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22" t="n"/>
      <c r="U49" s="22" t="n"/>
      <c r="V49" s="22" t="n"/>
      <c r="W49" s="22" t="n"/>
      <c r="X49" s="22" t="n"/>
      <c r="Y49" s="22" t="n"/>
      <c r="Z49" s="22" t="n"/>
      <c r="AA49" s="17">
        <f>IF($B49="","",IF(COUNT(T49:Z49)=0,"",SUM(T49:Z49)))</f>
        <v/>
      </c>
      <c r="AB49" s="17">
        <f>IF($B49="","",IF($AA49="","",IF(cfgPTFinalMinPoints=0,"(rubric pending)",IF($AA49&gt;=cfgPTFinalMinPoints,"Yes","No"))))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22" t="n"/>
      <c r="U50" s="22" t="n"/>
      <c r="V50" s="22" t="n"/>
      <c r="W50" s="22" t="n"/>
      <c r="X50" s="22" t="n"/>
      <c r="Y50" s="22" t="n"/>
      <c r="Z50" s="22" t="n"/>
      <c r="AA50" s="17">
        <f>IF($B50="","",IF(COUNT(T50:Z50)=0,"",SUM(T50:Z50)))</f>
        <v/>
      </c>
      <c r="AB50" s="17">
        <f>IF($B50="","",IF($AA50="","",IF(cfgPTFinalMinPoints=0,"(rubric pending)",IF($AA50&gt;=cfgPTFinalMinPoints,"Yes","No"))))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22" t="n"/>
      <c r="U51" s="22" t="n"/>
      <c r="V51" s="22" t="n"/>
      <c r="W51" s="22" t="n"/>
      <c r="X51" s="22" t="n"/>
      <c r="Y51" s="22" t="n"/>
      <c r="Z51" s="22" t="n"/>
      <c r="AA51" s="17">
        <f>IF($B51="","",IF(COUNT(T51:Z51)=0,"",SUM(T51:Z51)))</f>
        <v/>
      </c>
      <c r="AB51" s="17">
        <f>IF($B51="","",IF($AA51="","",IF(cfgPTFinalMinPoints=0,"(rubric pending)",IF($AA51&gt;=cfgPTFinalMinPoints,"Yes","No"))))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22" t="n"/>
      <c r="U52" s="22" t="n"/>
      <c r="V52" s="22" t="n"/>
      <c r="W52" s="22" t="n"/>
      <c r="X52" s="22" t="n"/>
      <c r="Y52" s="22" t="n"/>
      <c r="Z52" s="22" t="n"/>
      <c r="AA52" s="17">
        <f>IF($B52="","",IF(COUNT(T52:Z52)=0,"",SUM(T52:Z52)))</f>
        <v/>
      </c>
      <c r="AB52" s="17">
        <f>IF($B52="","",IF($AA52="","",IF(cfgPTFinalMinPoints=0,"(rubric pending)",IF($AA52&gt;=cfgPTFinalMinPoints,"Yes","No"))))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22" t="n"/>
      <c r="U53" s="22" t="n"/>
      <c r="V53" s="22" t="n"/>
      <c r="W53" s="22" t="n"/>
      <c r="X53" s="22" t="n"/>
      <c r="Y53" s="22" t="n"/>
      <c r="Z53" s="22" t="n"/>
      <c r="AA53" s="17">
        <f>IF($B53="","",IF(COUNT(T53:Z53)=0,"",SUM(T53:Z53)))</f>
        <v/>
      </c>
      <c r="AB53" s="17">
        <f>IF($B53="","",IF($AA53="","",IF(cfgPTFinalMinPoints=0,"(rubric pending)",IF($AA53&gt;=cfgPTFinalMinPoints,"Yes","No"))))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22" t="n"/>
      <c r="U54" s="22" t="n"/>
      <c r="V54" s="22" t="n"/>
      <c r="W54" s="22" t="n"/>
      <c r="X54" s="22" t="n"/>
      <c r="Y54" s="22" t="n"/>
      <c r="Z54" s="22" t="n"/>
      <c r="AA54" s="17">
        <f>IF($B54="","",IF(COUNT(T54:Z54)=0,"",SUM(T54:Z54)))</f>
        <v/>
      </c>
      <c r="AB54" s="17">
        <f>IF($B54="","",IF($AA54="","",IF(cfgPTFinalMinPoints=0,"(rubric pending)",IF($AA54&gt;=cfgPTFinalMinPoints,"Yes","No"))))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22" t="n"/>
      <c r="U55" s="22" t="n"/>
      <c r="V55" s="22" t="n"/>
      <c r="W55" s="22" t="n"/>
      <c r="X55" s="22" t="n"/>
      <c r="Y55" s="22" t="n"/>
      <c r="Z55" s="22" t="n"/>
      <c r="AA55" s="17">
        <f>IF($B55="","",IF(COUNT(T55:Z55)=0,"",SUM(T55:Z55)))</f>
        <v/>
      </c>
      <c r="AB55" s="17">
        <f>IF($B55="","",IF($AA55="","",IF(cfgPTFinalMinPoints=0,"(rubric pending)",IF($AA55&gt;=cfgPTFinalMinPoints,"Yes","No"))))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2">
      <formula>"Yes"</formula>
    </cfRule>
    <cfRule type="cellIs" priority="2" operator="equal" dxfId="0">
      <formula>"No"</formula>
    </cfRule>
  </conditionalFormatting>
  <conditionalFormatting sqref="K6:K55">
    <cfRule type="cellIs" priority="3" operator="equal" dxfId="2">
      <formula>"Yes"</formula>
    </cfRule>
    <cfRule type="cellIs" priority="4" operator="equal" dxfId="0">
      <formula>"No"</formula>
    </cfRule>
  </conditionalFormatting>
  <conditionalFormatting sqref="B6:AC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3">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U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2">
      <formula>"Yes"</formula>
    </cfRule>
    <cfRule type="cellIs" priority="2" operator="equal" dxfId="0">
      <formula>"No"</formula>
    </cfRule>
  </conditionalFormatting>
  <conditionalFormatting sqref="B6:U55">
    <cfRule type="expression" priority="3"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0">
      <formula>LEFT($K6,6)="FAILED"</formula>
    </cfRule>
    <cfRule type="expression" priority="2" dxfId="2">
      <formula>LEFT($K6,6)="PASSED"</formula>
    </cfRule>
  </conditionalFormatting>
  <conditionalFormatting sqref="B6:L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3" t="n"/>
    </row>
    <row r="7">
      <c r="B7" s="3" t="inlineStr">
        <is>
          <t>Board minutes reviewed for this academy?</t>
        </is>
      </c>
      <c r="D7" s="16" t="n"/>
      <c r="E7" s="23" t="n"/>
    </row>
    <row r="8">
      <c r="B8" s="3" t="inlineStr">
        <is>
          <t>Rules/procedures aligned in this workbook?</t>
        </is>
      </c>
      <c r="D8" s="16" t="n"/>
      <c r="E8" s="23" t="n"/>
    </row>
    <row r="9">
      <c r="B9" s="3" t="inlineStr">
        <is>
          <t>Reviewed by / date</t>
        </is>
      </c>
      <c r="D9" s="16" t="n"/>
      <c r="E9" s="23" t="n"/>
    </row>
    <row r="10"/>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E12" s="16" t="n"/>
      <c r="F12" s="24" t="n"/>
      <c r="H12" s="16" t="n"/>
      <c r="I12" s="18" t="n"/>
    </row>
    <row r="13">
      <c r="B13" s="18" t="n"/>
      <c r="C13" s="16" t="n"/>
      <c r="E13" s="16" t="n"/>
      <c r="F13" s="24" t="n"/>
      <c r="H13" s="16" t="n"/>
      <c r="I13" s="18" t="n"/>
    </row>
    <row r="14">
      <c r="B14" s="18" t="n"/>
      <c r="C14" s="16" t="n"/>
      <c r="E14" s="16" t="n"/>
      <c r="F14" s="24" t="n"/>
      <c r="H14" s="16" t="n"/>
      <c r="I14" s="18" t="n"/>
    </row>
    <row r="15">
      <c r="B15" s="18" t="n"/>
      <c r="C15" s="16" t="n"/>
      <c r="E15" s="16" t="n"/>
      <c r="F15" s="24" t="n"/>
      <c r="H15" s="16" t="n"/>
      <c r="I15" s="18" t="n"/>
    </row>
    <row r="16">
      <c r="B16" s="18" t="n"/>
      <c r="C16" s="16" t="n"/>
      <c r="E16" s="16" t="n"/>
      <c r="F16" s="24" t="n"/>
      <c r="H16" s="16" t="n"/>
      <c r="I16" s="18" t="n"/>
    </row>
    <row r="17">
      <c r="B17" s="18" t="n"/>
      <c r="C17" s="16" t="n"/>
      <c r="E17" s="16" t="n"/>
      <c r="F17" s="24" t="n"/>
      <c r="H17" s="16" t="n"/>
      <c r="I17" s="18" t="n"/>
    </row>
    <row r="18">
      <c r="B18" s="18" t="n"/>
      <c r="C18" s="16" t="n"/>
      <c r="E18" s="16" t="n"/>
      <c r="F18" s="24" t="n"/>
      <c r="H18" s="16" t="n"/>
      <c r="I18" s="18" t="n"/>
    </row>
    <row r="19">
      <c r="B19" s="18" t="n"/>
      <c r="C19" s="16" t="n"/>
      <c r="E19" s="16" t="n"/>
      <c r="F19" s="24" t="n"/>
      <c r="H19" s="16" t="n"/>
      <c r="I19" s="18" t="n"/>
    </row>
    <row r="20">
      <c r="B20" s="18" t="n"/>
      <c r="C20" s="16" t="n"/>
      <c r="E20" s="16" t="n"/>
      <c r="F20" s="24" t="n"/>
      <c r="H20" s="16" t="n"/>
      <c r="I20" s="18" t="n"/>
    </row>
    <row r="21">
      <c r="B21" s="18" t="n"/>
      <c r="C21" s="16" t="n"/>
      <c r="E21" s="16" t="n"/>
      <c r="F21" s="24" t="n"/>
      <c r="H21" s="16" t="n"/>
      <c r="I21" s="18" t="n"/>
    </row>
    <row r="22">
      <c r="B22" s="18" t="n"/>
      <c r="C22" s="16" t="n"/>
      <c r="E22" s="16" t="n"/>
      <c r="F22" s="24" t="n"/>
      <c r="H22" s="16" t="n"/>
      <c r="I22" s="18" t="n"/>
    </row>
    <row r="23">
      <c r="B23" s="18" t="n"/>
      <c r="C23" s="16" t="n"/>
      <c r="E23" s="16" t="n"/>
      <c r="F23" s="24" t="n"/>
      <c r="H23" s="16" t="n"/>
      <c r="I23" s="18" t="n"/>
    </row>
    <row r="24">
      <c r="B24" s="18" t="n"/>
      <c r="C24" s="16" t="n"/>
      <c r="E24" s="16" t="n"/>
      <c r="F24" s="24" t="n"/>
      <c r="H24" s="16" t="n"/>
      <c r="I24" s="18" t="n"/>
    </row>
    <row r="25">
      <c r="B25" s="18" t="n"/>
      <c r="C25" s="16" t="n"/>
      <c r="E25" s="16" t="n"/>
      <c r="F25" s="24" t="n"/>
      <c r="H25" s="16" t="n"/>
      <c r="I25" s="18" t="n"/>
    </row>
    <row r="26">
      <c r="B26" s="18" t="n"/>
      <c r="C26" s="16" t="n"/>
      <c r="E26" s="16" t="n"/>
      <c r="F26" s="24" t="n"/>
      <c r="H26" s="16" t="n"/>
      <c r="I26" s="18" t="n"/>
    </row>
    <row r="27">
      <c r="B27" s="18" t="n"/>
      <c r="C27" s="16" t="n"/>
      <c r="E27" s="16" t="n"/>
      <c r="F27" s="24" t="n"/>
      <c r="H27" s="16" t="n"/>
      <c r="I27" s="18" t="n"/>
    </row>
    <row r="28">
      <c r="B28" s="18" t="n"/>
      <c r="C28" s="16" t="n"/>
      <c r="E28" s="16" t="n"/>
      <c r="F28" s="24" t="n"/>
      <c r="H28" s="16" t="n"/>
      <c r="I28" s="18" t="n"/>
    </row>
    <row r="29">
      <c r="B29" s="18" t="n"/>
      <c r="C29" s="16" t="n"/>
      <c r="E29" s="16" t="n"/>
      <c r="F29" s="24" t="n"/>
      <c r="H29" s="16" t="n"/>
      <c r="I29" s="18" t="n"/>
    </row>
    <row r="30">
      <c r="B30" s="18" t="n"/>
      <c r="C30" s="16" t="n"/>
      <c r="E30" s="16" t="n"/>
      <c r="F30" s="24" t="n"/>
      <c r="H30" s="16" t="n"/>
      <c r="I30" s="18" t="n"/>
    </row>
    <row r="31">
      <c r="B31" s="18" t="n"/>
      <c r="C31" s="16" t="n"/>
      <c r="E31" s="16" t="n"/>
      <c r="F31" s="24" t="n"/>
      <c r="H31" s="16" t="n"/>
      <c r="I31" s="18" t="n"/>
    </row>
    <row r="32">
      <c r="B32" s="18" t="n"/>
      <c r="C32" s="16" t="n"/>
      <c r="E32" s="16" t="n"/>
      <c r="F32" s="24" t="n"/>
      <c r="H32" s="16" t="n"/>
      <c r="I32" s="18" t="n"/>
    </row>
    <row r="33">
      <c r="B33" s="18" t="n"/>
      <c r="C33" s="16" t="n"/>
      <c r="E33" s="16" t="n"/>
      <c r="F33" s="24" t="n"/>
      <c r="H33" s="16" t="n"/>
      <c r="I33" s="18" t="n"/>
    </row>
    <row r="34">
      <c r="B34" s="18" t="n"/>
      <c r="C34" s="16" t="n"/>
      <c r="E34" s="16" t="n"/>
      <c r="F34" s="24" t="n"/>
      <c r="H34" s="16" t="n"/>
      <c r="I34" s="18" t="n"/>
    </row>
    <row r="35">
      <c r="B35" s="18" t="n"/>
      <c r="C35" s="16" t="n"/>
      <c r="E35" s="16" t="n"/>
      <c r="F35" s="24" t="n"/>
      <c r="H35" s="16" t="n"/>
      <c r="I35" s="18" t="n"/>
    </row>
    <row r="36">
      <c r="B36" s="18" t="n"/>
      <c r="C36" s="16" t="n"/>
      <c r="E36" s="16" t="n"/>
      <c r="F36" s="24" t="n"/>
      <c r="H36" s="16" t="n"/>
      <c r="I36" s="18" t="n"/>
    </row>
    <row r="37">
      <c r="B37" s="18" t="n"/>
      <c r="C37" s="16" t="n"/>
      <c r="E37" s="16" t="n"/>
      <c r="F37" s="24" t="n"/>
      <c r="H37" s="16" t="n"/>
      <c r="I37" s="18" t="n"/>
    </row>
    <row r="38">
      <c r="B38" s="18" t="n"/>
      <c r="C38" s="16" t="n"/>
      <c r="E38" s="16" t="n"/>
      <c r="F38" s="24" t="n"/>
      <c r="H38" s="16" t="n"/>
      <c r="I38" s="18" t="n"/>
    </row>
    <row r="39">
      <c r="B39" s="18" t="n"/>
      <c r="C39" s="16" t="n"/>
      <c r="E39" s="16" t="n"/>
      <c r="F39" s="24" t="n"/>
      <c r="H39" s="16" t="n"/>
      <c r="I39" s="18" t="n"/>
    </row>
    <row r="40">
      <c r="B40" s="18" t="n"/>
      <c r="C40" s="16" t="n"/>
      <c r="E40" s="16" t="n"/>
      <c r="F40" s="24" t="n"/>
      <c r="H40" s="16" t="n"/>
      <c r="I40" s="18" t="n"/>
    </row>
    <row r="41">
      <c r="B41" s="18" t="n"/>
      <c r="C41" s="16" t="n"/>
      <c r="E41" s="16" t="n"/>
      <c r="F41" s="24"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O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row>
    <row r="6">
      <c r="B6" s="17">
        <f>IF($C6="","","R"&amp;TEXT(ROW()-5,"000"))</f>
        <v/>
      </c>
      <c r="C6" s="16" t="n"/>
      <c r="D6" s="17">
        <f>IF($C6="","",IFERROR(INDEX(rngCadetPIDs,MATCH($C6,rngCadetNames,0)),"?"))</f>
        <v/>
      </c>
      <c r="E6" s="16" t="n"/>
      <c r="F6" s="16" t="n"/>
      <c r="G6" s="18" t="n"/>
      <c r="H6" s="16" t="n"/>
      <c r="I6" s="18" t="n"/>
      <c r="J6" s="16" t="n"/>
      <c r="K6" s="16" t="n"/>
      <c r="L6" s="18" t="n"/>
      <c r="M6" s="16" t="n"/>
      <c r="N6" s="16" t="n"/>
      <c r="O6" s="16" t="n"/>
    </row>
    <row r="7">
      <c r="B7" s="17">
        <f>IF($C7="","","R"&amp;TEXT(ROW()-5,"000"))</f>
        <v/>
      </c>
      <c r="C7" s="16" t="n"/>
      <c r="D7" s="17">
        <f>IF($C7="","",IFERROR(INDEX(rngCadetPIDs,MATCH($C7,rngCadetNames,0)),"?"))</f>
        <v/>
      </c>
      <c r="E7" s="16" t="n"/>
      <c r="F7" s="16" t="n"/>
      <c r="G7" s="18" t="n"/>
      <c r="H7" s="16" t="n"/>
      <c r="I7" s="18" t="n"/>
      <c r="J7" s="16" t="n"/>
      <c r="K7" s="16" t="n"/>
      <c r="L7" s="18" t="n"/>
      <c r="M7" s="16" t="n"/>
      <c r="N7" s="16" t="n"/>
      <c r="O7" s="16" t="n"/>
    </row>
    <row r="8">
      <c r="B8" s="17">
        <f>IF($C8="","","R"&amp;TEXT(ROW()-5,"000"))</f>
        <v/>
      </c>
      <c r="C8" s="16" t="n"/>
      <c r="D8" s="17">
        <f>IF($C8="","",IFERROR(INDEX(rngCadetPIDs,MATCH($C8,rngCadetNames,0)),"?"))</f>
        <v/>
      </c>
      <c r="E8" s="16" t="n"/>
      <c r="F8" s="16" t="n"/>
      <c r="G8" s="18" t="n"/>
      <c r="H8" s="16" t="n"/>
      <c r="I8" s="18" t="n"/>
      <c r="J8" s="16" t="n"/>
      <c r="K8" s="16" t="n"/>
      <c r="L8" s="18" t="n"/>
      <c r="M8" s="16" t="n"/>
      <c r="N8" s="16" t="n"/>
      <c r="O8" s="16" t="n"/>
    </row>
    <row r="9">
      <c r="B9" s="17">
        <f>IF($C9="","","R"&amp;TEXT(ROW()-5,"000"))</f>
        <v/>
      </c>
      <c r="C9" s="16" t="n"/>
      <c r="D9" s="17">
        <f>IF($C9="","",IFERROR(INDEX(rngCadetPIDs,MATCH($C9,rngCadetNames,0)),"?"))</f>
        <v/>
      </c>
      <c r="E9" s="16" t="n"/>
      <c r="F9" s="16" t="n"/>
      <c r="G9" s="18" t="n"/>
      <c r="H9" s="16" t="n"/>
      <c r="I9" s="18" t="n"/>
      <c r="J9" s="16" t="n"/>
      <c r="K9" s="16" t="n"/>
      <c r="L9" s="18" t="n"/>
      <c r="M9" s="16" t="n"/>
      <c r="N9" s="16" t="n"/>
      <c r="O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row>
  </sheetData>
  <autoFilter ref="B5:O5"/>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row>
    <row r="56"/>
    <row r="57">
      <c r="C57" s="3" t="inlineStr">
        <is>
          <t>Class average:</t>
        </is>
      </c>
      <c r="D57" s="20">
        <f>IF(D5="","",IFERROR(ROUND(AVERAGEIFS(nrES_Rec,nrES_Code,D5,nrES_Final,"Yes"),1),""))</f>
        <v/>
      </c>
      <c r="E57" s="20">
        <f>IF(E5="","",IFERROR(ROUND(AVERAGEIFS(nrES_Rec,nrES_Code,E5,nrES_Final,"Yes"),1),""))</f>
        <v/>
      </c>
      <c r="F57" s="20">
        <f>IF(F5="","",IFERROR(ROUND(AVERAGEIFS(nrES_Rec,nrES_Code,F5,nrES_Final,"Yes"),1),""))</f>
        <v/>
      </c>
      <c r="G57" s="20">
        <f>IF(G5="","",IFERROR(ROUND(AVERAGEIFS(nrES_Rec,nrES_Code,G5,nrES_Final,"Yes"),1),""))</f>
        <v/>
      </c>
      <c r="H57" s="20">
        <f>IF(H5="","",IFERROR(ROUND(AVERAGEIFS(nrES_Rec,nrES_Code,H5,nrES_Final,"Yes"),1),""))</f>
        <v/>
      </c>
      <c r="I57" s="20">
        <f>IF(I5="","",IFERROR(ROUND(AVERAGEIFS(nrES_Rec,nrES_Code,I5,nrES_Final,"Yes"),1),""))</f>
        <v/>
      </c>
      <c r="J57" s="20">
        <f>IF(J5="","",IFERROR(ROUND(AVERAGEIFS(nrES_Rec,nrES_Code,J5,nrES_Final,"Yes"),1),""))</f>
        <v/>
      </c>
      <c r="K57" s="20">
        <f>IF(K5="","",IFERROR(ROUND(AVERAGEIFS(nrES_Rec,nrES_Code,K5,nrES_Final,"Yes"),1),""))</f>
        <v/>
      </c>
      <c r="L57" s="20">
        <f>IF(L5="","",IFERROR(ROUND(AVERAGEIFS(nrES_Rec,nrES_Code,L5,nrES_Final,"Yes"),1),""))</f>
        <v/>
      </c>
      <c r="M57" s="20">
        <f>IF(M5="","",IFERROR(ROUND(AVERAGEIFS(nrES_Rec,nrES_Code,M5,nrES_Final,"Yes"),1),""))</f>
        <v/>
      </c>
      <c r="N57" s="20">
        <f>IF(N5="","",IFERROR(ROUND(AVERAGEIFS(nrES_Rec,nrES_Code,N5,nrES_Final,"Yes"),1),""))</f>
        <v/>
      </c>
      <c r="O57" s="20">
        <f>IF(O5="","",IFERROR(ROUND(AVERAGEIFS(nrES_Rec,nrES_Code,O5,nrES_Final,"Yes"),1),""))</f>
        <v/>
      </c>
      <c r="P57" s="20">
        <f>IF(P5="","",IFERROR(ROUND(AVERAGEIFS(nrES_Rec,nrES_Code,P5,nrES_Final,"Yes"),1),""))</f>
        <v/>
      </c>
      <c r="Q57" s="20">
        <f>IF(Q5="","",IFERROR(ROUND(AVERAGEIFS(nrES_Rec,nrES_Code,Q5,nrES_Final,"Yes"),1),""))</f>
        <v/>
      </c>
      <c r="R57" s="20">
        <f>IF(R5="","",IFERROR(ROUND(AVERAGEIFS(nrES_Rec,nrES_Code,R5,nrES_Final,"Yes"),1),""))</f>
        <v/>
      </c>
      <c r="S57" s="20">
        <f>IF(S5="","",IFERROR(ROUND(AVERAGEIFS(nrES_Rec,nrES_Code,S5,nrES_Final,"Yes"),1),""))</f>
        <v/>
      </c>
      <c r="T57" s="20">
        <f>IF(T5="","",IFERROR(ROUND(AVERAGEIFS(nrES_Rec,nrES_Code,T5,nrES_Final,"Yes"),1),""))</f>
        <v/>
      </c>
      <c r="U57" s="20">
        <f>IF(U5="","",IFERROR(ROUND(AVERAGEIFS(nrES_Rec,nrES_Code,U5,nrES_Final,"Yes"),1),""))</f>
        <v/>
      </c>
      <c r="V57" s="20">
        <f>IF(V5="","",IFERROR(ROUND(AVERAGEIFS(nrES_Rec,nrES_Code,V5,nrES_Final,"Yes"),1),""))</f>
        <v/>
      </c>
      <c r="W57" s="20">
        <f>IF(W5="","",IFERROR(ROUND(AVERAGEIFS(nrES_Rec,nrES_Code,W5,nrES_Final,"Yes"),1),""))</f>
        <v/>
      </c>
      <c r="X57" s="20">
        <f>IF(X5="","",IFERROR(ROUND(AVERAGEIFS(nrES_Rec,nrES_Code,X5,nrES_Final,"Yes"),1),""))</f>
        <v/>
      </c>
      <c r="Y57" s="20">
        <f>IF(Y5="","",IFERROR(ROUND(AVERAGEIFS(nrES_Rec,nrES_Code,Y5,nrES_Final,"Yes"),1),""))</f>
        <v/>
      </c>
      <c r="Z57" s="20">
        <f>IF(Z5="","",IFERROR(ROUND(AVERAGEIFS(nrES_Rec,nrES_Code,Z5,nrES_Final,"Yes"),1),""))</f>
        <v/>
      </c>
      <c r="AA57" s="20">
        <f>IF(AA5="","",IFERROR(ROUND(AVERAGEIFS(nrES_Rec,nrES_Code,AA5,nrES_Final,"Yes"),1),""))</f>
        <v/>
      </c>
      <c r="AB57" s="20">
        <f>IF(AB5="","",IFERROR(ROUND(AVERAGEIFS(nrES_Rec,nrES_Code,AB5,nrES_Final,"Yes"),1),""))</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AND(D6&lt;&gt;"",ISNUMBER(D6),D6&lt;IFERROR(INDEX(rngEPpass,MATCH(D$5,rngEPcode,0)),cfgPassingScore))</formula>
    </cfRule>
  </conditionalFormatting>
  <conditionalFormatting sqref="B6:AC55">
    <cfRule type="expression" priority="2" dxfId="1">
      <formula>AND(Cadets!$B6&lt;&gt;"",Cadets!$I6&lt;&gt;"Active")</formula>
    </cfRule>
  </conditionalFormatting>
  <pageMargins left="0.75" right="0.75" top="1" bottom="1" header="0.5" footer="0.5"/>
</worksheet>
</file>

<file path=xl/worksheets/sheet23.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5" t="n"/>
      <c r="D5" s="26" t="n"/>
      <c r="E5" s="23"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_xlfn._xlws.FILTER(nrIN_Date,(nrIN_PID&lt;&gt;"")*(nrIN_PID=_xlfn.XLOOKUP(cfgProfileCadet,rngCadetNames,rngCadetPIDs,""))),-1),10),"none")</f>
        <v/>
      </c>
    </row>
    <row r="28"/>
    <row r="29"/>
    <row r="30"/>
    <row r="31"/>
    <row r="32"/>
    <row r="33"/>
    <row r="34"/>
    <row r="35"/>
    <row r="36"/>
    <row r="37"/>
    <row r="38">
      <c r="B38">
        <f>IFERROR(_xlfn.TAKE(_xlfn.SORTBY(_xlfn._xlws.FILTER(_xlfn.HSTACK(TEXT(nrCO_Date,"mm/dd/yyyy"),nrCO_Type,nrCO_Desc),(nrCO_PID&lt;&gt;"")*(nrCO_PID=_xlfn.XLOOKUP(cfgProfileCadet,rngCadetNames,rngCadetPIDs,""))),_xlfn._xlws.FILTER(nrCO_Date,(nrCO_PID&lt;&gt;"")*(nrCO_PID=_xlfn.XLOOKUP(cfgProfileCadet,rngCadetNames,rngCadetPIDs,""))),-1),10),"none")</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_xlfn._xlws.FILTER(nrAT_Date,(nrAT_PID&lt;&gt;"")*(nrAT_PID=_xlfn.XLOOKUP(cfgProfileCadet,rngCadetNames,rngCadetPIDs,""))),-1),10),"none")</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_xlfn._xlws.FILTER(Makeup!$C$6:$C$505,(nrMK_PID&lt;&gt;"")*(nrMK_PID=_xlfn.XLOOKUP(cfgProfileCadet,rngCadetNames,rngCadetPIDs,""))),-1),10),"no makeup entries")</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_xlfn._xlws.FILTER(nrAT_Date,(nrAT_PID=_xlfn.XLOOKUP(cfgProfileCadet,rngCadetNames,rngCadetPIDs,""))*(nrAT_Cleared="OPEN")),-1),6),"all missed time cleared")</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IFERROR(_xlfn.TAKE(_xlfn._xlws.FILTER(_xlfn.HSTACK(Memos!$B$6:$B$305,TEXT(nrME_Assigned,"mm/dd"),nrME_Subject,TEXT(nrME_Due,"mm/dd"),nrME_Status),(nrME_PID=_xlfn.XLOOKUP(cfgProfileCadet,rngCadetNames,rngCadetPIDs,""))*(nrME_Cadet&lt;&gt;"")*(nrME_Received="")),7),"none outstanding")</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5" t="n"/>
      <c r="D5" s="26" t="n"/>
      <c r="E5" s="23"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54" customWidth="1" min="16" max="16"/>
  </cols>
  <sheetData>
    <row r="1">
      <c r="B1" s="10">
        <f>HYPERLINK("#Dashboard!B5","◄ Dashboard")</f>
        <v/>
      </c>
    </row>
    <row r="2"/>
    <row r="3"/>
    <row r="4">
      <c r="B4" s="11" t="inlineStr">
        <is>
          <t>The final gate before the ceremony — columns Academic through Certs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ELIGIBLE</t>
        </is>
      </c>
      <c r="P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IF($B6="","",sysChecks!$N6)</f>
        <v/>
      </c>
      <c r="P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IF($B7="","",sysChecks!$N7)</f>
        <v/>
      </c>
      <c r="P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IF($B8="","",sysChecks!$N8)</f>
        <v/>
      </c>
      <c r="P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IF($B9="","",sysChecks!$N9)</f>
        <v/>
      </c>
      <c r="P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IF($B10="","",sysChecks!$N10)</f>
        <v/>
      </c>
      <c r="P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IF($B11="","",sysChecks!$N11)</f>
        <v/>
      </c>
      <c r="P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IF($B12="","",sysChecks!$N12)</f>
        <v/>
      </c>
      <c r="P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IF($B13="","",sysChecks!$N13)</f>
        <v/>
      </c>
      <c r="P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IF($B14="","",sysChecks!$N14)</f>
        <v/>
      </c>
      <c r="P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IF($B15="","",sysChecks!$N15)</f>
        <v/>
      </c>
      <c r="P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IF($B16="","",sysChecks!$N16)</f>
        <v/>
      </c>
      <c r="P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IF($B17="","",sysChecks!$N17)</f>
        <v/>
      </c>
      <c r="P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IF($B18="","",sysChecks!$N18)</f>
        <v/>
      </c>
      <c r="P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IF($B19="","",sysChecks!$N19)</f>
        <v/>
      </c>
      <c r="P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IF($B20="","",sysChecks!$N20)</f>
        <v/>
      </c>
      <c r="P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IF($B21="","",sysChecks!$N21)</f>
        <v/>
      </c>
      <c r="P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IF($B22="","",sysChecks!$N22)</f>
        <v/>
      </c>
      <c r="P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IF($B23="","",sysChecks!$N23)</f>
        <v/>
      </c>
      <c r="P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IF($B24="","",sysChecks!$N24)</f>
        <v/>
      </c>
      <c r="P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IF($B25="","",sysChecks!$N25)</f>
        <v/>
      </c>
      <c r="P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IF($B26="","",sysChecks!$N26)</f>
        <v/>
      </c>
      <c r="P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IF($B27="","",sysChecks!$N27)</f>
        <v/>
      </c>
      <c r="P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IF($B28="","",sysChecks!$N28)</f>
        <v/>
      </c>
      <c r="P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IF($B29="","",sysChecks!$N29)</f>
        <v/>
      </c>
      <c r="P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IF($B30="","",sysChecks!$N30)</f>
        <v/>
      </c>
      <c r="P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IF($B31="","",sysChecks!$N31)</f>
        <v/>
      </c>
      <c r="P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IF($B32="","",sysChecks!$N32)</f>
        <v/>
      </c>
      <c r="P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IF($B33="","",sysChecks!$N33)</f>
        <v/>
      </c>
      <c r="P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IF($B34="","",sysChecks!$N34)</f>
        <v/>
      </c>
      <c r="P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IF($B35="","",sysChecks!$N35)</f>
        <v/>
      </c>
      <c r="P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IF($B36="","",sysChecks!$N36)</f>
        <v/>
      </c>
      <c r="P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IF($B37="","",sysChecks!$N37)</f>
        <v/>
      </c>
      <c r="P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IF($B38="","",sysChecks!$N38)</f>
        <v/>
      </c>
      <c r="P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IF($B39="","",sysChecks!$N39)</f>
        <v/>
      </c>
      <c r="P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IF($B40="","",sysChecks!$N40)</f>
        <v/>
      </c>
      <c r="P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IF($B41="","",sysChecks!$N41)</f>
        <v/>
      </c>
      <c r="P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IF($B42="","",sysChecks!$N42)</f>
        <v/>
      </c>
      <c r="P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IF($B43="","",sysChecks!$N43)</f>
        <v/>
      </c>
      <c r="P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IF($B44="","",sysChecks!$N44)</f>
        <v/>
      </c>
      <c r="P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IF($B45="","",sysChecks!$N45)</f>
        <v/>
      </c>
      <c r="P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IF($B46="","",sysChecks!$N46)</f>
        <v/>
      </c>
      <c r="P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IF($B47="","",sysChecks!$N47)</f>
        <v/>
      </c>
      <c r="P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IF($B48="","",sysChecks!$N48)</f>
        <v/>
      </c>
      <c r="P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IF($B49="","",sysChecks!$N49)</f>
        <v/>
      </c>
      <c r="P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IF($B50="","",sysChecks!$N50)</f>
        <v/>
      </c>
      <c r="P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IF($B51="","",sysChecks!$N51)</f>
        <v/>
      </c>
      <c r="P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IF($B52="","",sysChecks!$N52)</f>
        <v/>
      </c>
      <c r="P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IF($B53="","",sysChecks!$N53)</f>
        <v/>
      </c>
      <c r="P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IF($B54="","",sysChecks!$N54)</f>
        <v/>
      </c>
      <c r="P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IF($B55="","",sysChecks!$N55)</f>
        <v/>
      </c>
      <c r="P55" s="17">
        <f>IF($B55="","",sysChecks!$O55)</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O55">
    <cfRule type="cellIs" priority="1" operator="equal" dxfId="2">
      <formula>"Yes"</formula>
    </cfRule>
    <cfRule type="cellIs" priority="2" operator="equal" dxfId="0">
      <formula>"No"</formula>
    </cfRule>
    <cfRule type="expression" priority="3" dxfId="0">
      <formula>AND(E6&lt;&gt;"",E6&lt;&gt;"Yes")</formula>
    </cfRule>
  </conditionalFormatting>
  <conditionalFormatting sqref="B6:P55">
    <cfRule type="expression" priority="4" dxfId="1">
      <formula>AND(Cadets!$B6&lt;&gt;"",Cadets!$I6&lt;&gt;"Active")</formula>
    </cfRule>
  </conditionalFormatting>
  <pageMargins left="0.75" right="0.75" top="1" bottom="1" header="0.5" footer="0.5"/>
  <pageSetup orientation="landscape" fitToHeight="0" fitToWidth="1"/>
</worksheet>
</file>

<file path=xl/worksheets/sheet28.xml><?xml version="1.0" encoding="utf-8"?>
<worksheet xmlns="http://schemas.openxmlformats.org/spreadsheetml/2006/main">
  <sheetPr>
    <tabColor rgb="001E7145"/>
    <outlinePr summaryBelow="1" summaryRight="1"/>
    <pageSetUpPr fitToPage="1"/>
  </sheetPr>
  <dimension ref="A1:J113"/>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c r="B26" s="14">
        <f>sysAudit!$B$23</f>
        <v/>
      </c>
      <c r="C26" s="20">
        <f>sysAudit!$C$23</f>
        <v/>
      </c>
      <c r="D26" s="20">
        <f>sysAudit!$D$23</f>
        <v/>
      </c>
      <c r="E26" s="3">
        <f>sysAudit!$E$23</f>
        <v/>
      </c>
      <c r="F26" s="2">
        <f>sysAudit!$F$23</f>
        <v/>
      </c>
    </row>
    <row r="27">
      <c r="B27" s="14">
        <f>sysAudit!$B$24</f>
        <v/>
      </c>
      <c r="C27" s="20">
        <f>sysAudit!$C$24</f>
        <v/>
      </c>
      <c r="D27" s="20">
        <f>sysAudit!$D$24</f>
        <v/>
      </c>
      <c r="E27" s="3">
        <f>sysAudit!$E$24</f>
        <v/>
      </c>
      <c r="F27" s="2">
        <f>sysAudit!$F$24</f>
        <v/>
      </c>
    </row>
    <row r="28">
      <c r="B28" s="14">
        <f>sysAudit!$B$25</f>
        <v/>
      </c>
      <c r="C28" s="20">
        <f>sysAudit!$C$25</f>
        <v/>
      </c>
      <c r="D28" s="20">
        <f>sysAudit!$D$25</f>
        <v/>
      </c>
      <c r="E28" s="3">
        <f>sysAudit!$E$25</f>
        <v/>
      </c>
      <c r="F28" s="2">
        <f>sysAudit!$F$25</f>
        <v/>
      </c>
    </row>
    <row r="29">
      <c r="B29" s="14">
        <f>sysAudit!$B$26</f>
        <v/>
      </c>
      <c r="C29" s="20">
        <f>sysAudit!$C$26</f>
        <v/>
      </c>
      <c r="D29" s="20">
        <f>sysAudit!$D$26</f>
        <v/>
      </c>
      <c r="E29" s="3">
        <f>sysAudit!$E$26</f>
        <v/>
      </c>
      <c r="F29" s="2">
        <f>sysAudit!$F$26</f>
        <v/>
      </c>
    </row>
    <row r="30">
      <c r="B30" s="14">
        <f>sysAudit!$B$27</f>
        <v/>
      </c>
      <c r="C30" s="20">
        <f>sysAudit!$C$27</f>
        <v/>
      </c>
      <c r="D30" s="20">
        <f>sysAudit!$D$27</f>
        <v/>
      </c>
      <c r="E30" s="3">
        <f>sysAudit!$E$27</f>
        <v/>
      </c>
      <c r="F30" s="2">
        <f>sysAudit!$F$27</f>
        <v/>
      </c>
    </row>
    <row r="31">
      <c r="B31" s="14">
        <f>sysAudit!$B$28</f>
        <v/>
      </c>
      <c r="C31" s="20">
        <f>sysAudit!$C$28</f>
        <v/>
      </c>
      <c r="D31" s="20">
        <f>sysAudit!$D$28</f>
        <v/>
      </c>
      <c r="E31" s="3">
        <f>sysAudit!$E$28</f>
        <v/>
      </c>
      <c r="F31" s="2">
        <f>sysAudit!$F$28</f>
        <v/>
      </c>
    </row>
    <row r="32">
      <c r="B32" s="14">
        <f>sysAudit!$B$29</f>
        <v/>
      </c>
      <c r="C32" s="20">
        <f>sysAudit!$C$29</f>
        <v/>
      </c>
      <c r="D32" s="20">
        <f>sysAudit!$D$29</f>
        <v/>
      </c>
      <c r="E32" s="3">
        <f>sysAudit!$E$29</f>
        <v/>
      </c>
      <c r="F32" s="2">
        <f>sysAudit!$F$29</f>
        <v/>
      </c>
    </row>
    <row r="33">
      <c r="B33" s="14">
        <f>sysAudit!$B$30</f>
        <v/>
      </c>
      <c r="C33" s="20">
        <f>sysAudit!$C$30</f>
        <v/>
      </c>
      <c r="D33" s="20">
        <f>sysAudit!$D$30</f>
        <v/>
      </c>
      <c r="E33" s="3">
        <f>sysAudit!$E$30</f>
        <v/>
      </c>
      <c r="F33" s="2">
        <f>sysAudit!$F$30</f>
        <v/>
      </c>
    </row>
    <row r="34">
      <c r="B34" s="14">
        <f>sysAudit!$B$31</f>
        <v/>
      </c>
      <c r="C34" s="20">
        <f>sysAudit!$C$31</f>
        <v/>
      </c>
      <c r="D34" s="20">
        <f>sysAudit!$D$31</f>
        <v/>
      </c>
      <c r="E34" s="3">
        <f>sysAudit!$E$31</f>
        <v/>
      </c>
      <c r="F34" s="2">
        <f>sysAudit!$F$31</f>
        <v/>
      </c>
    </row>
    <row r="35">
      <c r="B35" s="14">
        <f>sysAudit!$B$32</f>
        <v/>
      </c>
      <c r="C35" s="20">
        <f>sysAudit!$C$32</f>
        <v/>
      </c>
      <c r="D35" s="20">
        <f>sysAudit!$D$32</f>
        <v/>
      </c>
      <c r="E35" s="3">
        <f>sysAudit!$E$32</f>
        <v/>
      </c>
      <c r="F35" s="2">
        <f>sysAudit!$F$32</f>
        <v/>
      </c>
    </row>
    <row r="36"/>
    <row r="37" ht="16" customHeight="1">
      <c r="B37" s="7" t="inlineStr">
        <is>
          <t>Requirement sources — what is TCOLE rule vs Academy policy</t>
        </is>
      </c>
      <c r="C37" s="8" t="n"/>
      <c r="D37" s="8" t="n"/>
      <c r="E37" s="8" t="n"/>
      <c r="F37" s="8" t="n"/>
      <c r="G37" s="8" t="n"/>
      <c r="H37" s="8" t="n"/>
    </row>
    <row r="38" ht="26" customHeight="1">
      <c r="B38" s="15" t="inlineStr">
        <is>
          <t>• TCOLE Rule (Ch. 215/218/219): course #1000736 minimum hours per chapter, licensed/SME instructors, course records retention, exam security, student enrollment standards (L2/L3, medical), attendance records.</t>
        </is>
      </c>
    </row>
    <row r="39" ht="26" customHeight="1">
      <c r="B39" s="15" t="inlineStr">
        <is>
          <t>• Academy Policy (May 2026 manual): weighted grading (40/30/10/20), 70-in-each-category rule, 12 spelling tests across the academy + 75% intervention, 40 writing assignments, PT program and caps, awards.</t>
        </is>
      </c>
    </row>
    <row r="40"/>
    <row r="41" ht="16" customHeight="1">
      <c r="B41" s="7" t="inlineStr">
        <is>
          <t>Program-level TCOLE requirements (mark Yes when satisfied)</t>
        </is>
      </c>
      <c r="C41" s="8" t="n"/>
      <c r="D41" s="8" t="n"/>
      <c r="E41" s="8" t="n"/>
      <c r="F41" s="8" t="n"/>
      <c r="G41" s="8" t="n"/>
      <c r="H41" s="8" t="n"/>
    </row>
    <row r="42" ht="26" customHeight="1">
      <c r="B42" s="12" t="inlineStr">
        <is>
          <t>Requirement</t>
        </is>
      </c>
      <c r="C42" s="26" t="n"/>
      <c r="D42" s="26" t="n"/>
      <c r="E42" s="23" t="n"/>
      <c r="F42" s="12" t="inlineStr">
        <is>
          <t>Met?</t>
        </is>
      </c>
      <c r="G42" s="12" t="inlineStr">
        <is>
          <t>Notes</t>
        </is>
      </c>
    </row>
    <row r="43" ht="26" customHeight="1">
      <c r="B43" s="13" t="inlineStr">
        <is>
          <t>Commission Rules distributed to all students (Rule 215.9) — Copies of current TCOLE rules given to every student admitted</t>
        </is>
      </c>
      <c r="F43" s="25" t="n"/>
      <c r="G43" s="25" t="n"/>
    </row>
    <row r="44" ht="26" customHeight="1">
      <c r="B44" s="13" t="inlineStr">
        <is>
          <t>Required rule review conducted (215.9) — Reviewed 211.33, 221.1, 223.1, 223.3, 223.15, 223.17, 223.19 in class</t>
        </is>
      </c>
      <c r="F44" s="25" t="n"/>
      <c r="G44" s="25" t="n"/>
    </row>
    <row r="45" ht="26" customHeight="1">
      <c r="B45" s="13" t="inlineStr">
        <is>
          <t>Approved TCLEDDS roster on file — Required element of the training file</t>
        </is>
      </c>
      <c r="F45" s="25" t="n"/>
      <c r="G45" s="25" t="n"/>
    </row>
    <row r="46" ht="26" customHeight="1">
      <c r="B46" s="13" t="inlineStr">
        <is>
          <t>Course reported at exactly 736 hours — Excess hours reported under Addendum to BPOC (course #101), never inside the 736</t>
        </is>
      </c>
      <c r="F46" s="25" t="n"/>
      <c r="G46" s="25" t="n"/>
    </row>
    <row r="47" ht="26" customHeight="1">
      <c r="B47" s="13" t="inlineStr">
        <is>
          <t>Non-BPOC classes reported separately within 30 days — Any additional classes the academy teaches</t>
        </is>
      </c>
      <c r="F47" s="25" t="n"/>
      <c r="G47" s="25" t="n"/>
    </row>
    <row r="48" ht="26" customHeight="1">
      <c r="B48" s="13" t="inlineStr">
        <is>
          <t>Facility standards met (in-person, scenario/skills adequate) — Classroom supports role-play, defensive tactics, firearms demonstration</t>
        </is>
      </c>
      <c r="F48" s="25" t="n"/>
      <c r="G48" s="25" t="n"/>
    </row>
    <row r="49" ht="26" customHeight="1">
      <c r="B49" s="13" t="inlineStr">
        <is>
          <t>Assessments document mastery of all objectives — Learners are never passed on attendance alone</t>
        </is>
      </c>
      <c r="F49" s="25" t="n"/>
      <c r="G49" s="25" t="n"/>
    </row>
    <row r="50" ht="26" customHeight="1">
      <c r="B50" s="13" t="inlineStr">
        <is>
          <t>State exam plan communicated (250 Q, 70%, 3 attempts max) — Third failure requires enrolling in a new BPOC</t>
        </is>
      </c>
      <c r="F50" s="25" t="n"/>
      <c r="G50" s="25" t="n"/>
    </row>
    <row r="51" ht="26" customHeight="1">
      <c r="B51" s="13" t="inlineStr">
        <is>
          <t>Five-year retention of training records — Auditors sample past courses; files must be producible on request</t>
        </is>
      </c>
      <c r="F51" s="25" t="n"/>
      <c r="G51" s="25" t="n"/>
    </row>
    <row r="52" ht="26" customHeight="1">
      <c r="B52" s="13" t="inlineStr">
        <is>
          <t>Prior academies' FINAL workbooks archived and locatable — One file per academy; know where every finished class's file lives</t>
        </is>
      </c>
      <c r="F52" s="25" t="n"/>
      <c r="G52" s="25" t="n"/>
    </row>
    <row r="53" ht="26" customHeight="1">
      <c r="B53" s="13" t="inlineStr">
        <is>
          <t>Digital evidence library organized per chapter — LMS test PDFs, ExamSheet grade sheets, scanned spelling tests, sign-in scans, evals - one folder per chapter, ChapterPacket as cover</t>
        </is>
      </c>
      <c r="F53" s="25" t="n"/>
      <c r="G53" s="25" t="n"/>
    </row>
    <row r="54" ht="26" customHeight="1">
      <c r="B54" s="13" t="inlineStr">
        <is>
          <t>Scanned documents established as legal originals — UNCONFIRMED until answered here: the IRG asks for the 'original, legibly written sign-in sheet including the PID'. Mark Yes only when records management AND TCOLE have confirmed in writing that scans serve as originals; until then retain the paper originals</t>
        </is>
      </c>
      <c r="F54" s="25" t="n"/>
      <c r="G54" s="25" t="n"/>
    </row>
    <row r="55" ht="26" customHeight="1">
      <c r="B55" s="13" t="inlineStr">
        <is>
          <t>Exam security maintained — LMS access controlled; test banks/keys stored securely; spelling keys not accessible to cadets</t>
        </is>
      </c>
      <c r="F55" s="25" t="n"/>
      <c r="G55" s="25" t="n"/>
    </row>
    <row r="56" ht="26" customHeight="1">
      <c r="B56" s="13" t="inlineStr">
        <is>
          <t>Lesson plans verified against IRG learning objectives — All ~700 LOs covered unaltered - a PowerPoint alone is not a lesson plan</t>
        </is>
      </c>
      <c r="F56" s="25" t="n"/>
      <c r="G56" s="25" t="n"/>
    </row>
    <row r="57" ht="26" customHeight="1">
      <c r="B57" s="13" t="inlineStr">
        <is>
          <t>TCLEDDS reporting current — Enrollments (L1) entered at start; completions and the BPOC reported on time; non-BPOC classes within 30 days</t>
        </is>
      </c>
      <c r="F57" s="25" t="n"/>
      <c r="G57" s="25" t="n"/>
    </row>
    <row r="58" ht="26" customHeight="1">
      <c r="B58" s="13" t="inlineStr">
        <is>
          <t>Coordinator designation &amp; academy license current — Appointment letter on file; training-provider license active</t>
        </is>
      </c>
      <c r="F58" s="25" t="n"/>
      <c r="G58" s="25" t="n"/>
    </row>
    <row r="59" ht="26" customHeight="1">
      <c r="B59" s="13" t="inlineStr">
        <is>
          <t>Advisory board roster on file — Board composition documented; meeting dates + minutes folder referenced on the AdvisoryBoard sheet (minutes stay on the server)</t>
        </is>
      </c>
      <c r="F59" s="25" t="n"/>
      <c r="G59" s="25" t="n"/>
    </row>
    <row r="60" ht="26" customHeight="1">
      <c r="B60" s="13" t="inlineStr">
        <is>
          <t>Grade-tamper resistance in place — Workbook on OneDrive/SharePoint with version history; engine sheets password-locked</t>
        </is>
      </c>
      <c r="F60" s="25" t="n"/>
      <c r="G60" s="25" t="n"/>
    </row>
    <row r="61"/>
    <row r="62" ht="16" customHeight="1">
      <c r="B62" s="7" t="inlineStr">
        <is>
          <t>Per-cadet enrollment documents (mark Yes when on file)</t>
        </is>
      </c>
      <c r="C62" s="8" t="n"/>
      <c r="D62" s="8" t="n"/>
      <c r="E62" s="8" t="n"/>
      <c r="F62" s="8" t="n"/>
      <c r="G62" s="8" t="n"/>
      <c r="H62" s="8" t="n"/>
    </row>
    <row r="63" ht="26" customHeight="1">
      <c r="B63" s="12" t="inlineStr">
        <is>
          <t>Cadet</t>
        </is>
      </c>
      <c r="C63" s="12" t="inlineStr">
        <is>
          <t>Enroll App</t>
        </is>
      </c>
      <c r="D63" s="12" t="inlineStr">
        <is>
          <t>TCLEDDS L1</t>
        </is>
      </c>
      <c r="E63" s="12" t="inlineStr">
        <is>
          <t>Medical (L2)</t>
        </is>
      </c>
      <c r="F63" s="12" t="inlineStr">
        <is>
          <t>Psych (L3)</t>
        </is>
      </c>
      <c r="G63" s="12" t="inlineStr">
        <is>
          <t>Background</t>
        </is>
      </c>
      <c r="H63" s="12" t="inlineStr">
        <is>
          <t>Photo ID/DL</t>
        </is>
      </c>
      <c r="I63" s="12" t="inlineStr">
        <is>
          <t>Rules Ack</t>
        </is>
      </c>
      <c r="J63" s="12" t="inlineStr">
        <is>
          <t>All Docs?</t>
        </is>
      </c>
    </row>
    <row r="64">
      <c r="B64" s="20">
        <f>IF(Cadets!$B6="","",Cadets!$F6)</f>
        <v/>
      </c>
      <c r="C64" s="25" t="n"/>
      <c r="D64" s="25" t="n"/>
      <c r="E64" s="25" t="n"/>
      <c r="F64" s="25" t="n"/>
      <c r="G64" s="25" t="n"/>
      <c r="H64" s="25" t="n"/>
      <c r="I64" s="25" t="n"/>
      <c r="J64" s="20">
        <f>IF($B64="","",IF(COUNTIF(C64:I64,"Yes")=7,"Yes","No"))</f>
        <v/>
      </c>
    </row>
    <row r="65">
      <c r="B65" s="20">
        <f>IF(Cadets!$B7="","",Cadets!$F7)</f>
        <v/>
      </c>
      <c r="C65" s="25" t="n"/>
      <c r="D65" s="25" t="n"/>
      <c r="E65" s="25" t="n"/>
      <c r="F65" s="25" t="n"/>
      <c r="G65" s="25" t="n"/>
      <c r="H65" s="25" t="n"/>
      <c r="I65" s="25" t="n"/>
      <c r="J65" s="20">
        <f>IF($B65="","",IF(COUNTIF(C65:I65,"Yes")=7,"Yes","No"))</f>
        <v/>
      </c>
    </row>
    <row r="66">
      <c r="B66" s="20">
        <f>IF(Cadets!$B8="","",Cadets!$F8)</f>
        <v/>
      </c>
      <c r="C66" s="25" t="n"/>
      <c r="D66" s="25" t="n"/>
      <c r="E66" s="25" t="n"/>
      <c r="F66" s="25" t="n"/>
      <c r="G66" s="25" t="n"/>
      <c r="H66" s="25" t="n"/>
      <c r="I66" s="25" t="n"/>
      <c r="J66" s="20">
        <f>IF($B66="","",IF(COUNTIF(C66:I66,"Yes")=7,"Yes","No"))</f>
        <v/>
      </c>
    </row>
    <row r="67">
      <c r="B67" s="20">
        <f>IF(Cadets!$B9="","",Cadets!$F9)</f>
        <v/>
      </c>
      <c r="C67" s="25" t="n"/>
      <c r="D67" s="25" t="n"/>
      <c r="E67" s="25" t="n"/>
      <c r="F67" s="25" t="n"/>
      <c r="G67" s="25" t="n"/>
      <c r="H67" s="25" t="n"/>
      <c r="I67" s="25" t="n"/>
      <c r="J67" s="20">
        <f>IF($B67="","",IF(COUNTIF(C67:I67,"Yes")=7,"Yes","No"))</f>
        <v/>
      </c>
    </row>
    <row r="68">
      <c r="B68" s="20">
        <f>IF(Cadets!$B10="","",Cadets!$F10)</f>
        <v/>
      </c>
      <c r="C68" s="25" t="n"/>
      <c r="D68" s="25" t="n"/>
      <c r="E68" s="25" t="n"/>
      <c r="F68" s="25" t="n"/>
      <c r="G68" s="25" t="n"/>
      <c r="H68" s="25" t="n"/>
      <c r="I68" s="25" t="n"/>
      <c r="J68" s="20">
        <f>IF($B68="","",IF(COUNTIF(C68:I68,"Yes")=7,"Yes","No"))</f>
        <v/>
      </c>
    </row>
    <row r="69">
      <c r="B69" s="20">
        <f>IF(Cadets!$B11="","",Cadets!$F11)</f>
        <v/>
      </c>
      <c r="C69" s="25" t="n"/>
      <c r="D69" s="25" t="n"/>
      <c r="E69" s="25" t="n"/>
      <c r="F69" s="25" t="n"/>
      <c r="G69" s="25" t="n"/>
      <c r="H69" s="25" t="n"/>
      <c r="I69" s="25" t="n"/>
      <c r="J69" s="20">
        <f>IF($B69="","",IF(COUNTIF(C69:I69,"Yes")=7,"Yes","No"))</f>
        <v/>
      </c>
    </row>
    <row r="70">
      <c r="B70" s="20">
        <f>IF(Cadets!$B12="","",Cadets!$F12)</f>
        <v/>
      </c>
      <c r="C70" s="25" t="n"/>
      <c r="D70" s="25" t="n"/>
      <c r="E70" s="25" t="n"/>
      <c r="F70" s="25" t="n"/>
      <c r="G70" s="25" t="n"/>
      <c r="H70" s="25" t="n"/>
      <c r="I70" s="25" t="n"/>
      <c r="J70" s="20">
        <f>IF($B70="","",IF(COUNTIF(C70:I70,"Yes")=7,"Yes","No"))</f>
        <v/>
      </c>
    </row>
    <row r="71">
      <c r="B71" s="20">
        <f>IF(Cadets!$B13="","",Cadets!$F13)</f>
        <v/>
      </c>
      <c r="C71" s="25" t="n"/>
      <c r="D71" s="25" t="n"/>
      <c r="E71" s="25" t="n"/>
      <c r="F71" s="25" t="n"/>
      <c r="G71" s="25" t="n"/>
      <c r="H71" s="25" t="n"/>
      <c r="I71" s="25" t="n"/>
      <c r="J71" s="20">
        <f>IF($B71="","",IF(COUNTIF(C71:I71,"Yes")=7,"Yes","No"))</f>
        <v/>
      </c>
    </row>
    <row r="72">
      <c r="B72" s="20">
        <f>IF(Cadets!$B14="","",Cadets!$F14)</f>
        <v/>
      </c>
      <c r="C72" s="25" t="n"/>
      <c r="D72" s="25" t="n"/>
      <c r="E72" s="25" t="n"/>
      <c r="F72" s="25" t="n"/>
      <c r="G72" s="25" t="n"/>
      <c r="H72" s="25" t="n"/>
      <c r="I72" s="25" t="n"/>
      <c r="J72" s="20">
        <f>IF($B72="","",IF(COUNTIF(C72:I72,"Yes")=7,"Yes","No"))</f>
        <v/>
      </c>
    </row>
    <row r="73">
      <c r="B73" s="20">
        <f>IF(Cadets!$B15="","",Cadets!$F15)</f>
        <v/>
      </c>
      <c r="C73" s="25" t="n"/>
      <c r="D73" s="25" t="n"/>
      <c r="E73" s="25" t="n"/>
      <c r="F73" s="25" t="n"/>
      <c r="G73" s="25" t="n"/>
      <c r="H73" s="25" t="n"/>
      <c r="I73" s="25" t="n"/>
      <c r="J73" s="20">
        <f>IF($B73="","",IF(COUNTIF(C73:I73,"Yes")=7,"Yes","No"))</f>
        <v/>
      </c>
    </row>
    <row r="74">
      <c r="B74" s="20">
        <f>IF(Cadets!$B16="","",Cadets!$F16)</f>
        <v/>
      </c>
      <c r="C74" s="25" t="n"/>
      <c r="D74" s="25" t="n"/>
      <c r="E74" s="25" t="n"/>
      <c r="F74" s="25" t="n"/>
      <c r="G74" s="25" t="n"/>
      <c r="H74" s="25" t="n"/>
      <c r="I74" s="25" t="n"/>
      <c r="J74" s="20">
        <f>IF($B74="","",IF(COUNTIF(C74:I74,"Yes")=7,"Yes","No"))</f>
        <v/>
      </c>
    </row>
    <row r="75">
      <c r="B75" s="20">
        <f>IF(Cadets!$B17="","",Cadets!$F17)</f>
        <v/>
      </c>
      <c r="C75" s="25" t="n"/>
      <c r="D75" s="25" t="n"/>
      <c r="E75" s="25" t="n"/>
      <c r="F75" s="25" t="n"/>
      <c r="G75" s="25" t="n"/>
      <c r="H75" s="25" t="n"/>
      <c r="I75" s="25" t="n"/>
      <c r="J75" s="20">
        <f>IF($B75="","",IF(COUNTIF(C75:I75,"Yes")=7,"Yes","No"))</f>
        <v/>
      </c>
    </row>
    <row r="76">
      <c r="B76" s="20">
        <f>IF(Cadets!$B18="","",Cadets!$F18)</f>
        <v/>
      </c>
      <c r="C76" s="25" t="n"/>
      <c r="D76" s="25" t="n"/>
      <c r="E76" s="25" t="n"/>
      <c r="F76" s="25" t="n"/>
      <c r="G76" s="25" t="n"/>
      <c r="H76" s="25" t="n"/>
      <c r="I76" s="25" t="n"/>
      <c r="J76" s="20">
        <f>IF($B76="","",IF(COUNTIF(C76:I76,"Yes")=7,"Yes","No"))</f>
        <v/>
      </c>
    </row>
    <row r="77">
      <c r="B77" s="20">
        <f>IF(Cadets!$B19="","",Cadets!$F19)</f>
        <v/>
      </c>
      <c r="C77" s="25" t="n"/>
      <c r="D77" s="25" t="n"/>
      <c r="E77" s="25" t="n"/>
      <c r="F77" s="25" t="n"/>
      <c r="G77" s="25" t="n"/>
      <c r="H77" s="25" t="n"/>
      <c r="I77" s="25" t="n"/>
      <c r="J77" s="20">
        <f>IF($B77="","",IF(COUNTIF(C77:I77,"Yes")=7,"Yes","No"))</f>
        <v/>
      </c>
    </row>
    <row r="78">
      <c r="B78" s="20">
        <f>IF(Cadets!$B20="","",Cadets!$F20)</f>
        <v/>
      </c>
      <c r="C78" s="25" t="n"/>
      <c r="D78" s="25" t="n"/>
      <c r="E78" s="25" t="n"/>
      <c r="F78" s="25" t="n"/>
      <c r="G78" s="25" t="n"/>
      <c r="H78" s="25" t="n"/>
      <c r="I78" s="25" t="n"/>
      <c r="J78" s="20">
        <f>IF($B78="","",IF(COUNTIF(C78:I78,"Yes")=7,"Yes","No"))</f>
        <v/>
      </c>
    </row>
    <row r="79">
      <c r="B79" s="20">
        <f>IF(Cadets!$B21="","",Cadets!$F21)</f>
        <v/>
      </c>
      <c r="C79" s="25" t="n"/>
      <c r="D79" s="25" t="n"/>
      <c r="E79" s="25" t="n"/>
      <c r="F79" s="25" t="n"/>
      <c r="G79" s="25" t="n"/>
      <c r="H79" s="25" t="n"/>
      <c r="I79" s="25" t="n"/>
      <c r="J79" s="20">
        <f>IF($B79="","",IF(COUNTIF(C79:I79,"Yes")=7,"Yes","No"))</f>
        <v/>
      </c>
    </row>
    <row r="80">
      <c r="B80" s="20">
        <f>IF(Cadets!$B22="","",Cadets!$F22)</f>
        <v/>
      </c>
      <c r="C80" s="25" t="n"/>
      <c r="D80" s="25" t="n"/>
      <c r="E80" s="25" t="n"/>
      <c r="F80" s="25" t="n"/>
      <c r="G80" s="25" t="n"/>
      <c r="H80" s="25" t="n"/>
      <c r="I80" s="25" t="n"/>
      <c r="J80" s="20">
        <f>IF($B80="","",IF(COUNTIF(C80:I80,"Yes")=7,"Yes","No"))</f>
        <v/>
      </c>
    </row>
    <row r="81">
      <c r="B81" s="20">
        <f>IF(Cadets!$B23="","",Cadets!$F23)</f>
        <v/>
      </c>
      <c r="C81" s="25" t="n"/>
      <c r="D81" s="25" t="n"/>
      <c r="E81" s="25" t="n"/>
      <c r="F81" s="25" t="n"/>
      <c r="G81" s="25" t="n"/>
      <c r="H81" s="25" t="n"/>
      <c r="I81" s="25" t="n"/>
      <c r="J81" s="20">
        <f>IF($B81="","",IF(COUNTIF(C81:I81,"Yes")=7,"Yes","No"))</f>
        <v/>
      </c>
    </row>
    <row r="82">
      <c r="B82" s="20">
        <f>IF(Cadets!$B24="","",Cadets!$F24)</f>
        <v/>
      </c>
      <c r="C82" s="25" t="n"/>
      <c r="D82" s="25" t="n"/>
      <c r="E82" s="25" t="n"/>
      <c r="F82" s="25" t="n"/>
      <c r="G82" s="25" t="n"/>
      <c r="H82" s="25" t="n"/>
      <c r="I82" s="25" t="n"/>
      <c r="J82" s="20">
        <f>IF($B82="","",IF(COUNTIF(C82:I82,"Yes")=7,"Yes","No"))</f>
        <v/>
      </c>
    </row>
    <row r="83">
      <c r="B83" s="20">
        <f>IF(Cadets!$B25="","",Cadets!$F25)</f>
        <v/>
      </c>
      <c r="C83" s="25" t="n"/>
      <c r="D83" s="25" t="n"/>
      <c r="E83" s="25" t="n"/>
      <c r="F83" s="25" t="n"/>
      <c r="G83" s="25" t="n"/>
      <c r="H83" s="25" t="n"/>
      <c r="I83" s="25" t="n"/>
      <c r="J83" s="20">
        <f>IF($B83="","",IF(COUNTIF(C83:I83,"Yes")=7,"Yes","No"))</f>
        <v/>
      </c>
    </row>
    <row r="84">
      <c r="B84" s="20">
        <f>IF(Cadets!$B26="","",Cadets!$F26)</f>
        <v/>
      </c>
      <c r="C84" s="25" t="n"/>
      <c r="D84" s="25" t="n"/>
      <c r="E84" s="25" t="n"/>
      <c r="F84" s="25" t="n"/>
      <c r="G84" s="25" t="n"/>
      <c r="H84" s="25" t="n"/>
      <c r="I84" s="25" t="n"/>
      <c r="J84" s="20">
        <f>IF($B84="","",IF(COUNTIF(C84:I84,"Yes")=7,"Yes","No"))</f>
        <v/>
      </c>
    </row>
    <row r="85">
      <c r="B85" s="20">
        <f>IF(Cadets!$B27="","",Cadets!$F27)</f>
        <v/>
      </c>
      <c r="C85" s="25" t="n"/>
      <c r="D85" s="25" t="n"/>
      <c r="E85" s="25" t="n"/>
      <c r="F85" s="25" t="n"/>
      <c r="G85" s="25" t="n"/>
      <c r="H85" s="25" t="n"/>
      <c r="I85" s="25" t="n"/>
      <c r="J85" s="20">
        <f>IF($B85="","",IF(COUNTIF(C85:I85,"Yes")=7,"Yes","No"))</f>
        <v/>
      </c>
    </row>
    <row r="86">
      <c r="B86" s="20">
        <f>IF(Cadets!$B28="","",Cadets!$F28)</f>
        <v/>
      </c>
      <c r="C86" s="25" t="n"/>
      <c r="D86" s="25" t="n"/>
      <c r="E86" s="25" t="n"/>
      <c r="F86" s="25" t="n"/>
      <c r="G86" s="25" t="n"/>
      <c r="H86" s="25" t="n"/>
      <c r="I86" s="25" t="n"/>
      <c r="J86" s="20">
        <f>IF($B86="","",IF(COUNTIF(C86:I86,"Yes")=7,"Yes","No"))</f>
        <v/>
      </c>
    </row>
    <row r="87">
      <c r="B87" s="20">
        <f>IF(Cadets!$B29="","",Cadets!$F29)</f>
        <v/>
      </c>
      <c r="C87" s="25" t="n"/>
      <c r="D87" s="25" t="n"/>
      <c r="E87" s="25" t="n"/>
      <c r="F87" s="25" t="n"/>
      <c r="G87" s="25" t="n"/>
      <c r="H87" s="25" t="n"/>
      <c r="I87" s="25" t="n"/>
      <c r="J87" s="20">
        <f>IF($B87="","",IF(COUNTIF(C87:I87,"Yes")=7,"Yes","No"))</f>
        <v/>
      </c>
    </row>
    <row r="88">
      <c r="B88" s="20">
        <f>IF(Cadets!$B30="","",Cadets!$F30)</f>
        <v/>
      </c>
      <c r="C88" s="25" t="n"/>
      <c r="D88" s="25" t="n"/>
      <c r="E88" s="25" t="n"/>
      <c r="F88" s="25" t="n"/>
      <c r="G88" s="25" t="n"/>
      <c r="H88" s="25" t="n"/>
      <c r="I88" s="25" t="n"/>
      <c r="J88" s="20">
        <f>IF($B88="","",IF(COUNTIF(C88:I88,"Yes")=7,"Yes","No"))</f>
        <v/>
      </c>
    </row>
    <row r="89">
      <c r="B89" s="20">
        <f>IF(Cadets!$B31="","",Cadets!$F31)</f>
        <v/>
      </c>
      <c r="C89" s="25" t="n"/>
      <c r="D89" s="25" t="n"/>
      <c r="E89" s="25" t="n"/>
      <c r="F89" s="25" t="n"/>
      <c r="G89" s="25" t="n"/>
      <c r="H89" s="25" t="n"/>
      <c r="I89" s="25" t="n"/>
      <c r="J89" s="20">
        <f>IF($B89="","",IF(COUNTIF(C89:I89,"Yes")=7,"Yes","No"))</f>
        <v/>
      </c>
    </row>
    <row r="90">
      <c r="B90" s="20">
        <f>IF(Cadets!$B32="","",Cadets!$F32)</f>
        <v/>
      </c>
      <c r="C90" s="25" t="n"/>
      <c r="D90" s="25" t="n"/>
      <c r="E90" s="25" t="n"/>
      <c r="F90" s="25" t="n"/>
      <c r="G90" s="25" t="n"/>
      <c r="H90" s="25" t="n"/>
      <c r="I90" s="25" t="n"/>
      <c r="J90" s="20">
        <f>IF($B90="","",IF(COUNTIF(C90:I90,"Yes")=7,"Yes","No"))</f>
        <v/>
      </c>
    </row>
    <row r="91">
      <c r="B91" s="20">
        <f>IF(Cadets!$B33="","",Cadets!$F33)</f>
        <v/>
      </c>
      <c r="C91" s="25" t="n"/>
      <c r="D91" s="25" t="n"/>
      <c r="E91" s="25" t="n"/>
      <c r="F91" s="25" t="n"/>
      <c r="G91" s="25" t="n"/>
      <c r="H91" s="25" t="n"/>
      <c r="I91" s="25" t="n"/>
      <c r="J91" s="20">
        <f>IF($B91="","",IF(COUNTIF(C91:I91,"Yes")=7,"Yes","No"))</f>
        <v/>
      </c>
    </row>
    <row r="92">
      <c r="B92" s="20">
        <f>IF(Cadets!$B34="","",Cadets!$F34)</f>
        <v/>
      </c>
      <c r="C92" s="25" t="n"/>
      <c r="D92" s="25" t="n"/>
      <c r="E92" s="25" t="n"/>
      <c r="F92" s="25" t="n"/>
      <c r="G92" s="25" t="n"/>
      <c r="H92" s="25" t="n"/>
      <c r="I92" s="25" t="n"/>
      <c r="J92" s="20">
        <f>IF($B92="","",IF(COUNTIF(C92:I92,"Yes")=7,"Yes","No"))</f>
        <v/>
      </c>
    </row>
    <row r="93">
      <c r="B93" s="20">
        <f>IF(Cadets!$B35="","",Cadets!$F35)</f>
        <v/>
      </c>
      <c r="C93" s="25" t="n"/>
      <c r="D93" s="25" t="n"/>
      <c r="E93" s="25" t="n"/>
      <c r="F93" s="25" t="n"/>
      <c r="G93" s="25" t="n"/>
      <c r="H93" s="25" t="n"/>
      <c r="I93" s="25" t="n"/>
      <c r="J93" s="20">
        <f>IF($B93="","",IF(COUNTIF(C93:I93,"Yes")=7,"Yes","No"))</f>
        <v/>
      </c>
    </row>
    <row r="94">
      <c r="B94" s="20">
        <f>IF(Cadets!$B36="","",Cadets!$F36)</f>
        <v/>
      </c>
      <c r="C94" s="25" t="n"/>
      <c r="D94" s="25" t="n"/>
      <c r="E94" s="25" t="n"/>
      <c r="F94" s="25" t="n"/>
      <c r="G94" s="25" t="n"/>
      <c r="H94" s="25" t="n"/>
      <c r="I94" s="25" t="n"/>
      <c r="J94" s="20">
        <f>IF($B94="","",IF(COUNTIF(C94:I94,"Yes")=7,"Yes","No"))</f>
        <v/>
      </c>
    </row>
    <row r="95">
      <c r="B95" s="20">
        <f>IF(Cadets!$B37="","",Cadets!$F37)</f>
        <v/>
      </c>
      <c r="C95" s="25" t="n"/>
      <c r="D95" s="25" t="n"/>
      <c r="E95" s="25" t="n"/>
      <c r="F95" s="25" t="n"/>
      <c r="G95" s="25" t="n"/>
      <c r="H95" s="25" t="n"/>
      <c r="I95" s="25" t="n"/>
      <c r="J95" s="20">
        <f>IF($B95="","",IF(COUNTIF(C95:I95,"Yes")=7,"Yes","No"))</f>
        <v/>
      </c>
    </row>
    <row r="96">
      <c r="B96" s="20">
        <f>IF(Cadets!$B38="","",Cadets!$F38)</f>
        <v/>
      </c>
      <c r="C96" s="25" t="n"/>
      <c r="D96" s="25" t="n"/>
      <c r="E96" s="25" t="n"/>
      <c r="F96" s="25" t="n"/>
      <c r="G96" s="25" t="n"/>
      <c r="H96" s="25" t="n"/>
      <c r="I96" s="25" t="n"/>
      <c r="J96" s="20">
        <f>IF($B96="","",IF(COUNTIF(C96:I96,"Yes")=7,"Yes","No"))</f>
        <v/>
      </c>
    </row>
    <row r="97">
      <c r="B97" s="20">
        <f>IF(Cadets!$B39="","",Cadets!$F39)</f>
        <v/>
      </c>
      <c r="C97" s="25" t="n"/>
      <c r="D97" s="25" t="n"/>
      <c r="E97" s="25" t="n"/>
      <c r="F97" s="25" t="n"/>
      <c r="G97" s="25" t="n"/>
      <c r="H97" s="25" t="n"/>
      <c r="I97" s="25" t="n"/>
      <c r="J97" s="20">
        <f>IF($B97="","",IF(COUNTIF(C97:I97,"Yes")=7,"Yes","No"))</f>
        <v/>
      </c>
    </row>
    <row r="98">
      <c r="B98" s="20">
        <f>IF(Cadets!$B40="","",Cadets!$F40)</f>
        <v/>
      </c>
      <c r="C98" s="25" t="n"/>
      <c r="D98" s="25" t="n"/>
      <c r="E98" s="25" t="n"/>
      <c r="F98" s="25" t="n"/>
      <c r="G98" s="25" t="n"/>
      <c r="H98" s="25" t="n"/>
      <c r="I98" s="25" t="n"/>
      <c r="J98" s="20">
        <f>IF($B98="","",IF(COUNTIF(C98:I98,"Yes")=7,"Yes","No"))</f>
        <v/>
      </c>
    </row>
    <row r="99">
      <c r="B99" s="20">
        <f>IF(Cadets!$B41="","",Cadets!$F41)</f>
        <v/>
      </c>
      <c r="C99" s="25" t="n"/>
      <c r="D99" s="25" t="n"/>
      <c r="E99" s="25" t="n"/>
      <c r="F99" s="25" t="n"/>
      <c r="G99" s="25" t="n"/>
      <c r="H99" s="25" t="n"/>
      <c r="I99" s="25" t="n"/>
      <c r="J99" s="20">
        <f>IF($B99="","",IF(COUNTIF(C99:I99,"Yes")=7,"Yes","No"))</f>
        <v/>
      </c>
    </row>
    <row r="100">
      <c r="B100" s="20">
        <f>IF(Cadets!$B42="","",Cadets!$F42)</f>
        <v/>
      </c>
      <c r="C100" s="25" t="n"/>
      <c r="D100" s="25" t="n"/>
      <c r="E100" s="25" t="n"/>
      <c r="F100" s="25" t="n"/>
      <c r="G100" s="25" t="n"/>
      <c r="H100" s="25" t="n"/>
      <c r="I100" s="25" t="n"/>
      <c r="J100" s="20">
        <f>IF($B100="","",IF(COUNTIF(C100:I100,"Yes")=7,"Yes","No"))</f>
        <v/>
      </c>
    </row>
    <row r="101">
      <c r="B101" s="20">
        <f>IF(Cadets!$B43="","",Cadets!$F43)</f>
        <v/>
      </c>
      <c r="C101" s="25" t="n"/>
      <c r="D101" s="25" t="n"/>
      <c r="E101" s="25" t="n"/>
      <c r="F101" s="25" t="n"/>
      <c r="G101" s="25" t="n"/>
      <c r="H101" s="25" t="n"/>
      <c r="I101" s="25" t="n"/>
      <c r="J101" s="20">
        <f>IF($B101="","",IF(COUNTIF(C101:I101,"Yes")=7,"Yes","No"))</f>
        <v/>
      </c>
    </row>
    <row r="102">
      <c r="B102" s="20">
        <f>IF(Cadets!$B44="","",Cadets!$F44)</f>
        <v/>
      </c>
      <c r="C102" s="25" t="n"/>
      <c r="D102" s="25" t="n"/>
      <c r="E102" s="25" t="n"/>
      <c r="F102" s="25" t="n"/>
      <c r="G102" s="25" t="n"/>
      <c r="H102" s="25" t="n"/>
      <c r="I102" s="25" t="n"/>
      <c r="J102" s="20">
        <f>IF($B102="","",IF(COUNTIF(C102:I102,"Yes")=7,"Yes","No"))</f>
        <v/>
      </c>
    </row>
    <row r="103">
      <c r="B103" s="20">
        <f>IF(Cadets!$B45="","",Cadets!$F45)</f>
        <v/>
      </c>
      <c r="C103" s="25" t="n"/>
      <c r="D103" s="25" t="n"/>
      <c r="E103" s="25" t="n"/>
      <c r="F103" s="25" t="n"/>
      <c r="G103" s="25" t="n"/>
      <c r="H103" s="25" t="n"/>
      <c r="I103" s="25" t="n"/>
      <c r="J103" s="20">
        <f>IF($B103="","",IF(COUNTIF(C103:I103,"Yes")=7,"Yes","No"))</f>
        <v/>
      </c>
    </row>
    <row r="104">
      <c r="B104" s="20">
        <f>IF(Cadets!$B46="","",Cadets!$F46)</f>
        <v/>
      </c>
      <c r="C104" s="25" t="n"/>
      <c r="D104" s="25" t="n"/>
      <c r="E104" s="25" t="n"/>
      <c r="F104" s="25" t="n"/>
      <c r="G104" s="25" t="n"/>
      <c r="H104" s="25" t="n"/>
      <c r="I104" s="25" t="n"/>
      <c r="J104" s="20">
        <f>IF($B104="","",IF(COUNTIF(C104:I104,"Yes")=7,"Yes","No"))</f>
        <v/>
      </c>
    </row>
    <row r="105">
      <c r="B105" s="20">
        <f>IF(Cadets!$B47="","",Cadets!$F47)</f>
        <v/>
      </c>
      <c r="C105" s="25" t="n"/>
      <c r="D105" s="25" t="n"/>
      <c r="E105" s="25" t="n"/>
      <c r="F105" s="25" t="n"/>
      <c r="G105" s="25" t="n"/>
      <c r="H105" s="25" t="n"/>
      <c r="I105" s="25" t="n"/>
      <c r="J105" s="20">
        <f>IF($B105="","",IF(COUNTIF(C105:I105,"Yes")=7,"Yes","No"))</f>
        <v/>
      </c>
    </row>
    <row r="106">
      <c r="B106" s="20">
        <f>IF(Cadets!$B48="","",Cadets!$F48)</f>
        <v/>
      </c>
      <c r="C106" s="25" t="n"/>
      <c r="D106" s="25" t="n"/>
      <c r="E106" s="25" t="n"/>
      <c r="F106" s="25" t="n"/>
      <c r="G106" s="25" t="n"/>
      <c r="H106" s="25" t="n"/>
      <c r="I106" s="25" t="n"/>
      <c r="J106" s="20">
        <f>IF($B106="","",IF(COUNTIF(C106:I106,"Yes")=7,"Yes","No"))</f>
        <v/>
      </c>
    </row>
    <row r="107">
      <c r="B107" s="20">
        <f>IF(Cadets!$B49="","",Cadets!$F49)</f>
        <v/>
      </c>
      <c r="C107" s="25" t="n"/>
      <c r="D107" s="25" t="n"/>
      <c r="E107" s="25" t="n"/>
      <c r="F107" s="25" t="n"/>
      <c r="G107" s="25" t="n"/>
      <c r="H107" s="25" t="n"/>
      <c r="I107" s="25" t="n"/>
      <c r="J107" s="20">
        <f>IF($B107="","",IF(COUNTIF(C107:I107,"Yes")=7,"Yes","No"))</f>
        <v/>
      </c>
    </row>
    <row r="108">
      <c r="B108" s="20">
        <f>IF(Cadets!$B50="","",Cadets!$F50)</f>
        <v/>
      </c>
      <c r="C108" s="25" t="n"/>
      <c r="D108" s="25" t="n"/>
      <c r="E108" s="25" t="n"/>
      <c r="F108" s="25" t="n"/>
      <c r="G108" s="25" t="n"/>
      <c r="H108" s="25" t="n"/>
      <c r="I108" s="25" t="n"/>
      <c r="J108" s="20">
        <f>IF($B108="","",IF(COUNTIF(C108:I108,"Yes")=7,"Yes","No"))</f>
        <v/>
      </c>
    </row>
    <row r="109">
      <c r="B109" s="20">
        <f>IF(Cadets!$B51="","",Cadets!$F51)</f>
        <v/>
      </c>
      <c r="C109" s="25" t="n"/>
      <c r="D109" s="25" t="n"/>
      <c r="E109" s="25" t="n"/>
      <c r="F109" s="25" t="n"/>
      <c r="G109" s="25" t="n"/>
      <c r="H109" s="25" t="n"/>
      <c r="I109" s="25" t="n"/>
      <c r="J109" s="20">
        <f>IF($B109="","",IF(COUNTIF(C109:I109,"Yes")=7,"Yes","No"))</f>
        <v/>
      </c>
    </row>
    <row r="110">
      <c r="B110" s="20">
        <f>IF(Cadets!$B52="","",Cadets!$F52)</f>
        <v/>
      </c>
      <c r="C110" s="25" t="n"/>
      <c r="D110" s="25" t="n"/>
      <c r="E110" s="25" t="n"/>
      <c r="F110" s="25" t="n"/>
      <c r="G110" s="25" t="n"/>
      <c r="H110" s="25" t="n"/>
      <c r="I110" s="25" t="n"/>
      <c r="J110" s="20">
        <f>IF($B110="","",IF(COUNTIF(C110:I110,"Yes")=7,"Yes","No"))</f>
        <v/>
      </c>
    </row>
    <row r="111">
      <c r="B111" s="20">
        <f>IF(Cadets!$B53="","",Cadets!$F53)</f>
        <v/>
      </c>
      <c r="C111" s="25" t="n"/>
      <c r="D111" s="25" t="n"/>
      <c r="E111" s="25" t="n"/>
      <c r="F111" s="25" t="n"/>
      <c r="G111" s="25" t="n"/>
      <c r="H111" s="25" t="n"/>
      <c r="I111" s="25" t="n"/>
      <c r="J111" s="20">
        <f>IF($B111="","",IF(COUNTIF(C111:I111,"Yes")=7,"Yes","No"))</f>
        <v/>
      </c>
    </row>
    <row r="112">
      <c r="B112" s="20">
        <f>IF(Cadets!$B54="","",Cadets!$F54)</f>
        <v/>
      </c>
      <c r="C112" s="25" t="n"/>
      <c r="D112" s="25" t="n"/>
      <c r="E112" s="25" t="n"/>
      <c r="F112" s="25" t="n"/>
      <c r="G112" s="25" t="n"/>
      <c r="H112" s="25" t="n"/>
      <c r="I112" s="25" t="n"/>
      <c r="J112" s="20">
        <f>IF($B112="","",IF(COUNTIF(C112:I112,"Yes")=7,"Yes","No"))</f>
        <v/>
      </c>
    </row>
    <row r="113">
      <c r="B113" s="20">
        <f>IF(Cadets!$B55="","",Cadets!$F55)</f>
        <v/>
      </c>
      <c r="C113" s="25" t="n"/>
      <c r="D113" s="25" t="n"/>
      <c r="E113" s="25" t="n"/>
      <c r="F113" s="25" t="n"/>
      <c r="G113" s="25" t="n"/>
      <c r="H113" s="25" t="n"/>
      <c r="I113" s="25" t="n"/>
      <c r="J113" s="20">
        <f>IF($B113="","",IF(COUNTIF(C113:I113,"Yes")=7,"Yes","No"))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49:E49"/>
    <mergeCell ref="B55:E55"/>
    <mergeCell ref="B51:E51"/>
    <mergeCell ref="B45:E45"/>
    <mergeCell ref="B41:H41"/>
    <mergeCell ref="B50:E50"/>
    <mergeCell ref="B54:E54"/>
    <mergeCell ref="B62:H62"/>
    <mergeCell ref="B47:E47"/>
    <mergeCell ref="B7:H7"/>
    <mergeCell ref="B59:E59"/>
    <mergeCell ref="B46:E46"/>
    <mergeCell ref="B56:E56"/>
    <mergeCell ref="B43:E43"/>
    <mergeCell ref="B58:E58"/>
    <mergeCell ref="B52:E52"/>
    <mergeCell ref="B39:H39"/>
    <mergeCell ref="B48:E48"/>
    <mergeCell ref="B42:E42"/>
    <mergeCell ref="B60:E60"/>
    <mergeCell ref="B57:E57"/>
    <mergeCell ref="B53:E53"/>
    <mergeCell ref="B44:E44"/>
    <mergeCell ref="B38:H38"/>
    <mergeCell ref="B37:H37"/>
  </mergeCells>
  <conditionalFormatting sqref="E9:E35">
    <cfRule type="expression" priority="1" dxfId="0">
      <formula>AND($E9&lt;&gt;"OK",$E9&lt;&gt;"")</formula>
    </cfRule>
    <cfRule type="expression" priority="2" dxfId="2">
      <formula>$E9="OK"</formula>
    </cfRule>
  </conditionalFormatting>
  <conditionalFormatting sqref="F43:F60">
    <cfRule type="expression" priority="3" dxfId="0">
      <formula>AND($B43&lt;&gt;"",$F43&lt;&gt;"Yes",$F43&lt;&gt;"N/A")</formula>
    </cfRule>
  </conditionalFormatting>
  <conditionalFormatting sqref="J64:J113">
    <cfRule type="cellIs" priority="4" operator="equal" dxfId="2">
      <formula>"Yes"</formula>
    </cfRule>
    <cfRule type="cellIs" priority="5" operator="equal" dxfId="0">
      <formula>"No"</formula>
    </cfRule>
  </conditionalFormatting>
  <dataValidations count="2">
    <dataValidation sqref="F43:F60" showDropDown="0" showInputMessage="0" showErrorMessage="1" allowBlank="1" type="list">
      <formula1>"Yes,No,N/A"</formula1>
    </dataValidation>
    <dataValidation sqref="C64:I113"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7">
        <f>ChapterMaster!$C$6</f>
        <v/>
      </c>
      <c r="C9" s="27">
        <f>ChapterMaster!$D$6</f>
        <v/>
      </c>
      <c r="D9" s="28">
        <f>ChapterMaster!$E$6</f>
        <v/>
      </c>
      <c r="E9" s="28">
        <f>IF(ChapterMaster!$G6=0,"",ChapterMaster!$G6)</f>
        <v/>
      </c>
      <c r="F9" s="29">
        <f>IF(OR(ChapterMaster!$G6="",ChapterMaster!$G6=0),"",IF(ChapterMaster!$G6&gt;ChapterMaster!$E6,ROUND(ChapterMaster!$G6-ChapterMaster!$E6,2),""))</f>
        <v/>
      </c>
      <c r="G9" s="27">
        <f>IF($F9="","","#101 (Addendum to BPOC)")</f>
        <v/>
      </c>
    </row>
    <row r="10">
      <c r="B10" s="27">
        <f>ChapterMaster!$C$7</f>
        <v/>
      </c>
      <c r="C10" s="27">
        <f>ChapterMaster!$D$7</f>
        <v/>
      </c>
      <c r="D10" s="28">
        <f>ChapterMaster!$E$7</f>
        <v/>
      </c>
      <c r="E10" s="28">
        <f>IF(ChapterMaster!$G7=0,"",ChapterMaster!$G7)</f>
        <v/>
      </c>
      <c r="F10" s="29">
        <f>IF(OR(ChapterMaster!$G7="",ChapterMaster!$G7=0),"",IF(ChapterMaster!$G7&gt;ChapterMaster!$E7,ROUND(ChapterMaster!$G7-ChapterMaster!$E7,2),""))</f>
        <v/>
      </c>
      <c r="G10" s="27">
        <f>IF($F10="","","#101 (Addendum to BPOC)")</f>
        <v/>
      </c>
    </row>
    <row r="11">
      <c r="B11" s="27">
        <f>ChapterMaster!$C$8</f>
        <v/>
      </c>
      <c r="C11" s="27">
        <f>ChapterMaster!$D$8</f>
        <v/>
      </c>
      <c r="D11" s="28">
        <f>ChapterMaster!$E$8</f>
        <v/>
      </c>
      <c r="E11" s="28">
        <f>IF(ChapterMaster!$G8=0,"",ChapterMaster!$G8)</f>
        <v/>
      </c>
      <c r="F11" s="29">
        <f>IF(OR(ChapterMaster!$G8="",ChapterMaster!$G8=0),"",IF(ChapterMaster!$G8&gt;ChapterMaster!$E8,ROUND(ChapterMaster!$G8-ChapterMaster!$E8,2),""))</f>
        <v/>
      </c>
      <c r="G11" s="27">
        <f>IF($F11="","","#101 (Addendum to BPOC)")</f>
        <v/>
      </c>
    </row>
    <row r="12">
      <c r="B12" s="27">
        <f>ChapterMaster!$C$9</f>
        <v/>
      </c>
      <c r="C12" s="27">
        <f>ChapterMaster!$D$9</f>
        <v/>
      </c>
      <c r="D12" s="28">
        <f>ChapterMaster!$E$9</f>
        <v/>
      </c>
      <c r="E12" s="28">
        <f>IF(ChapterMaster!$G9=0,"",ChapterMaster!$G9)</f>
        <v/>
      </c>
      <c r="F12" s="29">
        <f>IF(OR(ChapterMaster!$G9="",ChapterMaster!$G9=0),"",IF(ChapterMaster!$G9&gt;ChapterMaster!$E9,ROUND(ChapterMaster!$G9-ChapterMaster!$E9,2),""))</f>
        <v/>
      </c>
      <c r="G12" s="27">
        <f>IF($F12="","","#101 (Addendum to BPOC)")</f>
        <v/>
      </c>
    </row>
    <row r="13">
      <c r="B13" s="27">
        <f>ChapterMaster!$C$10</f>
        <v/>
      </c>
      <c r="C13" s="27">
        <f>ChapterMaster!$D$10</f>
        <v/>
      </c>
      <c r="D13" s="28">
        <f>ChapterMaster!$E$10</f>
        <v/>
      </c>
      <c r="E13" s="28">
        <f>IF(ChapterMaster!$G10=0,"",ChapterMaster!$G10)</f>
        <v/>
      </c>
      <c r="F13" s="29">
        <f>IF(OR(ChapterMaster!$G10="",ChapterMaster!$G10=0),"",IF(ChapterMaster!$G10&gt;ChapterMaster!$E10,ROUND(ChapterMaster!$G10-ChapterMaster!$E10,2),""))</f>
        <v/>
      </c>
      <c r="G13" s="27">
        <f>IF($F13="","","#101 (Addendum to BPOC)")</f>
        <v/>
      </c>
    </row>
    <row r="14">
      <c r="B14" s="27">
        <f>ChapterMaster!$C$11</f>
        <v/>
      </c>
      <c r="C14" s="27">
        <f>ChapterMaster!$D$11</f>
        <v/>
      </c>
      <c r="D14" s="28">
        <f>ChapterMaster!$E$11</f>
        <v/>
      </c>
      <c r="E14" s="28">
        <f>IF(ChapterMaster!$G11=0,"",ChapterMaster!$G11)</f>
        <v/>
      </c>
      <c r="F14" s="29">
        <f>IF(OR(ChapterMaster!$G11="",ChapterMaster!$G11=0),"",IF(ChapterMaster!$G11&gt;ChapterMaster!$E11,ROUND(ChapterMaster!$G11-ChapterMaster!$E11,2),""))</f>
        <v/>
      </c>
      <c r="G14" s="27">
        <f>IF($F14="","","#101 (Addendum to BPOC)")</f>
        <v/>
      </c>
    </row>
    <row r="15">
      <c r="B15" s="27">
        <f>ChapterMaster!$C$12</f>
        <v/>
      </c>
      <c r="C15" s="27">
        <f>ChapterMaster!$D$12</f>
        <v/>
      </c>
      <c r="D15" s="28">
        <f>ChapterMaster!$E$12</f>
        <v/>
      </c>
      <c r="E15" s="28">
        <f>IF(ChapterMaster!$G12=0,"",ChapterMaster!$G12)</f>
        <v/>
      </c>
      <c r="F15" s="29">
        <f>IF(OR(ChapterMaster!$G12="",ChapterMaster!$G12=0),"",IF(ChapterMaster!$G12&gt;ChapterMaster!$E12,ROUND(ChapterMaster!$G12-ChapterMaster!$E12,2),""))</f>
        <v/>
      </c>
      <c r="G15" s="27">
        <f>IF($F15="","","#101 (Addendum to BPOC)")</f>
        <v/>
      </c>
    </row>
    <row r="16">
      <c r="B16" s="27">
        <f>ChapterMaster!$C$13</f>
        <v/>
      </c>
      <c r="C16" s="27">
        <f>ChapterMaster!$D$13</f>
        <v/>
      </c>
      <c r="D16" s="28">
        <f>ChapterMaster!$E$13</f>
        <v/>
      </c>
      <c r="E16" s="28">
        <f>IF(ChapterMaster!$G13=0,"",ChapterMaster!$G13)</f>
        <v/>
      </c>
      <c r="F16" s="29">
        <f>IF(OR(ChapterMaster!$G13="",ChapterMaster!$G13=0),"",IF(ChapterMaster!$G13&gt;ChapterMaster!$E13,ROUND(ChapterMaster!$G13-ChapterMaster!$E13,2),""))</f>
        <v/>
      </c>
      <c r="G16" s="27">
        <f>IF($F16="","","#101 (Addendum to BPOC)")</f>
        <v/>
      </c>
    </row>
    <row r="17">
      <c r="B17" s="27">
        <f>ChapterMaster!$C$14</f>
        <v/>
      </c>
      <c r="C17" s="27">
        <f>ChapterMaster!$D$14</f>
        <v/>
      </c>
      <c r="D17" s="28">
        <f>ChapterMaster!$E$14</f>
        <v/>
      </c>
      <c r="E17" s="28">
        <f>IF(ChapterMaster!$G14=0,"",ChapterMaster!$G14)</f>
        <v/>
      </c>
      <c r="F17" s="29">
        <f>IF(OR(ChapterMaster!$G14="",ChapterMaster!$G14=0),"",IF(ChapterMaster!$G14&gt;ChapterMaster!$E14,ROUND(ChapterMaster!$G14-ChapterMaster!$E14,2),""))</f>
        <v/>
      </c>
      <c r="G17" s="27">
        <f>IF($F17="","","#101 (Addendum to BPOC)")</f>
        <v/>
      </c>
    </row>
    <row r="18">
      <c r="B18" s="27">
        <f>ChapterMaster!$C$15</f>
        <v/>
      </c>
      <c r="C18" s="27">
        <f>ChapterMaster!$D$15</f>
        <v/>
      </c>
      <c r="D18" s="28">
        <f>ChapterMaster!$E$15</f>
        <v/>
      </c>
      <c r="E18" s="28">
        <f>IF(ChapterMaster!$G15=0,"",ChapterMaster!$G15)</f>
        <v/>
      </c>
      <c r="F18" s="29">
        <f>IF(OR(ChapterMaster!$G15="",ChapterMaster!$G15=0),"",IF(ChapterMaster!$G15&gt;ChapterMaster!$E15,ROUND(ChapterMaster!$G15-ChapterMaster!$E15,2),""))</f>
        <v/>
      </c>
      <c r="G18" s="27">
        <f>IF($F18="","","#101 (Addendum to BPOC)")</f>
        <v/>
      </c>
    </row>
    <row r="19">
      <c r="B19" s="27">
        <f>ChapterMaster!$C$16</f>
        <v/>
      </c>
      <c r="C19" s="27">
        <f>ChapterMaster!$D$16</f>
        <v/>
      </c>
      <c r="D19" s="28">
        <f>ChapterMaster!$E$16</f>
        <v/>
      </c>
      <c r="E19" s="28">
        <f>IF(ChapterMaster!$G16=0,"",ChapterMaster!$G16)</f>
        <v/>
      </c>
      <c r="F19" s="29">
        <f>IF(OR(ChapterMaster!$G16="",ChapterMaster!$G16=0),"",IF(ChapterMaster!$G16&gt;ChapterMaster!$E16,ROUND(ChapterMaster!$G16-ChapterMaster!$E16,2),""))</f>
        <v/>
      </c>
      <c r="G19" s="27">
        <f>IF($F19="","","#101 (Addendum to BPOC)")</f>
        <v/>
      </c>
    </row>
    <row r="20">
      <c r="B20" s="27">
        <f>ChapterMaster!$C$17</f>
        <v/>
      </c>
      <c r="C20" s="27">
        <f>ChapterMaster!$D$17</f>
        <v/>
      </c>
      <c r="D20" s="28">
        <f>ChapterMaster!$E$17</f>
        <v/>
      </c>
      <c r="E20" s="28">
        <f>IF(ChapterMaster!$G17=0,"",ChapterMaster!$G17)</f>
        <v/>
      </c>
      <c r="F20" s="29">
        <f>IF(OR(ChapterMaster!$G17="",ChapterMaster!$G17=0),"",IF(ChapterMaster!$G17&gt;ChapterMaster!$E17,ROUND(ChapterMaster!$G17-ChapterMaster!$E17,2),""))</f>
        <v/>
      </c>
      <c r="G20" s="27">
        <f>IF($F20="","","#101 (Addendum to BPOC)")</f>
        <v/>
      </c>
    </row>
    <row r="21">
      <c r="B21" s="27">
        <f>ChapterMaster!$C$18</f>
        <v/>
      </c>
      <c r="C21" s="27">
        <f>ChapterMaster!$D$18</f>
        <v/>
      </c>
      <c r="D21" s="28">
        <f>ChapterMaster!$E$18</f>
        <v/>
      </c>
      <c r="E21" s="28">
        <f>IF(ChapterMaster!$G18=0,"",ChapterMaster!$G18)</f>
        <v/>
      </c>
      <c r="F21" s="29">
        <f>IF(OR(ChapterMaster!$G18="",ChapterMaster!$G18=0),"",IF(ChapterMaster!$G18&gt;ChapterMaster!$E18,ROUND(ChapterMaster!$G18-ChapterMaster!$E18,2),""))</f>
        <v/>
      </c>
      <c r="G21" s="27">
        <f>IF($F21="","","#101 (Addendum to BPOC)")</f>
        <v/>
      </c>
    </row>
    <row r="22">
      <c r="B22" s="27">
        <f>ChapterMaster!$C$19</f>
        <v/>
      </c>
      <c r="C22" s="27">
        <f>ChapterMaster!$D$19</f>
        <v/>
      </c>
      <c r="D22" s="28">
        <f>ChapterMaster!$E$19</f>
        <v/>
      </c>
      <c r="E22" s="28">
        <f>IF(ChapterMaster!$G19=0,"",ChapterMaster!$G19)</f>
        <v/>
      </c>
      <c r="F22" s="29">
        <f>IF(OR(ChapterMaster!$G19="",ChapterMaster!$G19=0),"",IF(ChapterMaster!$G19&gt;ChapterMaster!$E19,ROUND(ChapterMaster!$G19-ChapterMaster!$E19,2),""))</f>
        <v/>
      </c>
      <c r="G22" s="27">
        <f>IF($F22="","","#101 (Addendum to BPOC)")</f>
        <v/>
      </c>
    </row>
    <row r="23">
      <c r="B23" s="27">
        <f>ChapterMaster!$C$20</f>
        <v/>
      </c>
      <c r="C23" s="27">
        <f>ChapterMaster!$D$20</f>
        <v/>
      </c>
      <c r="D23" s="28">
        <f>ChapterMaster!$E$20</f>
        <v/>
      </c>
      <c r="E23" s="28">
        <f>IF(ChapterMaster!$G20=0,"",ChapterMaster!$G20)</f>
        <v/>
      </c>
      <c r="F23" s="29">
        <f>IF(OR(ChapterMaster!$G20="",ChapterMaster!$G20=0),"",IF(ChapterMaster!$G20&gt;ChapterMaster!$E20,ROUND(ChapterMaster!$G20-ChapterMaster!$E20,2),""))</f>
        <v/>
      </c>
      <c r="G23" s="27">
        <f>IF($F23="","","#101 (Addendum to BPOC)")</f>
        <v/>
      </c>
    </row>
    <row r="24">
      <c r="B24" s="27">
        <f>ChapterMaster!$C$21</f>
        <v/>
      </c>
      <c r="C24" s="27">
        <f>ChapterMaster!$D$21</f>
        <v/>
      </c>
      <c r="D24" s="28">
        <f>ChapterMaster!$E$21</f>
        <v/>
      </c>
      <c r="E24" s="28">
        <f>IF(ChapterMaster!$G21=0,"",ChapterMaster!$G21)</f>
        <v/>
      </c>
      <c r="F24" s="29">
        <f>IF(OR(ChapterMaster!$G21="",ChapterMaster!$G21=0),"",IF(ChapterMaster!$G21&gt;ChapterMaster!$E21,ROUND(ChapterMaster!$G21-ChapterMaster!$E21,2),""))</f>
        <v/>
      </c>
      <c r="G24" s="27">
        <f>IF($F24="","","#101 (Addendum to BPOC)")</f>
        <v/>
      </c>
    </row>
    <row r="25">
      <c r="B25" s="27">
        <f>ChapterMaster!$C$22</f>
        <v/>
      </c>
      <c r="C25" s="27">
        <f>ChapterMaster!$D$22</f>
        <v/>
      </c>
      <c r="D25" s="28">
        <f>ChapterMaster!$E$22</f>
        <v/>
      </c>
      <c r="E25" s="28">
        <f>IF(ChapterMaster!$G22=0,"",ChapterMaster!$G22)</f>
        <v/>
      </c>
      <c r="F25" s="29">
        <f>IF(OR(ChapterMaster!$G22="",ChapterMaster!$G22=0),"",IF(ChapterMaster!$G22&gt;ChapterMaster!$E22,ROUND(ChapterMaster!$G22-ChapterMaster!$E22,2),""))</f>
        <v/>
      </c>
      <c r="G25" s="27">
        <f>IF($F25="","","#101 (Addendum to BPOC)")</f>
        <v/>
      </c>
    </row>
    <row r="26">
      <c r="B26" s="27">
        <f>ChapterMaster!$C$23</f>
        <v/>
      </c>
      <c r="C26" s="27">
        <f>ChapterMaster!$D$23</f>
        <v/>
      </c>
      <c r="D26" s="28">
        <f>ChapterMaster!$E$23</f>
        <v/>
      </c>
      <c r="E26" s="28">
        <f>IF(ChapterMaster!$G23=0,"",ChapterMaster!$G23)</f>
        <v/>
      </c>
      <c r="F26" s="29">
        <f>IF(OR(ChapterMaster!$G23="",ChapterMaster!$G23=0),"",IF(ChapterMaster!$G23&gt;ChapterMaster!$E23,ROUND(ChapterMaster!$G23-ChapterMaster!$E23,2),""))</f>
        <v/>
      </c>
      <c r="G26" s="27">
        <f>IF($F26="","","#101 (Addendum to BPOC)")</f>
        <v/>
      </c>
    </row>
    <row r="27">
      <c r="B27" s="27">
        <f>ChapterMaster!$C$24</f>
        <v/>
      </c>
      <c r="C27" s="27">
        <f>ChapterMaster!$D$24</f>
        <v/>
      </c>
      <c r="D27" s="28">
        <f>ChapterMaster!$E$24</f>
        <v/>
      </c>
      <c r="E27" s="28">
        <f>IF(ChapterMaster!$G24=0,"",ChapterMaster!$G24)</f>
        <v/>
      </c>
      <c r="F27" s="29">
        <f>IF(OR(ChapterMaster!$G24="",ChapterMaster!$G24=0),"",IF(ChapterMaster!$G24&gt;ChapterMaster!$E24,ROUND(ChapterMaster!$G24-ChapterMaster!$E24,2),""))</f>
        <v/>
      </c>
      <c r="G27" s="27">
        <f>IF($F27="","","#101 (Addendum to BPOC)")</f>
        <v/>
      </c>
    </row>
    <row r="28">
      <c r="B28" s="27">
        <f>ChapterMaster!$C$25</f>
        <v/>
      </c>
      <c r="C28" s="27">
        <f>ChapterMaster!$D$25</f>
        <v/>
      </c>
      <c r="D28" s="28">
        <f>ChapterMaster!$E$25</f>
        <v/>
      </c>
      <c r="E28" s="28">
        <f>IF(ChapterMaster!$G25=0,"",ChapterMaster!$G25)</f>
        <v/>
      </c>
      <c r="F28" s="29">
        <f>IF(OR(ChapterMaster!$G25="",ChapterMaster!$G25=0),"",IF(ChapterMaster!$G25&gt;ChapterMaster!$E25,ROUND(ChapterMaster!$G25-ChapterMaster!$E25,2),""))</f>
        <v/>
      </c>
      <c r="G28" s="27">
        <f>IF($F28="","","#101 (Addendum to BPOC)")</f>
        <v/>
      </c>
    </row>
    <row r="29">
      <c r="B29" s="27">
        <f>ChapterMaster!$C$26</f>
        <v/>
      </c>
      <c r="C29" s="27">
        <f>ChapterMaster!$D$26</f>
        <v/>
      </c>
      <c r="D29" s="28">
        <f>ChapterMaster!$E$26</f>
        <v/>
      </c>
      <c r="E29" s="28">
        <f>IF(ChapterMaster!$G26=0,"",ChapterMaster!$G26)</f>
        <v/>
      </c>
      <c r="F29" s="29">
        <f>IF(OR(ChapterMaster!$G26="",ChapterMaster!$G26=0),"",IF(ChapterMaster!$G26&gt;ChapterMaster!$E26,ROUND(ChapterMaster!$G26-ChapterMaster!$E26,2),""))</f>
        <v/>
      </c>
      <c r="G29" s="27">
        <f>IF($F29="","","#101 (Addendum to BPOC)")</f>
        <v/>
      </c>
    </row>
    <row r="30">
      <c r="B30" s="27">
        <f>ChapterMaster!$C$27</f>
        <v/>
      </c>
      <c r="C30" s="27">
        <f>ChapterMaster!$D$27</f>
        <v/>
      </c>
      <c r="D30" s="28">
        <f>ChapterMaster!$E$27</f>
        <v/>
      </c>
      <c r="E30" s="28">
        <f>IF(ChapterMaster!$G27=0,"",ChapterMaster!$G27)</f>
        <v/>
      </c>
      <c r="F30" s="29">
        <f>IF(OR(ChapterMaster!$G27="",ChapterMaster!$G27=0),"",IF(ChapterMaster!$G27&gt;ChapterMaster!$E27,ROUND(ChapterMaster!$G27-ChapterMaster!$E27,2),""))</f>
        <v/>
      </c>
      <c r="G30" s="27">
        <f>IF($F30="","","#101 (Addendum to BPOC)")</f>
        <v/>
      </c>
    </row>
    <row r="31">
      <c r="B31" s="27">
        <f>ChapterMaster!$C$28</f>
        <v/>
      </c>
      <c r="C31" s="27">
        <f>ChapterMaster!$D$28</f>
        <v/>
      </c>
      <c r="D31" s="28">
        <f>ChapterMaster!$E$28</f>
        <v/>
      </c>
      <c r="E31" s="28">
        <f>IF(ChapterMaster!$G28=0,"",ChapterMaster!$G28)</f>
        <v/>
      </c>
      <c r="F31" s="29">
        <f>IF(OR(ChapterMaster!$G28="",ChapterMaster!$G28=0),"",IF(ChapterMaster!$G28&gt;ChapterMaster!$E28,ROUND(ChapterMaster!$G28-ChapterMaster!$E28,2),""))</f>
        <v/>
      </c>
      <c r="G31" s="27">
        <f>IF($F31="","","#101 (Addendum to BPOC)")</f>
        <v/>
      </c>
    </row>
    <row r="32">
      <c r="B32" s="27">
        <f>ChapterMaster!$C$29</f>
        <v/>
      </c>
      <c r="C32" s="27">
        <f>ChapterMaster!$D$29</f>
        <v/>
      </c>
      <c r="D32" s="28">
        <f>ChapterMaster!$E$29</f>
        <v/>
      </c>
      <c r="E32" s="28">
        <f>IF(ChapterMaster!$G29=0,"",ChapterMaster!$G29)</f>
        <v/>
      </c>
      <c r="F32" s="29">
        <f>IF(OR(ChapterMaster!$G29="",ChapterMaster!$G29=0),"",IF(ChapterMaster!$G29&gt;ChapterMaster!$E29,ROUND(ChapterMaster!$G29-ChapterMaster!$E29,2),""))</f>
        <v/>
      </c>
      <c r="G32" s="27">
        <f>IF($F32="","","#101 (Addendum to BPOC)")</f>
        <v/>
      </c>
    </row>
    <row r="33">
      <c r="B33" s="27">
        <f>ChapterMaster!$C$30</f>
        <v/>
      </c>
      <c r="C33" s="27">
        <f>ChapterMaster!$D$30</f>
        <v/>
      </c>
      <c r="D33" s="28">
        <f>ChapterMaster!$E$30</f>
        <v/>
      </c>
      <c r="E33" s="28">
        <f>IF(ChapterMaster!$G30=0,"",ChapterMaster!$G30)</f>
        <v/>
      </c>
      <c r="F33" s="29">
        <f>IF(OR(ChapterMaster!$G30="",ChapterMaster!$G30=0),"",IF(ChapterMaster!$G30&gt;ChapterMaster!$E30,ROUND(ChapterMaster!$G30-ChapterMaster!$E30,2),""))</f>
        <v/>
      </c>
      <c r="G33" s="27">
        <f>IF($F33="","","#101 (Addendum to BPOC)")</f>
        <v/>
      </c>
    </row>
    <row r="34">
      <c r="B34" s="27">
        <f>ChapterMaster!$C$31</f>
        <v/>
      </c>
      <c r="C34" s="27">
        <f>ChapterMaster!$D$31</f>
        <v/>
      </c>
      <c r="D34" s="28">
        <f>ChapterMaster!$E$31</f>
        <v/>
      </c>
      <c r="E34" s="28">
        <f>IF(ChapterMaster!$G31=0,"",ChapterMaster!$G31)</f>
        <v/>
      </c>
      <c r="F34" s="29">
        <f>IF(OR(ChapterMaster!$G31="",ChapterMaster!$G31=0),"",IF(ChapterMaster!$G31&gt;ChapterMaster!$E31,ROUND(ChapterMaster!$G31-ChapterMaster!$E31,2),""))</f>
        <v/>
      </c>
      <c r="G34" s="27">
        <f>IF($F34="","","#101 (Addendum to BPOC)")</f>
        <v/>
      </c>
    </row>
    <row r="35">
      <c r="B35" s="27">
        <f>ChapterMaster!$C$32</f>
        <v/>
      </c>
      <c r="C35" s="27">
        <f>ChapterMaster!$D$32</f>
        <v/>
      </c>
      <c r="D35" s="28">
        <f>ChapterMaster!$E$32</f>
        <v/>
      </c>
      <c r="E35" s="28">
        <f>IF(ChapterMaster!$G32=0,"",ChapterMaster!$G32)</f>
        <v/>
      </c>
      <c r="F35" s="29">
        <f>IF(OR(ChapterMaster!$G32="",ChapterMaster!$G32=0),"",IF(ChapterMaster!$G32&gt;ChapterMaster!$E32,ROUND(ChapterMaster!$G32-ChapterMaster!$E32,2),""))</f>
        <v/>
      </c>
      <c r="G35" s="27">
        <f>IF($F35="","","#101 (Addendum to BPOC)")</f>
        <v/>
      </c>
    </row>
    <row r="36">
      <c r="B36" s="27">
        <f>ChapterMaster!$C$33</f>
        <v/>
      </c>
      <c r="C36" s="27">
        <f>ChapterMaster!$D$33</f>
        <v/>
      </c>
      <c r="D36" s="28">
        <f>ChapterMaster!$E$33</f>
        <v/>
      </c>
      <c r="E36" s="28">
        <f>IF(ChapterMaster!$G33=0,"",ChapterMaster!$G33)</f>
        <v/>
      </c>
      <c r="F36" s="29">
        <f>IF(OR(ChapterMaster!$G33="",ChapterMaster!$G33=0),"",IF(ChapterMaster!$G33&gt;ChapterMaster!$E33,ROUND(ChapterMaster!$G33-ChapterMaster!$E33,2),""))</f>
        <v/>
      </c>
      <c r="G36" s="27">
        <f>IF($F36="","","#101 (Addendum to BPOC)")</f>
        <v/>
      </c>
    </row>
    <row r="37">
      <c r="B37" s="27">
        <f>ChapterMaster!$C$34</f>
        <v/>
      </c>
      <c r="C37" s="27">
        <f>ChapterMaster!$D$34</f>
        <v/>
      </c>
      <c r="D37" s="28">
        <f>ChapterMaster!$E$34</f>
        <v/>
      </c>
      <c r="E37" s="28">
        <f>IF(ChapterMaster!$G34=0,"",ChapterMaster!$G34)</f>
        <v/>
      </c>
      <c r="F37" s="29">
        <f>IF(OR(ChapterMaster!$G34="",ChapterMaster!$G34=0),"",IF(ChapterMaster!$G34&gt;ChapterMaster!$E34,ROUND(ChapterMaster!$G34-ChapterMaster!$E34,2),""))</f>
        <v/>
      </c>
      <c r="G37" s="27">
        <f>IF($F37="","","#101 (Addendum to BPOC)")</f>
        <v/>
      </c>
    </row>
    <row r="38">
      <c r="B38" s="27">
        <f>ChapterMaster!$C$35</f>
        <v/>
      </c>
      <c r="C38" s="27">
        <f>ChapterMaster!$D$35</f>
        <v/>
      </c>
      <c r="D38" s="28">
        <f>ChapterMaster!$E$35</f>
        <v/>
      </c>
      <c r="E38" s="28">
        <f>IF(ChapterMaster!$G35=0,"",ChapterMaster!$G35)</f>
        <v/>
      </c>
      <c r="F38" s="29">
        <f>IF(OR(ChapterMaster!$G35="",ChapterMaster!$G35=0),"",IF(ChapterMaster!$G35&gt;ChapterMaster!$E35,ROUND(ChapterMaster!$G35-ChapterMaster!$E35,2),""))</f>
        <v/>
      </c>
      <c r="G38" s="27">
        <f>IF($F38="","","#101 (Addendum to BPOC)")</f>
        <v/>
      </c>
    </row>
    <row r="39">
      <c r="B39" s="27">
        <f>ChapterMaster!$C$36</f>
        <v/>
      </c>
      <c r="C39" s="27">
        <f>ChapterMaster!$D$36</f>
        <v/>
      </c>
      <c r="D39" s="28">
        <f>ChapterMaster!$E$36</f>
        <v/>
      </c>
      <c r="E39" s="28">
        <f>IF(ChapterMaster!$G36=0,"",ChapterMaster!$G36)</f>
        <v/>
      </c>
      <c r="F39" s="29">
        <f>IF(OR(ChapterMaster!$G36="",ChapterMaster!$G36=0),"",IF(ChapterMaster!$G36&gt;ChapterMaster!$E36,ROUND(ChapterMaster!$G36-ChapterMaster!$E36,2),""))</f>
        <v/>
      </c>
      <c r="G39" s="27">
        <f>IF($F39="","","#101 (Addendum to BPOC)")</f>
        <v/>
      </c>
    </row>
    <row r="40">
      <c r="B40" s="27">
        <f>ChapterMaster!$C$37</f>
        <v/>
      </c>
      <c r="C40" s="27">
        <f>ChapterMaster!$D$37</f>
        <v/>
      </c>
      <c r="D40" s="28">
        <f>ChapterMaster!$E$37</f>
        <v/>
      </c>
      <c r="E40" s="28">
        <f>IF(ChapterMaster!$G37=0,"",ChapterMaster!$G37)</f>
        <v/>
      </c>
      <c r="F40" s="29">
        <f>IF(OR(ChapterMaster!$G37="",ChapterMaster!$G37=0),"",IF(ChapterMaster!$G37&gt;ChapterMaster!$E37,ROUND(ChapterMaster!$G37-ChapterMaster!$E37,2),""))</f>
        <v/>
      </c>
      <c r="G40" s="27">
        <f>IF($F40="","","#2040 (Arrest and Control)")</f>
        <v/>
      </c>
    </row>
    <row r="41">
      <c r="B41" s="27">
        <f>ChapterMaster!$C$38</f>
        <v/>
      </c>
      <c r="C41" s="27">
        <f>ChapterMaster!$D$38</f>
        <v/>
      </c>
      <c r="D41" s="28">
        <f>ChapterMaster!$E$38</f>
        <v/>
      </c>
      <c r="E41" s="28">
        <f>IF(ChapterMaster!$G38=0,"",ChapterMaster!$G38)</f>
        <v/>
      </c>
      <c r="F41" s="29">
        <f>IF(OR(ChapterMaster!$G38="",ChapterMaster!$G38=0),"",IF(ChapterMaster!$G38&gt;ChapterMaster!$E38,ROUND(ChapterMaster!$G38-ChapterMaster!$E38,2),""))</f>
        <v/>
      </c>
      <c r="G41" s="27">
        <f>IF($F41="","","#101 (Addendum to BPOC)")</f>
        <v/>
      </c>
    </row>
    <row r="42">
      <c r="B42" s="27">
        <f>ChapterMaster!$C$39</f>
        <v/>
      </c>
      <c r="C42" s="27">
        <f>ChapterMaster!$D$39</f>
        <v/>
      </c>
      <c r="D42" s="28">
        <f>ChapterMaster!$E$39</f>
        <v/>
      </c>
      <c r="E42" s="28">
        <f>IF(ChapterMaster!$G39=0,"",ChapterMaster!$G39)</f>
        <v/>
      </c>
      <c r="F42" s="29">
        <f>IF(OR(ChapterMaster!$G39="",ChapterMaster!$G39=0),"",IF(ChapterMaster!$G39&gt;ChapterMaster!$E39,ROUND(ChapterMaster!$G39-ChapterMaster!$E39,2),""))</f>
        <v/>
      </c>
      <c r="G42" s="27">
        <f>IF($F42="","","#101 (Addendum to BPOC)")</f>
        <v/>
      </c>
    </row>
    <row r="43">
      <c r="B43" s="27">
        <f>ChapterMaster!$C$40</f>
        <v/>
      </c>
      <c r="C43" s="27">
        <f>ChapterMaster!$D$40</f>
        <v/>
      </c>
      <c r="D43" s="28">
        <f>ChapterMaster!$E$40</f>
        <v/>
      </c>
      <c r="E43" s="28">
        <f>IF(ChapterMaster!$G40=0,"",ChapterMaster!$G40)</f>
        <v/>
      </c>
      <c r="F43" s="29">
        <f>IF(OR(ChapterMaster!$G40="",ChapterMaster!$G40=0),"",IF(ChapterMaster!$G40&gt;ChapterMaster!$E40,ROUND(ChapterMaster!$G40-ChapterMaster!$E40,2),""))</f>
        <v/>
      </c>
      <c r="G43" s="27">
        <f>IF($F43="","","#2046 (Professional Police Driving)")</f>
        <v/>
      </c>
    </row>
    <row r="44">
      <c r="B44" s="27">
        <f>ChapterMaster!$C$41</f>
        <v/>
      </c>
      <c r="C44" s="27">
        <f>ChapterMaster!$D$41</f>
        <v/>
      </c>
      <c r="D44" s="28">
        <f>ChapterMaster!$E$41</f>
        <v/>
      </c>
      <c r="E44" s="28">
        <f>IF(ChapterMaster!$G41=0,"",ChapterMaster!$G41)</f>
        <v/>
      </c>
      <c r="F44" s="29">
        <f>IF(OR(ChapterMaster!$G41="",ChapterMaster!$G41=0),"",IF(ChapterMaster!$G41&gt;ChapterMaster!$E41,ROUND(ChapterMaster!$G41-ChapterMaster!$E41,2),""))</f>
        <v/>
      </c>
      <c r="G44" s="27">
        <f>IF($F44="","","#101 (Addendum to BPOC)")</f>
        <v/>
      </c>
    </row>
    <row r="45">
      <c r="B45" s="27">
        <f>ChapterMaster!$C$42</f>
        <v/>
      </c>
      <c r="C45" s="27">
        <f>ChapterMaster!$D$42</f>
        <v/>
      </c>
      <c r="D45" s="28">
        <f>ChapterMaster!$E$42</f>
        <v/>
      </c>
      <c r="E45" s="28">
        <f>IF(ChapterMaster!$G42=0,"",ChapterMaster!$G42)</f>
        <v/>
      </c>
      <c r="F45" s="29">
        <f>IF(OR(ChapterMaster!$G42="",ChapterMaster!$G42=0),"",IF(ChapterMaster!$G42&gt;ChapterMaster!$E42,ROUND(ChapterMaster!$G42-ChapterMaster!$E42,2),""))</f>
        <v/>
      </c>
      <c r="G45" s="27">
        <f>IF($F45="","","#101 (Addendum to BPOC)")</f>
        <v/>
      </c>
    </row>
    <row r="46">
      <c r="B46" s="27">
        <f>ChapterMaster!$C$43</f>
        <v/>
      </c>
      <c r="C46" s="27">
        <f>ChapterMaster!$D$43</f>
        <v/>
      </c>
      <c r="D46" s="28">
        <f>ChapterMaster!$E$43</f>
        <v/>
      </c>
      <c r="E46" s="28">
        <f>IF(ChapterMaster!$G43=0,"",ChapterMaster!$G43)</f>
        <v/>
      </c>
      <c r="F46" s="29">
        <f>IF(OR(ChapterMaster!$G43="",ChapterMaster!$G43=0),"",IF(ChapterMaster!$G43&gt;ChapterMaster!$E43,ROUND(ChapterMaster!$G43-ChapterMaster!$E43,2),""))</f>
        <v/>
      </c>
      <c r="G46" s="27">
        <f>IF($F46="","","#101 (Addendum to BPOC)")</f>
        <v/>
      </c>
    </row>
    <row r="47">
      <c r="B47" s="27">
        <f>ChapterMaster!$C$44</f>
        <v/>
      </c>
      <c r="C47" s="27">
        <f>ChapterMaster!$D$44</f>
        <v/>
      </c>
      <c r="D47" s="28">
        <f>ChapterMaster!$E$44</f>
        <v/>
      </c>
      <c r="E47" s="28">
        <f>IF(ChapterMaster!$G44=0,"",ChapterMaster!$G44)</f>
        <v/>
      </c>
      <c r="F47" s="29">
        <f>IF(OR(ChapterMaster!$G44="",ChapterMaster!$G44=0),"",IF(ChapterMaster!$G44&gt;ChapterMaster!$E44,ROUND(ChapterMaster!$G44-ChapterMaster!$E44,2),""))</f>
        <v/>
      </c>
      <c r="G47" s="27">
        <f>IF($F47="","","#101 (Addendum to BPOC)")</f>
        <v/>
      </c>
    </row>
    <row r="48">
      <c r="B48" s="27">
        <f>ChapterMaster!$C$45</f>
        <v/>
      </c>
      <c r="C48" s="27">
        <f>ChapterMaster!$D$45</f>
        <v/>
      </c>
      <c r="D48" s="28">
        <f>ChapterMaster!$E$45</f>
        <v/>
      </c>
      <c r="E48" s="28">
        <f>IF(ChapterMaster!$G45=0,"",ChapterMaster!$G45)</f>
        <v/>
      </c>
      <c r="F48" s="29">
        <f>IF(OR(ChapterMaster!$G45="",ChapterMaster!$G45=0),"",IF(ChapterMaster!$G45&gt;ChapterMaster!$E45,ROUND(ChapterMaster!$G45-ChapterMaster!$E45,2),""))</f>
        <v/>
      </c>
      <c r="G48" s="27">
        <f>IF($F48="","","#101 (Addendum to BPOC)")</f>
        <v/>
      </c>
    </row>
    <row r="49">
      <c r="B49" s="27">
        <f>ChapterMaster!$C$46</f>
        <v/>
      </c>
      <c r="C49" s="27">
        <f>ChapterMaster!$D$46</f>
        <v/>
      </c>
      <c r="D49" s="28">
        <f>ChapterMaster!$E$46</f>
        <v/>
      </c>
      <c r="E49" s="28">
        <f>IF(ChapterMaster!$G46=0,"",ChapterMaster!$G46)</f>
        <v/>
      </c>
      <c r="F49" s="29">
        <f>IF(OR(ChapterMaster!$G46="",ChapterMaster!$G46=0),"",IF(ChapterMaster!$G46&gt;ChapterMaster!$E46,ROUND(ChapterMaster!$G46-ChapterMaster!$E46,2),""))</f>
        <v/>
      </c>
      <c r="G49" s="27">
        <f>IF($F49="","","#101 (Addendum to BPOC)")</f>
        <v/>
      </c>
    </row>
    <row r="50">
      <c r="B50" s="27">
        <f>ChapterMaster!$C$47</f>
        <v/>
      </c>
      <c r="C50" s="27">
        <f>ChapterMaster!$D$47</f>
        <v/>
      </c>
      <c r="D50" s="28">
        <f>ChapterMaster!$E$47</f>
        <v/>
      </c>
      <c r="E50" s="28">
        <f>IF(ChapterMaster!$G47=0,"",ChapterMaster!$G47)</f>
        <v/>
      </c>
      <c r="F50" s="29">
        <f>IF(OR(ChapterMaster!$G47="",ChapterMaster!$G47=0),"",IF(ChapterMaster!$G47&gt;ChapterMaster!$E47,ROUND(ChapterMaster!$G47-ChapterMaster!$E47,2),""))</f>
        <v/>
      </c>
      <c r="G50" s="27">
        <f>IF($F50="","","#2055 (Firearms)")</f>
        <v/>
      </c>
    </row>
    <row r="51">
      <c r="B51" s="27">
        <f>ChapterMaster!$C$48</f>
        <v/>
      </c>
      <c r="C51" s="27">
        <f>ChapterMaster!$D$48</f>
        <v/>
      </c>
      <c r="D51" s="28">
        <f>ChapterMaster!$E$48</f>
        <v/>
      </c>
      <c r="E51" s="28">
        <f>IF(ChapterMaster!$G48=0,"",ChapterMaster!$G48)</f>
        <v/>
      </c>
      <c r="F51" s="29">
        <f>IF(OR(ChapterMaster!$G48="",ChapterMaster!$G48=0),"",IF(ChapterMaster!$G48&gt;ChapterMaster!$E48,ROUND(ChapterMaster!$G48-ChapterMaster!$E48,2),""))</f>
        <v/>
      </c>
      <c r="G51" s="27">
        <f>IF($F51="","","#101 (Addendum to BPOC)")</f>
        <v/>
      </c>
    </row>
    <row r="52">
      <c r="B52" s="27">
        <f>ChapterMaster!$C$49</f>
        <v/>
      </c>
      <c r="C52" s="27">
        <f>ChapterMaster!$D$49</f>
        <v/>
      </c>
      <c r="D52" s="28">
        <f>ChapterMaster!$E$49</f>
        <v/>
      </c>
      <c r="E52" s="28">
        <f>IF(ChapterMaster!$G49=0,"",ChapterMaster!$G49)</f>
        <v/>
      </c>
      <c r="F52" s="29">
        <f>IF(OR(ChapterMaster!$G49="",ChapterMaster!$G49=0),"",IF(ChapterMaster!$G49&gt;ChapterMaster!$E49,ROUND(ChapterMaster!$G49-ChapterMaster!$E49,2),""))</f>
        <v/>
      </c>
      <c r="G52" s="27">
        <f>IF($F52="","","#101 (Addendum to BPOC)")</f>
        <v/>
      </c>
    </row>
    <row r="53"/>
    <row r="54">
      <c r="C54" s="3" t="inlineStr">
        <is>
          <t>Total excess to report:</t>
        </is>
      </c>
      <c r="F54" s="1">
        <f>SUM(F9:F52)</f>
        <v/>
      </c>
    </row>
    <row r="55">
      <c r="C55" s="3" t="inlineStr">
        <is>
          <t>— of which under #101 (Addendum):</t>
        </is>
      </c>
      <c r="F55" s="20">
        <f>SUMPRODUCT(($F9:$F52&lt;&gt;"")*($G9:$G52="#101 (Addendum to BPOC)")*IFERROR($F9:$F52+0,0))</f>
        <v/>
      </c>
    </row>
    <row r="56">
      <c r="C56" s="3" t="inlineStr">
        <is>
          <t>— of which under separate course #s:</t>
        </is>
      </c>
      <c r="F56" s="20">
        <f>SUMPRODUCT(($F9:$F52&lt;&gt;"")*($G9:$G52&lt;&gt;"#101 (Addendum to BPOC)")*($G9:$G52&lt;&gt;"")*IFERROR($F9:$F52+0,0))</f>
        <v/>
      </c>
    </row>
    <row r="57"/>
    <row r="58">
      <c r="B58" s="3" t="inlineStr">
        <is>
          <t>Training Coordinator:</t>
        </is>
      </c>
      <c r="D58" s="14" t="inlineStr">
        <is>
          <t>_______________________</t>
        </is>
      </c>
      <c r="F58" s="3" t="inlineStr">
        <is>
          <t>Date:</t>
        </is>
      </c>
      <c r="G58" s="14" t="inlineStr">
        <is>
          <t>____________</t>
        </is>
      </c>
    </row>
    <row r="59"/>
    <row r="60">
      <c r="B60"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3">
      <formula>AND($F9&lt;&gt;"",$F9&gt;0)</formula>
    </cfRule>
  </conditionalFormatting>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J6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30"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_xlfn.LET(_xlpm.c,IFERROR(INDEX(rngEPcode,MATCH(cfgPacketChapter,rngEPch,0)),""),IF(_xlpm.c="","—",IFERROR(ROUND(AVERAGEIFS(nrES_Rec,nrES_Code,_xlpm.c,nrES_Final,"Yes"),1),"—")&amp;" / "&amp;IFERROR(_xlfn.MINIFS(nrES_Rec,nrES_Code,_xlpm.c,nrES_Final,"Yes"),"—")&amp;" / "&amp;COUNTIFS(nrES_Code,_xlpm.c,nrES_Final,"Yes",nrES_Rec,"&lt;"&amp;cfgPassingScore)))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"&amp;nrInstrChTaught&amp;","))),12),"— none on the schedule yet —"))</f>
        <v/>
      </c>
    </row>
    <row r="21"/>
    <row r="22"/>
    <row r="23"/>
    <row r="24"/>
    <row r="25"/>
    <row r="26"/>
    <row r="27"/>
    <row r="28"/>
    <row r="29"/>
    <row r="30"/>
    <row r="31"/>
    <row r="32" ht="16" customHeight="1">
      <c r="B32" s="7" t="inlineStr">
        <is>
          <t>Schedule blocks delivered</t>
        </is>
      </c>
      <c r="C32" s="8" t="n"/>
      <c r="D32" s="8" t="n"/>
      <c r="E32" s="8" t="n"/>
      <c r="F32" s="8" t="n"/>
      <c r="G32" s="8" t="n"/>
      <c r="H32" s="8" t="n"/>
      <c r="I32" s="8" t="n"/>
    </row>
    <row r="33">
      <c r="B33">
        <f>IF(cfgPacketChapter="","— pick a chapter in C5 —",IFERROR(_xlfn.TAKE(_xlfn._xlws.FILTER(_xlfn.HSTACK(TEXT(nrSCH_Date,"mm/dd/yyyy"),TEXT(nrSCH_Start,"h:mm AM/PM"),TEXT(nrSCH_End,"h:mm AM/PM"),nrSCH_Act,nrSCH_Instr),(nrSCH_ChNum&lt;&gt;"")*(nrSCH_ChNum=cfgPacketChapter)),32),"— no blocks scheduled —"))</f>
        <v/>
      </c>
    </row>
    <row r="34"/>
    <row r="35"/>
    <row r="36"/>
    <row r="37"/>
    <row r="38"/>
    <row r="39"/>
    <row r="40"/>
    <row r="41"/>
    <row r="42"/>
    <row r="43"/>
    <row r="44"/>
    <row r="45"/>
    <row r="46"/>
    <row r="47"/>
    <row r="48"/>
    <row r="49"/>
    <row r="50"/>
    <row r="51"/>
    <row r="52"/>
    <row r="53"/>
    <row r="54"/>
    <row r="55"/>
    <row r="56"/>
    <row r="57"/>
    <row r="58"/>
    <row r="59"/>
    <row r="60"/>
    <row r="61"/>
    <row r="62"/>
    <row r="63"/>
    <row r="64"/>
    <row r="65">
      <c r="B65" s="3" t="inlineStr">
        <is>
          <t>Training Coordinator:</t>
        </is>
      </c>
      <c r="D65" s="14" t="inlineStr">
        <is>
          <t>_______________________</t>
        </is>
      </c>
      <c r="F65" s="3" t="inlineStr">
        <is>
          <t>Date:</t>
        </is>
      </c>
      <c r="G6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32:I32"/>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I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8" customWidth="1" min="5" max="5"/>
    <col width="11" customWidth="1" min="6" max="6"/>
    <col width="11" customWidth="1" min="7" max="7"/>
    <col width="9" customWidth="1" min="8" max="8"/>
    <col width="10" customWidth="1" min="9" max="9"/>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5"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row>
    <row r="11">
      <c r="B11" s="28">
        <f>IF(Cadets!$B6="","",ROW()-10)</f>
        <v/>
      </c>
      <c r="C11" s="27">
        <f>IF(Cadets!$B6="","",Cadets!$F6)</f>
        <v/>
      </c>
      <c r="D11" s="28">
        <f>IF($C11="","",Cadets!$B6)</f>
        <v/>
      </c>
      <c r="E11" s="28">
        <f>IF($C11="","",Cadets!$H6)</f>
        <v/>
      </c>
      <c r="F11" s="28">
        <f>IF($C11="","",_xlfn.LET(_xlpm.c,IFERROR(INDEX(rngEPcode,MATCH(cfgGradeSheetExam,IFERROR(rngEPseq+0,-1),0)),""),IF(COUNTIFS(nrES_PID,Cadets!$B6,nrES_Code,_xlpm.c,nrES_Att,1)=0,"",SUMIFS(nrES_Raw,nrES_PID,Cadets!$B6,nrES_Code,_xlpm.c,nrES_Att,1))))</f>
        <v/>
      </c>
      <c r="G11" s="28">
        <f>IF($C11="","",_xlfn.LET(_xlpm.c,IFERROR(INDEX(rngEPcode,MATCH(cfgGradeSheetExam,IFERROR(rngEPseq+0,-1),0)),""),IF(COUNTIFS(nrES_PID,Cadets!$B6,nrES_Code,_xlpm.c,nrES_Final,"Yes",nrES_Rec,"&lt;&gt;")=0,"",SUMIFS(nrES_Rec,nrES_PID,Cadets!$B6,nrES_Code,_xlpm.c,nrES_Final,"Yes"))))</f>
        <v/>
      </c>
      <c r="H11" s="28">
        <f>IF(OR($C11="",$G11=""),"",IF($G11&gt;=IFERROR(INDEX(rngEPpass,MATCH(cfgGradeSheetExam,IFERROR(rngEPseq+0,-1),0)),cfgPassingScore),"Pass","FAIL"))</f>
        <v/>
      </c>
      <c r="I11" s="28">
        <f>IF($C11="","",_xlfn.LET(_xlpm.c,IFERROR(INDEX(rngEPcode,MATCH(cfgGradeSheetExam,IFERROR(rngEPseq+0,-1),0)),""),IF(COUNTIFS(nrES_PID,Cadets!$B6,nrES_Code,_xlpm.c,nrES_Att,2)&gt;0,"Retested","")))</f>
        <v/>
      </c>
    </row>
    <row r="12">
      <c r="B12" s="28">
        <f>IF(Cadets!$B7="","",ROW()-10)</f>
        <v/>
      </c>
      <c r="C12" s="27">
        <f>IF(Cadets!$B7="","",Cadets!$F7)</f>
        <v/>
      </c>
      <c r="D12" s="28">
        <f>IF($C12="","",Cadets!$B7)</f>
        <v/>
      </c>
      <c r="E12" s="28">
        <f>IF($C12="","",Cadets!$H7)</f>
        <v/>
      </c>
      <c r="F12" s="28">
        <f>IF($C12="","",_xlfn.LET(_xlpm.c,IFERROR(INDEX(rngEPcode,MATCH(cfgGradeSheetExam,IFERROR(rngEPseq+0,-1),0)),""),IF(COUNTIFS(nrES_PID,Cadets!$B7,nrES_Code,_xlpm.c,nrES_Att,1)=0,"",SUMIFS(nrES_Raw,nrES_PID,Cadets!$B7,nrES_Code,_xlpm.c,nrES_Att,1))))</f>
        <v/>
      </c>
      <c r="G12" s="28">
        <f>IF($C12="","",_xlfn.LET(_xlpm.c,IFERROR(INDEX(rngEPcode,MATCH(cfgGradeSheetExam,IFERROR(rngEPseq+0,-1),0)),""),IF(COUNTIFS(nrES_PID,Cadets!$B7,nrES_Code,_xlpm.c,nrES_Final,"Yes",nrES_Rec,"&lt;&gt;")=0,"",SUMIFS(nrES_Rec,nrES_PID,Cadets!$B7,nrES_Code,_xlpm.c,nrES_Final,"Yes"))))</f>
        <v/>
      </c>
      <c r="H12" s="28">
        <f>IF(OR($C12="",$G12=""),"",IF($G12&gt;=IFERROR(INDEX(rngEPpass,MATCH(cfgGradeSheetExam,IFERROR(rngEPseq+0,-1),0)),cfgPassingScore),"Pass","FAIL"))</f>
        <v/>
      </c>
      <c r="I12" s="28">
        <f>IF($C12="","",_xlfn.LET(_xlpm.c,IFERROR(INDEX(rngEPcode,MATCH(cfgGradeSheetExam,IFERROR(rngEPseq+0,-1),0)),""),IF(COUNTIFS(nrES_PID,Cadets!$B7,nrES_Code,_xlpm.c,nrES_Att,2)&gt;0,"Retested","")))</f>
        <v/>
      </c>
    </row>
    <row r="13">
      <c r="B13" s="28">
        <f>IF(Cadets!$B8="","",ROW()-10)</f>
        <v/>
      </c>
      <c r="C13" s="27">
        <f>IF(Cadets!$B8="","",Cadets!$F8)</f>
        <v/>
      </c>
      <c r="D13" s="28">
        <f>IF($C13="","",Cadets!$B8)</f>
        <v/>
      </c>
      <c r="E13" s="28">
        <f>IF($C13="","",Cadets!$H8)</f>
        <v/>
      </c>
      <c r="F13" s="28">
        <f>IF($C13="","",_xlfn.LET(_xlpm.c,IFERROR(INDEX(rngEPcode,MATCH(cfgGradeSheetExam,IFERROR(rngEPseq+0,-1),0)),""),IF(COUNTIFS(nrES_PID,Cadets!$B8,nrES_Code,_xlpm.c,nrES_Att,1)=0,"",SUMIFS(nrES_Raw,nrES_PID,Cadets!$B8,nrES_Code,_xlpm.c,nrES_Att,1))))</f>
        <v/>
      </c>
      <c r="G13" s="28">
        <f>IF($C13="","",_xlfn.LET(_xlpm.c,IFERROR(INDEX(rngEPcode,MATCH(cfgGradeSheetExam,IFERROR(rngEPseq+0,-1),0)),""),IF(COUNTIFS(nrES_PID,Cadets!$B8,nrES_Code,_xlpm.c,nrES_Final,"Yes",nrES_Rec,"&lt;&gt;")=0,"",SUMIFS(nrES_Rec,nrES_PID,Cadets!$B8,nrES_Code,_xlpm.c,nrES_Final,"Yes"))))</f>
        <v/>
      </c>
      <c r="H13" s="28">
        <f>IF(OR($C13="",$G13=""),"",IF($G13&gt;=IFERROR(INDEX(rngEPpass,MATCH(cfgGradeSheetExam,IFERROR(rngEPseq+0,-1),0)),cfgPassingScore),"Pass","FAIL"))</f>
        <v/>
      </c>
      <c r="I13" s="28">
        <f>IF($C13="","",_xlfn.LET(_xlpm.c,IFERROR(INDEX(rngEPcode,MATCH(cfgGradeSheetExam,IFERROR(rngEPseq+0,-1),0)),""),IF(COUNTIFS(nrES_PID,Cadets!$B8,nrES_Code,_xlpm.c,nrES_Att,2)&gt;0,"Retested","")))</f>
        <v/>
      </c>
    </row>
    <row r="14">
      <c r="B14" s="28">
        <f>IF(Cadets!$B9="","",ROW()-10)</f>
        <v/>
      </c>
      <c r="C14" s="27">
        <f>IF(Cadets!$B9="","",Cadets!$F9)</f>
        <v/>
      </c>
      <c r="D14" s="28">
        <f>IF($C14="","",Cadets!$B9)</f>
        <v/>
      </c>
      <c r="E14" s="28">
        <f>IF($C14="","",Cadets!$H9)</f>
        <v/>
      </c>
      <c r="F14" s="28">
        <f>IF($C14="","",_xlfn.LET(_xlpm.c,IFERROR(INDEX(rngEPcode,MATCH(cfgGradeSheetExam,IFERROR(rngEPseq+0,-1),0)),""),IF(COUNTIFS(nrES_PID,Cadets!$B9,nrES_Code,_xlpm.c,nrES_Att,1)=0,"",SUMIFS(nrES_Raw,nrES_PID,Cadets!$B9,nrES_Code,_xlpm.c,nrES_Att,1))))</f>
        <v/>
      </c>
      <c r="G14" s="28">
        <f>IF($C14="","",_xlfn.LET(_xlpm.c,IFERROR(INDEX(rngEPcode,MATCH(cfgGradeSheetExam,IFERROR(rngEPseq+0,-1),0)),""),IF(COUNTIFS(nrES_PID,Cadets!$B9,nrES_Code,_xlpm.c,nrES_Final,"Yes",nrES_Rec,"&lt;&gt;")=0,"",SUMIFS(nrES_Rec,nrES_PID,Cadets!$B9,nrES_Code,_xlpm.c,nrES_Final,"Yes"))))</f>
        <v/>
      </c>
      <c r="H14" s="28">
        <f>IF(OR($C14="",$G14=""),"",IF($G14&gt;=IFERROR(INDEX(rngEPpass,MATCH(cfgGradeSheetExam,IFERROR(rngEPseq+0,-1),0)),cfgPassingScore),"Pass","FAIL"))</f>
        <v/>
      </c>
      <c r="I14" s="28">
        <f>IF($C14="","",_xlfn.LET(_xlpm.c,IFERROR(INDEX(rngEPcode,MATCH(cfgGradeSheetExam,IFERROR(rngEPseq+0,-1),0)),""),IF(COUNTIFS(nrES_PID,Cadets!$B9,nrES_Code,_xlpm.c,nrES_Att,2)&gt;0,"Retested","")))</f>
        <v/>
      </c>
    </row>
    <row r="15">
      <c r="B15" s="28">
        <f>IF(Cadets!$B10="","",ROW()-10)</f>
        <v/>
      </c>
      <c r="C15" s="27">
        <f>IF(Cadets!$B10="","",Cadets!$F10)</f>
        <v/>
      </c>
      <c r="D15" s="28">
        <f>IF($C15="","",Cadets!$B10)</f>
        <v/>
      </c>
      <c r="E15" s="28">
        <f>IF($C15="","",Cadets!$H10)</f>
        <v/>
      </c>
      <c r="F15" s="28">
        <f>IF($C15="","",_xlfn.LET(_xlpm.c,IFERROR(INDEX(rngEPcode,MATCH(cfgGradeSheetExam,IFERROR(rngEPseq+0,-1),0)),""),IF(COUNTIFS(nrES_PID,Cadets!$B10,nrES_Code,_xlpm.c,nrES_Att,1)=0,"",SUMIFS(nrES_Raw,nrES_PID,Cadets!$B10,nrES_Code,_xlpm.c,nrES_Att,1))))</f>
        <v/>
      </c>
      <c r="G15" s="28">
        <f>IF($C15="","",_xlfn.LET(_xlpm.c,IFERROR(INDEX(rngEPcode,MATCH(cfgGradeSheetExam,IFERROR(rngEPseq+0,-1),0)),""),IF(COUNTIFS(nrES_PID,Cadets!$B10,nrES_Code,_xlpm.c,nrES_Final,"Yes",nrES_Rec,"&lt;&gt;")=0,"",SUMIFS(nrES_Rec,nrES_PID,Cadets!$B10,nrES_Code,_xlpm.c,nrES_Final,"Yes"))))</f>
        <v/>
      </c>
      <c r="H15" s="28">
        <f>IF(OR($C15="",$G15=""),"",IF($G15&gt;=IFERROR(INDEX(rngEPpass,MATCH(cfgGradeSheetExam,IFERROR(rngEPseq+0,-1),0)),cfgPassingScore),"Pass","FAIL"))</f>
        <v/>
      </c>
      <c r="I15" s="28">
        <f>IF($C15="","",_xlfn.LET(_xlpm.c,IFERROR(INDEX(rngEPcode,MATCH(cfgGradeSheetExam,IFERROR(rngEPseq+0,-1),0)),""),IF(COUNTIFS(nrES_PID,Cadets!$B10,nrES_Code,_xlpm.c,nrES_Att,2)&gt;0,"Retested","")))</f>
        <v/>
      </c>
    </row>
    <row r="16">
      <c r="B16" s="28">
        <f>IF(Cadets!$B11="","",ROW()-10)</f>
        <v/>
      </c>
      <c r="C16" s="27">
        <f>IF(Cadets!$B11="","",Cadets!$F11)</f>
        <v/>
      </c>
      <c r="D16" s="28">
        <f>IF($C16="","",Cadets!$B11)</f>
        <v/>
      </c>
      <c r="E16" s="28">
        <f>IF($C16="","",Cadets!$H11)</f>
        <v/>
      </c>
      <c r="F16" s="28">
        <f>IF($C16="","",_xlfn.LET(_xlpm.c,IFERROR(INDEX(rngEPcode,MATCH(cfgGradeSheetExam,IFERROR(rngEPseq+0,-1),0)),""),IF(COUNTIFS(nrES_PID,Cadets!$B11,nrES_Code,_xlpm.c,nrES_Att,1)=0,"",SUMIFS(nrES_Raw,nrES_PID,Cadets!$B11,nrES_Code,_xlpm.c,nrES_Att,1))))</f>
        <v/>
      </c>
      <c r="G16" s="28">
        <f>IF($C16="","",_xlfn.LET(_xlpm.c,IFERROR(INDEX(rngEPcode,MATCH(cfgGradeSheetExam,IFERROR(rngEPseq+0,-1),0)),""),IF(COUNTIFS(nrES_PID,Cadets!$B11,nrES_Code,_xlpm.c,nrES_Final,"Yes",nrES_Rec,"&lt;&gt;")=0,"",SUMIFS(nrES_Rec,nrES_PID,Cadets!$B11,nrES_Code,_xlpm.c,nrES_Final,"Yes"))))</f>
        <v/>
      </c>
      <c r="H16" s="28">
        <f>IF(OR($C16="",$G16=""),"",IF($G16&gt;=IFERROR(INDEX(rngEPpass,MATCH(cfgGradeSheetExam,IFERROR(rngEPseq+0,-1),0)),cfgPassingScore),"Pass","FAIL"))</f>
        <v/>
      </c>
      <c r="I16" s="28">
        <f>IF($C16="","",_xlfn.LET(_xlpm.c,IFERROR(INDEX(rngEPcode,MATCH(cfgGradeSheetExam,IFERROR(rngEPseq+0,-1),0)),""),IF(COUNTIFS(nrES_PID,Cadets!$B11,nrES_Code,_xlpm.c,nrES_Att,2)&gt;0,"Retested","")))</f>
        <v/>
      </c>
    </row>
    <row r="17">
      <c r="B17" s="28">
        <f>IF(Cadets!$B12="","",ROW()-10)</f>
        <v/>
      </c>
      <c r="C17" s="27">
        <f>IF(Cadets!$B12="","",Cadets!$F12)</f>
        <v/>
      </c>
      <c r="D17" s="28">
        <f>IF($C17="","",Cadets!$B12)</f>
        <v/>
      </c>
      <c r="E17" s="28">
        <f>IF($C17="","",Cadets!$H12)</f>
        <v/>
      </c>
      <c r="F17" s="28">
        <f>IF($C17="","",_xlfn.LET(_xlpm.c,IFERROR(INDEX(rngEPcode,MATCH(cfgGradeSheetExam,IFERROR(rngEPseq+0,-1),0)),""),IF(COUNTIFS(nrES_PID,Cadets!$B12,nrES_Code,_xlpm.c,nrES_Att,1)=0,"",SUMIFS(nrES_Raw,nrES_PID,Cadets!$B12,nrES_Code,_xlpm.c,nrES_Att,1))))</f>
        <v/>
      </c>
      <c r="G17" s="28">
        <f>IF($C17="","",_xlfn.LET(_xlpm.c,IFERROR(INDEX(rngEPcode,MATCH(cfgGradeSheetExam,IFERROR(rngEPseq+0,-1),0)),""),IF(COUNTIFS(nrES_PID,Cadets!$B12,nrES_Code,_xlpm.c,nrES_Final,"Yes",nrES_Rec,"&lt;&gt;")=0,"",SUMIFS(nrES_Rec,nrES_PID,Cadets!$B12,nrES_Code,_xlpm.c,nrES_Final,"Yes"))))</f>
        <v/>
      </c>
      <c r="H17" s="28">
        <f>IF(OR($C17="",$G17=""),"",IF($G17&gt;=IFERROR(INDEX(rngEPpass,MATCH(cfgGradeSheetExam,IFERROR(rngEPseq+0,-1),0)),cfgPassingScore),"Pass","FAIL"))</f>
        <v/>
      </c>
      <c r="I17" s="28">
        <f>IF($C17="","",_xlfn.LET(_xlpm.c,IFERROR(INDEX(rngEPcode,MATCH(cfgGradeSheetExam,IFERROR(rngEPseq+0,-1),0)),""),IF(COUNTIFS(nrES_PID,Cadets!$B12,nrES_Code,_xlpm.c,nrES_Att,2)&gt;0,"Retested","")))</f>
        <v/>
      </c>
    </row>
    <row r="18">
      <c r="B18" s="28">
        <f>IF(Cadets!$B13="","",ROW()-10)</f>
        <v/>
      </c>
      <c r="C18" s="27">
        <f>IF(Cadets!$B13="","",Cadets!$F13)</f>
        <v/>
      </c>
      <c r="D18" s="28">
        <f>IF($C18="","",Cadets!$B13)</f>
        <v/>
      </c>
      <c r="E18" s="28">
        <f>IF($C18="","",Cadets!$H13)</f>
        <v/>
      </c>
      <c r="F18" s="28">
        <f>IF($C18="","",_xlfn.LET(_xlpm.c,IFERROR(INDEX(rngEPcode,MATCH(cfgGradeSheetExam,IFERROR(rngEPseq+0,-1),0)),""),IF(COUNTIFS(nrES_PID,Cadets!$B13,nrES_Code,_xlpm.c,nrES_Att,1)=0,"",SUMIFS(nrES_Raw,nrES_PID,Cadets!$B13,nrES_Code,_xlpm.c,nrES_Att,1))))</f>
        <v/>
      </c>
      <c r="G18" s="28">
        <f>IF($C18="","",_xlfn.LET(_xlpm.c,IFERROR(INDEX(rngEPcode,MATCH(cfgGradeSheetExam,IFERROR(rngEPseq+0,-1),0)),""),IF(COUNTIFS(nrES_PID,Cadets!$B13,nrES_Code,_xlpm.c,nrES_Final,"Yes",nrES_Rec,"&lt;&gt;")=0,"",SUMIFS(nrES_Rec,nrES_PID,Cadets!$B13,nrES_Code,_xlpm.c,nrES_Final,"Yes"))))</f>
        <v/>
      </c>
      <c r="H18" s="28">
        <f>IF(OR($C18="",$G18=""),"",IF($G18&gt;=IFERROR(INDEX(rngEPpass,MATCH(cfgGradeSheetExam,IFERROR(rngEPseq+0,-1),0)),cfgPassingScore),"Pass","FAIL"))</f>
        <v/>
      </c>
      <c r="I18" s="28">
        <f>IF($C18="","",_xlfn.LET(_xlpm.c,IFERROR(INDEX(rngEPcode,MATCH(cfgGradeSheetExam,IFERROR(rngEPseq+0,-1),0)),""),IF(COUNTIFS(nrES_PID,Cadets!$B13,nrES_Code,_xlpm.c,nrES_Att,2)&gt;0,"Retested","")))</f>
        <v/>
      </c>
    </row>
    <row r="19">
      <c r="B19" s="28">
        <f>IF(Cadets!$B14="","",ROW()-10)</f>
        <v/>
      </c>
      <c r="C19" s="27">
        <f>IF(Cadets!$B14="","",Cadets!$F14)</f>
        <v/>
      </c>
      <c r="D19" s="28">
        <f>IF($C19="","",Cadets!$B14)</f>
        <v/>
      </c>
      <c r="E19" s="28">
        <f>IF($C19="","",Cadets!$H14)</f>
        <v/>
      </c>
      <c r="F19" s="28">
        <f>IF($C19="","",_xlfn.LET(_xlpm.c,IFERROR(INDEX(rngEPcode,MATCH(cfgGradeSheetExam,IFERROR(rngEPseq+0,-1),0)),""),IF(COUNTIFS(nrES_PID,Cadets!$B14,nrES_Code,_xlpm.c,nrES_Att,1)=0,"",SUMIFS(nrES_Raw,nrES_PID,Cadets!$B14,nrES_Code,_xlpm.c,nrES_Att,1))))</f>
        <v/>
      </c>
      <c r="G19" s="28">
        <f>IF($C19="","",_xlfn.LET(_xlpm.c,IFERROR(INDEX(rngEPcode,MATCH(cfgGradeSheetExam,IFERROR(rngEPseq+0,-1),0)),""),IF(COUNTIFS(nrES_PID,Cadets!$B14,nrES_Code,_xlpm.c,nrES_Final,"Yes",nrES_Rec,"&lt;&gt;")=0,"",SUMIFS(nrES_Rec,nrES_PID,Cadets!$B14,nrES_Code,_xlpm.c,nrES_Final,"Yes"))))</f>
        <v/>
      </c>
      <c r="H19" s="28">
        <f>IF(OR($C19="",$G19=""),"",IF($G19&gt;=IFERROR(INDEX(rngEPpass,MATCH(cfgGradeSheetExam,IFERROR(rngEPseq+0,-1),0)),cfgPassingScore),"Pass","FAIL"))</f>
        <v/>
      </c>
      <c r="I19" s="28">
        <f>IF($C19="","",_xlfn.LET(_xlpm.c,IFERROR(INDEX(rngEPcode,MATCH(cfgGradeSheetExam,IFERROR(rngEPseq+0,-1),0)),""),IF(COUNTIFS(nrES_PID,Cadets!$B14,nrES_Code,_xlpm.c,nrES_Att,2)&gt;0,"Retested","")))</f>
        <v/>
      </c>
    </row>
    <row r="20">
      <c r="B20" s="28">
        <f>IF(Cadets!$B15="","",ROW()-10)</f>
        <v/>
      </c>
      <c r="C20" s="27">
        <f>IF(Cadets!$B15="","",Cadets!$F15)</f>
        <v/>
      </c>
      <c r="D20" s="28">
        <f>IF($C20="","",Cadets!$B15)</f>
        <v/>
      </c>
      <c r="E20" s="28">
        <f>IF($C20="","",Cadets!$H15)</f>
        <v/>
      </c>
      <c r="F20" s="28">
        <f>IF($C20="","",_xlfn.LET(_xlpm.c,IFERROR(INDEX(rngEPcode,MATCH(cfgGradeSheetExam,IFERROR(rngEPseq+0,-1),0)),""),IF(COUNTIFS(nrES_PID,Cadets!$B15,nrES_Code,_xlpm.c,nrES_Att,1)=0,"",SUMIFS(nrES_Raw,nrES_PID,Cadets!$B15,nrES_Code,_xlpm.c,nrES_Att,1))))</f>
        <v/>
      </c>
      <c r="G20" s="28">
        <f>IF($C20="","",_xlfn.LET(_xlpm.c,IFERROR(INDEX(rngEPcode,MATCH(cfgGradeSheetExam,IFERROR(rngEPseq+0,-1),0)),""),IF(COUNTIFS(nrES_PID,Cadets!$B15,nrES_Code,_xlpm.c,nrES_Final,"Yes",nrES_Rec,"&lt;&gt;")=0,"",SUMIFS(nrES_Rec,nrES_PID,Cadets!$B15,nrES_Code,_xlpm.c,nrES_Final,"Yes"))))</f>
        <v/>
      </c>
      <c r="H20" s="28">
        <f>IF(OR($C20="",$G20=""),"",IF($G20&gt;=IFERROR(INDEX(rngEPpass,MATCH(cfgGradeSheetExam,IFERROR(rngEPseq+0,-1),0)),cfgPassingScore),"Pass","FAIL"))</f>
        <v/>
      </c>
      <c r="I20" s="28">
        <f>IF($C20="","",_xlfn.LET(_xlpm.c,IFERROR(INDEX(rngEPcode,MATCH(cfgGradeSheetExam,IFERROR(rngEPseq+0,-1),0)),""),IF(COUNTIFS(nrES_PID,Cadets!$B15,nrES_Code,_xlpm.c,nrES_Att,2)&gt;0,"Retested","")))</f>
        <v/>
      </c>
    </row>
    <row r="21">
      <c r="B21" s="28">
        <f>IF(Cadets!$B16="","",ROW()-10)</f>
        <v/>
      </c>
      <c r="C21" s="27">
        <f>IF(Cadets!$B16="","",Cadets!$F16)</f>
        <v/>
      </c>
      <c r="D21" s="28">
        <f>IF($C21="","",Cadets!$B16)</f>
        <v/>
      </c>
      <c r="E21" s="28">
        <f>IF($C21="","",Cadets!$H16)</f>
        <v/>
      </c>
      <c r="F21" s="28">
        <f>IF($C21="","",_xlfn.LET(_xlpm.c,IFERROR(INDEX(rngEPcode,MATCH(cfgGradeSheetExam,IFERROR(rngEPseq+0,-1),0)),""),IF(COUNTIFS(nrES_PID,Cadets!$B16,nrES_Code,_xlpm.c,nrES_Att,1)=0,"",SUMIFS(nrES_Raw,nrES_PID,Cadets!$B16,nrES_Code,_xlpm.c,nrES_Att,1))))</f>
        <v/>
      </c>
      <c r="G21" s="28">
        <f>IF($C21="","",_xlfn.LET(_xlpm.c,IFERROR(INDEX(rngEPcode,MATCH(cfgGradeSheetExam,IFERROR(rngEPseq+0,-1),0)),""),IF(COUNTIFS(nrES_PID,Cadets!$B16,nrES_Code,_xlpm.c,nrES_Final,"Yes",nrES_Rec,"&lt;&gt;")=0,"",SUMIFS(nrES_Rec,nrES_PID,Cadets!$B16,nrES_Code,_xlpm.c,nrES_Final,"Yes"))))</f>
        <v/>
      </c>
      <c r="H21" s="28">
        <f>IF(OR($C21="",$G21=""),"",IF($G21&gt;=IFERROR(INDEX(rngEPpass,MATCH(cfgGradeSheetExam,IFERROR(rngEPseq+0,-1),0)),cfgPassingScore),"Pass","FAIL"))</f>
        <v/>
      </c>
      <c r="I21" s="28">
        <f>IF($C21="","",_xlfn.LET(_xlpm.c,IFERROR(INDEX(rngEPcode,MATCH(cfgGradeSheetExam,IFERROR(rngEPseq+0,-1),0)),""),IF(COUNTIFS(nrES_PID,Cadets!$B16,nrES_Code,_xlpm.c,nrES_Att,2)&gt;0,"Retested","")))</f>
        <v/>
      </c>
    </row>
    <row r="22">
      <c r="B22" s="28">
        <f>IF(Cadets!$B17="","",ROW()-10)</f>
        <v/>
      </c>
      <c r="C22" s="27">
        <f>IF(Cadets!$B17="","",Cadets!$F17)</f>
        <v/>
      </c>
      <c r="D22" s="28">
        <f>IF($C22="","",Cadets!$B17)</f>
        <v/>
      </c>
      <c r="E22" s="28">
        <f>IF($C22="","",Cadets!$H17)</f>
        <v/>
      </c>
      <c r="F22" s="28">
        <f>IF($C22="","",_xlfn.LET(_xlpm.c,IFERROR(INDEX(rngEPcode,MATCH(cfgGradeSheetExam,IFERROR(rngEPseq+0,-1),0)),""),IF(COUNTIFS(nrES_PID,Cadets!$B17,nrES_Code,_xlpm.c,nrES_Att,1)=0,"",SUMIFS(nrES_Raw,nrES_PID,Cadets!$B17,nrES_Code,_xlpm.c,nrES_Att,1))))</f>
        <v/>
      </c>
      <c r="G22" s="28">
        <f>IF($C22="","",_xlfn.LET(_xlpm.c,IFERROR(INDEX(rngEPcode,MATCH(cfgGradeSheetExam,IFERROR(rngEPseq+0,-1),0)),""),IF(COUNTIFS(nrES_PID,Cadets!$B17,nrES_Code,_xlpm.c,nrES_Final,"Yes",nrES_Rec,"&lt;&gt;")=0,"",SUMIFS(nrES_Rec,nrES_PID,Cadets!$B17,nrES_Code,_xlpm.c,nrES_Final,"Yes"))))</f>
        <v/>
      </c>
      <c r="H22" s="28">
        <f>IF(OR($C22="",$G22=""),"",IF($G22&gt;=IFERROR(INDEX(rngEPpass,MATCH(cfgGradeSheetExam,IFERROR(rngEPseq+0,-1),0)),cfgPassingScore),"Pass","FAIL"))</f>
        <v/>
      </c>
      <c r="I22" s="28">
        <f>IF($C22="","",_xlfn.LET(_xlpm.c,IFERROR(INDEX(rngEPcode,MATCH(cfgGradeSheetExam,IFERROR(rngEPseq+0,-1),0)),""),IF(COUNTIFS(nrES_PID,Cadets!$B17,nrES_Code,_xlpm.c,nrES_Att,2)&gt;0,"Retested","")))</f>
        <v/>
      </c>
    </row>
    <row r="23">
      <c r="B23" s="28">
        <f>IF(Cadets!$B18="","",ROW()-10)</f>
        <v/>
      </c>
      <c r="C23" s="27">
        <f>IF(Cadets!$B18="","",Cadets!$F18)</f>
        <v/>
      </c>
      <c r="D23" s="28">
        <f>IF($C23="","",Cadets!$B18)</f>
        <v/>
      </c>
      <c r="E23" s="28">
        <f>IF($C23="","",Cadets!$H18)</f>
        <v/>
      </c>
      <c r="F23" s="28">
        <f>IF($C23="","",_xlfn.LET(_xlpm.c,IFERROR(INDEX(rngEPcode,MATCH(cfgGradeSheetExam,IFERROR(rngEPseq+0,-1),0)),""),IF(COUNTIFS(nrES_PID,Cadets!$B18,nrES_Code,_xlpm.c,nrES_Att,1)=0,"",SUMIFS(nrES_Raw,nrES_PID,Cadets!$B18,nrES_Code,_xlpm.c,nrES_Att,1))))</f>
        <v/>
      </c>
      <c r="G23" s="28">
        <f>IF($C23="","",_xlfn.LET(_xlpm.c,IFERROR(INDEX(rngEPcode,MATCH(cfgGradeSheetExam,IFERROR(rngEPseq+0,-1),0)),""),IF(COUNTIFS(nrES_PID,Cadets!$B18,nrES_Code,_xlpm.c,nrES_Final,"Yes",nrES_Rec,"&lt;&gt;")=0,"",SUMIFS(nrES_Rec,nrES_PID,Cadets!$B18,nrES_Code,_xlpm.c,nrES_Final,"Yes"))))</f>
        <v/>
      </c>
      <c r="H23" s="28">
        <f>IF(OR($C23="",$G23=""),"",IF($G23&gt;=IFERROR(INDEX(rngEPpass,MATCH(cfgGradeSheetExam,IFERROR(rngEPseq+0,-1),0)),cfgPassingScore),"Pass","FAIL"))</f>
        <v/>
      </c>
      <c r="I23" s="28">
        <f>IF($C23="","",_xlfn.LET(_xlpm.c,IFERROR(INDEX(rngEPcode,MATCH(cfgGradeSheetExam,IFERROR(rngEPseq+0,-1),0)),""),IF(COUNTIFS(nrES_PID,Cadets!$B18,nrES_Code,_xlpm.c,nrES_Att,2)&gt;0,"Retested","")))</f>
        <v/>
      </c>
    </row>
    <row r="24">
      <c r="B24" s="28">
        <f>IF(Cadets!$B19="","",ROW()-10)</f>
        <v/>
      </c>
      <c r="C24" s="27">
        <f>IF(Cadets!$B19="","",Cadets!$F19)</f>
        <v/>
      </c>
      <c r="D24" s="28">
        <f>IF($C24="","",Cadets!$B19)</f>
        <v/>
      </c>
      <c r="E24" s="28">
        <f>IF($C24="","",Cadets!$H19)</f>
        <v/>
      </c>
      <c r="F24" s="28">
        <f>IF($C24="","",_xlfn.LET(_xlpm.c,IFERROR(INDEX(rngEPcode,MATCH(cfgGradeSheetExam,IFERROR(rngEPseq+0,-1),0)),""),IF(COUNTIFS(nrES_PID,Cadets!$B19,nrES_Code,_xlpm.c,nrES_Att,1)=0,"",SUMIFS(nrES_Raw,nrES_PID,Cadets!$B19,nrES_Code,_xlpm.c,nrES_Att,1))))</f>
        <v/>
      </c>
      <c r="G24" s="28">
        <f>IF($C24="","",_xlfn.LET(_xlpm.c,IFERROR(INDEX(rngEPcode,MATCH(cfgGradeSheetExam,IFERROR(rngEPseq+0,-1),0)),""),IF(COUNTIFS(nrES_PID,Cadets!$B19,nrES_Code,_xlpm.c,nrES_Final,"Yes",nrES_Rec,"&lt;&gt;")=0,"",SUMIFS(nrES_Rec,nrES_PID,Cadets!$B19,nrES_Code,_xlpm.c,nrES_Final,"Yes"))))</f>
        <v/>
      </c>
      <c r="H24" s="28">
        <f>IF(OR($C24="",$G24=""),"",IF($G24&gt;=IFERROR(INDEX(rngEPpass,MATCH(cfgGradeSheetExam,IFERROR(rngEPseq+0,-1),0)),cfgPassingScore),"Pass","FAIL"))</f>
        <v/>
      </c>
      <c r="I24" s="28">
        <f>IF($C24="","",_xlfn.LET(_xlpm.c,IFERROR(INDEX(rngEPcode,MATCH(cfgGradeSheetExam,IFERROR(rngEPseq+0,-1),0)),""),IF(COUNTIFS(nrES_PID,Cadets!$B19,nrES_Code,_xlpm.c,nrES_Att,2)&gt;0,"Retested","")))</f>
        <v/>
      </c>
    </row>
    <row r="25">
      <c r="B25" s="28">
        <f>IF(Cadets!$B20="","",ROW()-10)</f>
        <v/>
      </c>
      <c r="C25" s="27">
        <f>IF(Cadets!$B20="","",Cadets!$F20)</f>
        <v/>
      </c>
      <c r="D25" s="28">
        <f>IF($C25="","",Cadets!$B20)</f>
        <v/>
      </c>
      <c r="E25" s="28">
        <f>IF($C25="","",Cadets!$H20)</f>
        <v/>
      </c>
      <c r="F25" s="28">
        <f>IF($C25="","",_xlfn.LET(_xlpm.c,IFERROR(INDEX(rngEPcode,MATCH(cfgGradeSheetExam,IFERROR(rngEPseq+0,-1),0)),""),IF(COUNTIFS(nrES_PID,Cadets!$B20,nrES_Code,_xlpm.c,nrES_Att,1)=0,"",SUMIFS(nrES_Raw,nrES_PID,Cadets!$B20,nrES_Code,_xlpm.c,nrES_Att,1))))</f>
        <v/>
      </c>
      <c r="G25" s="28">
        <f>IF($C25="","",_xlfn.LET(_xlpm.c,IFERROR(INDEX(rngEPcode,MATCH(cfgGradeSheetExam,IFERROR(rngEPseq+0,-1),0)),""),IF(COUNTIFS(nrES_PID,Cadets!$B20,nrES_Code,_xlpm.c,nrES_Final,"Yes",nrES_Rec,"&lt;&gt;")=0,"",SUMIFS(nrES_Rec,nrES_PID,Cadets!$B20,nrES_Code,_xlpm.c,nrES_Final,"Yes"))))</f>
        <v/>
      </c>
      <c r="H25" s="28">
        <f>IF(OR($C25="",$G25=""),"",IF($G25&gt;=IFERROR(INDEX(rngEPpass,MATCH(cfgGradeSheetExam,IFERROR(rngEPseq+0,-1),0)),cfgPassingScore),"Pass","FAIL"))</f>
        <v/>
      </c>
      <c r="I25" s="28">
        <f>IF($C25="","",_xlfn.LET(_xlpm.c,IFERROR(INDEX(rngEPcode,MATCH(cfgGradeSheetExam,IFERROR(rngEPseq+0,-1),0)),""),IF(COUNTIFS(nrES_PID,Cadets!$B20,nrES_Code,_xlpm.c,nrES_Att,2)&gt;0,"Retested","")))</f>
        <v/>
      </c>
    </row>
    <row r="26">
      <c r="B26" s="28">
        <f>IF(Cadets!$B21="","",ROW()-10)</f>
        <v/>
      </c>
      <c r="C26" s="27">
        <f>IF(Cadets!$B21="","",Cadets!$F21)</f>
        <v/>
      </c>
      <c r="D26" s="28">
        <f>IF($C26="","",Cadets!$B21)</f>
        <v/>
      </c>
      <c r="E26" s="28">
        <f>IF($C26="","",Cadets!$H21)</f>
        <v/>
      </c>
      <c r="F26" s="28">
        <f>IF($C26="","",_xlfn.LET(_xlpm.c,IFERROR(INDEX(rngEPcode,MATCH(cfgGradeSheetExam,IFERROR(rngEPseq+0,-1),0)),""),IF(COUNTIFS(nrES_PID,Cadets!$B21,nrES_Code,_xlpm.c,nrES_Att,1)=0,"",SUMIFS(nrES_Raw,nrES_PID,Cadets!$B21,nrES_Code,_xlpm.c,nrES_Att,1))))</f>
        <v/>
      </c>
      <c r="G26" s="28">
        <f>IF($C26="","",_xlfn.LET(_xlpm.c,IFERROR(INDEX(rngEPcode,MATCH(cfgGradeSheetExam,IFERROR(rngEPseq+0,-1),0)),""),IF(COUNTIFS(nrES_PID,Cadets!$B21,nrES_Code,_xlpm.c,nrES_Final,"Yes",nrES_Rec,"&lt;&gt;")=0,"",SUMIFS(nrES_Rec,nrES_PID,Cadets!$B21,nrES_Code,_xlpm.c,nrES_Final,"Yes"))))</f>
        <v/>
      </c>
      <c r="H26" s="28">
        <f>IF(OR($C26="",$G26=""),"",IF($G26&gt;=IFERROR(INDEX(rngEPpass,MATCH(cfgGradeSheetExam,IFERROR(rngEPseq+0,-1),0)),cfgPassingScore),"Pass","FAIL"))</f>
        <v/>
      </c>
      <c r="I26" s="28">
        <f>IF($C26="","",_xlfn.LET(_xlpm.c,IFERROR(INDEX(rngEPcode,MATCH(cfgGradeSheetExam,IFERROR(rngEPseq+0,-1),0)),""),IF(COUNTIFS(nrES_PID,Cadets!$B21,nrES_Code,_xlpm.c,nrES_Att,2)&gt;0,"Retested","")))</f>
        <v/>
      </c>
    </row>
    <row r="27">
      <c r="B27" s="28">
        <f>IF(Cadets!$B22="","",ROW()-10)</f>
        <v/>
      </c>
      <c r="C27" s="27">
        <f>IF(Cadets!$B22="","",Cadets!$F22)</f>
        <v/>
      </c>
      <c r="D27" s="28">
        <f>IF($C27="","",Cadets!$B22)</f>
        <v/>
      </c>
      <c r="E27" s="28">
        <f>IF($C27="","",Cadets!$H22)</f>
        <v/>
      </c>
      <c r="F27" s="28">
        <f>IF($C27="","",_xlfn.LET(_xlpm.c,IFERROR(INDEX(rngEPcode,MATCH(cfgGradeSheetExam,IFERROR(rngEPseq+0,-1),0)),""),IF(COUNTIFS(nrES_PID,Cadets!$B22,nrES_Code,_xlpm.c,nrES_Att,1)=0,"",SUMIFS(nrES_Raw,nrES_PID,Cadets!$B22,nrES_Code,_xlpm.c,nrES_Att,1))))</f>
        <v/>
      </c>
      <c r="G27" s="28">
        <f>IF($C27="","",_xlfn.LET(_xlpm.c,IFERROR(INDEX(rngEPcode,MATCH(cfgGradeSheetExam,IFERROR(rngEPseq+0,-1),0)),""),IF(COUNTIFS(nrES_PID,Cadets!$B22,nrES_Code,_xlpm.c,nrES_Final,"Yes",nrES_Rec,"&lt;&gt;")=0,"",SUMIFS(nrES_Rec,nrES_PID,Cadets!$B22,nrES_Code,_xlpm.c,nrES_Final,"Yes"))))</f>
        <v/>
      </c>
      <c r="H27" s="28">
        <f>IF(OR($C27="",$G27=""),"",IF($G27&gt;=IFERROR(INDEX(rngEPpass,MATCH(cfgGradeSheetExam,IFERROR(rngEPseq+0,-1),0)),cfgPassingScore),"Pass","FAIL"))</f>
        <v/>
      </c>
      <c r="I27" s="28">
        <f>IF($C27="","",_xlfn.LET(_xlpm.c,IFERROR(INDEX(rngEPcode,MATCH(cfgGradeSheetExam,IFERROR(rngEPseq+0,-1),0)),""),IF(COUNTIFS(nrES_PID,Cadets!$B22,nrES_Code,_xlpm.c,nrES_Att,2)&gt;0,"Retested","")))</f>
        <v/>
      </c>
    </row>
    <row r="28">
      <c r="B28" s="28">
        <f>IF(Cadets!$B23="","",ROW()-10)</f>
        <v/>
      </c>
      <c r="C28" s="27">
        <f>IF(Cadets!$B23="","",Cadets!$F23)</f>
        <v/>
      </c>
      <c r="D28" s="28">
        <f>IF($C28="","",Cadets!$B23)</f>
        <v/>
      </c>
      <c r="E28" s="28">
        <f>IF($C28="","",Cadets!$H23)</f>
        <v/>
      </c>
      <c r="F28" s="28">
        <f>IF($C28="","",_xlfn.LET(_xlpm.c,IFERROR(INDEX(rngEPcode,MATCH(cfgGradeSheetExam,IFERROR(rngEPseq+0,-1),0)),""),IF(COUNTIFS(nrES_PID,Cadets!$B23,nrES_Code,_xlpm.c,nrES_Att,1)=0,"",SUMIFS(nrES_Raw,nrES_PID,Cadets!$B23,nrES_Code,_xlpm.c,nrES_Att,1))))</f>
        <v/>
      </c>
      <c r="G28" s="28">
        <f>IF($C28="","",_xlfn.LET(_xlpm.c,IFERROR(INDEX(rngEPcode,MATCH(cfgGradeSheetExam,IFERROR(rngEPseq+0,-1),0)),""),IF(COUNTIFS(nrES_PID,Cadets!$B23,nrES_Code,_xlpm.c,nrES_Final,"Yes",nrES_Rec,"&lt;&gt;")=0,"",SUMIFS(nrES_Rec,nrES_PID,Cadets!$B23,nrES_Code,_xlpm.c,nrES_Final,"Yes"))))</f>
        <v/>
      </c>
      <c r="H28" s="28">
        <f>IF(OR($C28="",$G28=""),"",IF($G28&gt;=IFERROR(INDEX(rngEPpass,MATCH(cfgGradeSheetExam,IFERROR(rngEPseq+0,-1),0)),cfgPassingScore),"Pass","FAIL"))</f>
        <v/>
      </c>
      <c r="I28" s="28">
        <f>IF($C28="","",_xlfn.LET(_xlpm.c,IFERROR(INDEX(rngEPcode,MATCH(cfgGradeSheetExam,IFERROR(rngEPseq+0,-1),0)),""),IF(COUNTIFS(nrES_PID,Cadets!$B23,nrES_Code,_xlpm.c,nrES_Att,2)&gt;0,"Retested","")))</f>
        <v/>
      </c>
    </row>
    <row r="29">
      <c r="B29" s="28">
        <f>IF(Cadets!$B24="","",ROW()-10)</f>
        <v/>
      </c>
      <c r="C29" s="27">
        <f>IF(Cadets!$B24="","",Cadets!$F24)</f>
        <v/>
      </c>
      <c r="D29" s="28">
        <f>IF($C29="","",Cadets!$B24)</f>
        <v/>
      </c>
      <c r="E29" s="28">
        <f>IF($C29="","",Cadets!$H24)</f>
        <v/>
      </c>
      <c r="F29" s="28">
        <f>IF($C29="","",_xlfn.LET(_xlpm.c,IFERROR(INDEX(rngEPcode,MATCH(cfgGradeSheetExam,IFERROR(rngEPseq+0,-1),0)),""),IF(COUNTIFS(nrES_PID,Cadets!$B24,nrES_Code,_xlpm.c,nrES_Att,1)=0,"",SUMIFS(nrES_Raw,nrES_PID,Cadets!$B24,nrES_Code,_xlpm.c,nrES_Att,1))))</f>
        <v/>
      </c>
      <c r="G29" s="28">
        <f>IF($C29="","",_xlfn.LET(_xlpm.c,IFERROR(INDEX(rngEPcode,MATCH(cfgGradeSheetExam,IFERROR(rngEPseq+0,-1),0)),""),IF(COUNTIFS(nrES_PID,Cadets!$B24,nrES_Code,_xlpm.c,nrES_Final,"Yes",nrES_Rec,"&lt;&gt;")=0,"",SUMIFS(nrES_Rec,nrES_PID,Cadets!$B24,nrES_Code,_xlpm.c,nrES_Final,"Yes"))))</f>
        <v/>
      </c>
      <c r="H29" s="28">
        <f>IF(OR($C29="",$G29=""),"",IF($G29&gt;=IFERROR(INDEX(rngEPpass,MATCH(cfgGradeSheetExam,IFERROR(rngEPseq+0,-1),0)),cfgPassingScore),"Pass","FAIL"))</f>
        <v/>
      </c>
      <c r="I29" s="28">
        <f>IF($C29="","",_xlfn.LET(_xlpm.c,IFERROR(INDEX(rngEPcode,MATCH(cfgGradeSheetExam,IFERROR(rngEPseq+0,-1),0)),""),IF(COUNTIFS(nrES_PID,Cadets!$B24,nrES_Code,_xlpm.c,nrES_Att,2)&gt;0,"Retested","")))</f>
        <v/>
      </c>
    </row>
    <row r="30">
      <c r="B30" s="28">
        <f>IF(Cadets!$B25="","",ROW()-10)</f>
        <v/>
      </c>
      <c r="C30" s="27">
        <f>IF(Cadets!$B25="","",Cadets!$F25)</f>
        <v/>
      </c>
      <c r="D30" s="28">
        <f>IF($C30="","",Cadets!$B25)</f>
        <v/>
      </c>
      <c r="E30" s="28">
        <f>IF($C30="","",Cadets!$H25)</f>
        <v/>
      </c>
      <c r="F30" s="28">
        <f>IF($C30="","",_xlfn.LET(_xlpm.c,IFERROR(INDEX(rngEPcode,MATCH(cfgGradeSheetExam,IFERROR(rngEPseq+0,-1),0)),""),IF(COUNTIFS(nrES_PID,Cadets!$B25,nrES_Code,_xlpm.c,nrES_Att,1)=0,"",SUMIFS(nrES_Raw,nrES_PID,Cadets!$B25,nrES_Code,_xlpm.c,nrES_Att,1))))</f>
        <v/>
      </c>
      <c r="G30" s="28">
        <f>IF($C30="","",_xlfn.LET(_xlpm.c,IFERROR(INDEX(rngEPcode,MATCH(cfgGradeSheetExam,IFERROR(rngEPseq+0,-1),0)),""),IF(COUNTIFS(nrES_PID,Cadets!$B25,nrES_Code,_xlpm.c,nrES_Final,"Yes",nrES_Rec,"&lt;&gt;")=0,"",SUMIFS(nrES_Rec,nrES_PID,Cadets!$B25,nrES_Code,_xlpm.c,nrES_Final,"Yes"))))</f>
        <v/>
      </c>
      <c r="H30" s="28">
        <f>IF(OR($C30="",$G30=""),"",IF($G30&gt;=IFERROR(INDEX(rngEPpass,MATCH(cfgGradeSheetExam,IFERROR(rngEPseq+0,-1),0)),cfgPassingScore),"Pass","FAIL"))</f>
        <v/>
      </c>
      <c r="I30" s="28">
        <f>IF($C30="","",_xlfn.LET(_xlpm.c,IFERROR(INDEX(rngEPcode,MATCH(cfgGradeSheetExam,IFERROR(rngEPseq+0,-1),0)),""),IF(COUNTIFS(nrES_PID,Cadets!$B25,nrES_Code,_xlpm.c,nrES_Att,2)&gt;0,"Retested","")))</f>
        <v/>
      </c>
    </row>
    <row r="31">
      <c r="B31" s="28">
        <f>IF(Cadets!$B26="","",ROW()-10)</f>
        <v/>
      </c>
      <c r="C31" s="27">
        <f>IF(Cadets!$B26="","",Cadets!$F26)</f>
        <v/>
      </c>
      <c r="D31" s="28">
        <f>IF($C31="","",Cadets!$B26)</f>
        <v/>
      </c>
      <c r="E31" s="28">
        <f>IF($C31="","",Cadets!$H26)</f>
        <v/>
      </c>
      <c r="F31" s="28">
        <f>IF($C31="","",_xlfn.LET(_xlpm.c,IFERROR(INDEX(rngEPcode,MATCH(cfgGradeSheetExam,IFERROR(rngEPseq+0,-1),0)),""),IF(COUNTIFS(nrES_PID,Cadets!$B26,nrES_Code,_xlpm.c,nrES_Att,1)=0,"",SUMIFS(nrES_Raw,nrES_PID,Cadets!$B26,nrES_Code,_xlpm.c,nrES_Att,1))))</f>
        <v/>
      </c>
      <c r="G31" s="28">
        <f>IF($C31="","",_xlfn.LET(_xlpm.c,IFERROR(INDEX(rngEPcode,MATCH(cfgGradeSheetExam,IFERROR(rngEPseq+0,-1),0)),""),IF(COUNTIFS(nrES_PID,Cadets!$B26,nrES_Code,_xlpm.c,nrES_Final,"Yes",nrES_Rec,"&lt;&gt;")=0,"",SUMIFS(nrES_Rec,nrES_PID,Cadets!$B26,nrES_Code,_xlpm.c,nrES_Final,"Yes"))))</f>
        <v/>
      </c>
      <c r="H31" s="28">
        <f>IF(OR($C31="",$G31=""),"",IF($G31&gt;=IFERROR(INDEX(rngEPpass,MATCH(cfgGradeSheetExam,IFERROR(rngEPseq+0,-1),0)),cfgPassingScore),"Pass","FAIL"))</f>
        <v/>
      </c>
      <c r="I31" s="28">
        <f>IF($C31="","",_xlfn.LET(_xlpm.c,IFERROR(INDEX(rngEPcode,MATCH(cfgGradeSheetExam,IFERROR(rngEPseq+0,-1),0)),""),IF(COUNTIFS(nrES_PID,Cadets!$B26,nrES_Code,_xlpm.c,nrES_Att,2)&gt;0,"Retested","")))</f>
        <v/>
      </c>
    </row>
    <row r="32">
      <c r="B32" s="28">
        <f>IF(Cadets!$B27="","",ROW()-10)</f>
        <v/>
      </c>
      <c r="C32" s="27">
        <f>IF(Cadets!$B27="","",Cadets!$F27)</f>
        <v/>
      </c>
      <c r="D32" s="28">
        <f>IF($C32="","",Cadets!$B27)</f>
        <v/>
      </c>
      <c r="E32" s="28">
        <f>IF($C32="","",Cadets!$H27)</f>
        <v/>
      </c>
      <c r="F32" s="28">
        <f>IF($C32="","",_xlfn.LET(_xlpm.c,IFERROR(INDEX(rngEPcode,MATCH(cfgGradeSheetExam,IFERROR(rngEPseq+0,-1),0)),""),IF(COUNTIFS(nrES_PID,Cadets!$B27,nrES_Code,_xlpm.c,nrES_Att,1)=0,"",SUMIFS(nrES_Raw,nrES_PID,Cadets!$B27,nrES_Code,_xlpm.c,nrES_Att,1))))</f>
        <v/>
      </c>
      <c r="G32" s="28">
        <f>IF($C32="","",_xlfn.LET(_xlpm.c,IFERROR(INDEX(rngEPcode,MATCH(cfgGradeSheetExam,IFERROR(rngEPseq+0,-1),0)),""),IF(COUNTIFS(nrES_PID,Cadets!$B27,nrES_Code,_xlpm.c,nrES_Final,"Yes",nrES_Rec,"&lt;&gt;")=0,"",SUMIFS(nrES_Rec,nrES_PID,Cadets!$B27,nrES_Code,_xlpm.c,nrES_Final,"Yes"))))</f>
        <v/>
      </c>
      <c r="H32" s="28">
        <f>IF(OR($C32="",$G32=""),"",IF($G32&gt;=IFERROR(INDEX(rngEPpass,MATCH(cfgGradeSheetExam,IFERROR(rngEPseq+0,-1),0)),cfgPassingScore),"Pass","FAIL"))</f>
        <v/>
      </c>
      <c r="I32" s="28">
        <f>IF($C32="","",_xlfn.LET(_xlpm.c,IFERROR(INDEX(rngEPcode,MATCH(cfgGradeSheetExam,IFERROR(rngEPseq+0,-1),0)),""),IF(COUNTIFS(nrES_PID,Cadets!$B27,nrES_Code,_xlpm.c,nrES_Att,2)&gt;0,"Retested","")))</f>
        <v/>
      </c>
    </row>
    <row r="33">
      <c r="B33" s="28">
        <f>IF(Cadets!$B28="","",ROW()-10)</f>
        <v/>
      </c>
      <c r="C33" s="27">
        <f>IF(Cadets!$B28="","",Cadets!$F28)</f>
        <v/>
      </c>
      <c r="D33" s="28">
        <f>IF($C33="","",Cadets!$B28)</f>
        <v/>
      </c>
      <c r="E33" s="28">
        <f>IF($C33="","",Cadets!$H28)</f>
        <v/>
      </c>
      <c r="F33" s="28">
        <f>IF($C33="","",_xlfn.LET(_xlpm.c,IFERROR(INDEX(rngEPcode,MATCH(cfgGradeSheetExam,IFERROR(rngEPseq+0,-1),0)),""),IF(COUNTIFS(nrES_PID,Cadets!$B28,nrES_Code,_xlpm.c,nrES_Att,1)=0,"",SUMIFS(nrES_Raw,nrES_PID,Cadets!$B28,nrES_Code,_xlpm.c,nrES_Att,1))))</f>
        <v/>
      </c>
      <c r="G33" s="28">
        <f>IF($C33="","",_xlfn.LET(_xlpm.c,IFERROR(INDEX(rngEPcode,MATCH(cfgGradeSheetExam,IFERROR(rngEPseq+0,-1),0)),""),IF(COUNTIFS(nrES_PID,Cadets!$B28,nrES_Code,_xlpm.c,nrES_Final,"Yes",nrES_Rec,"&lt;&gt;")=0,"",SUMIFS(nrES_Rec,nrES_PID,Cadets!$B28,nrES_Code,_xlpm.c,nrES_Final,"Yes"))))</f>
        <v/>
      </c>
      <c r="H33" s="28">
        <f>IF(OR($C33="",$G33=""),"",IF($G33&gt;=IFERROR(INDEX(rngEPpass,MATCH(cfgGradeSheetExam,IFERROR(rngEPseq+0,-1),0)),cfgPassingScore),"Pass","FAIL"))</f>
        <v/>
      </c>
      <c r="I33" s="28">
        <f>IF($C33="","",_xlfn.LET(_xlpm.c,IFERROR(INDEX(rngEPcode,MATCH(cfgGradeSheetExam,IFERROR(rngEPseq+0,-1),0)),""),IF(COUNTIFS(nrES_PID,Cadets!$B28,nrES_Code,_xlpm.c,nrES_Att,2)&gt;0,"Retested","")))</f>
        <v/>
      </c>
    </row>
    <row r="34">
      <c r="B34" s="28">
        <f>IF(Cadets!$B29="","",ROW()-10)</f>
        <v/>
      </c>
      <c r="C34" s="27">
        <f>IF(Cadets!$B29="","",Cadets!$F29)</f>
        <v/>
      </c>
      <c r="D34" s="28">
        <f>IF($C34="","",Cadets!$B29)</f>
        <v/>
      </c>
      <c r="E34" s="28">
        <f>IF($C34="","",Cadets!$H29)</f>
        <v/>
      </c>
      <c r="F34" s="28">
        <f>IF($C34="","",_xlfn.LET(_xlpm.c,IFERROR(INDEX(rngEPcode,MATCH(cfgGradeSheetExam,IFERROR(rngEPseq+0,-1),0)),""),IF(COUNTIFS(nrES_PID,Cadets!$B29,nrES_Code,_xlpm.c,nrES_Att,1)=0,"",SUMIFS(nrES_Raw,nrES_PID,Cadets!$B29,nrES_Code,_xlpm.c,nrES_Att,1))))</f>
        <v/>
      </c>
      <c r="G34" s="28">
        <f>IF($C34="","",_xlfn.LET(_xlpm.c,IFERROR(INDEX(rngEPcode,MATCH(cfgGradeSheetExam,IFERROR(rngEPseq+0,-1),0)),""),IF(COUNTIFS(nrES_PID,Cadets!$B29,nrES_Code,_xlpm.c,nrES_Final,"Yes",nrES_Rec,"&lt;&gt;")=0,"",SUMIFS(nrES_Rec,nrES_PID,Cadets!$B29,nrES_Code,_xlpm.c,nrES_Final,"Yes"))))</f>
        <v/>
      </c>
      <c r="H34" s="28">
        <f>IF(OR($C34="",$G34=""),"",IF($G34&gt;=IFERROR(INDEX(rngEPpass,MATCH(cfgGradeSheetExam,IFERROR(rngEPseq+0,-1),0)),cfgPassingScore),"Pass","FAIL"))</f>
        <v/>
      </c>
      <c r="I34" s="28">
        <f>IF($C34="","",_xlfn.LET(_xlpm.c,IFERROR(INDEX(rngEPcode,MATCH(cfgGradeSheetExam,IFERROR(rngEPseq+0,-1),0)),""),IF(COUNTIFS(nrES_PID,Cadets!$B29,nrES_Code,_xlpm.c,nrES_Att,2)&gt;0,"Retested","")))</f>
        <v/>
      </c>
    </row>
    <row r="35">
      <c r="B35" s="28">
        <f>IF(Cadets!$B30="","",ROW()-10)</f>
        <v/>
      </c>
      <c r="C35" s="27">
        <f>IF(Cadets!$B30="","",Cadets!$F30)</f>
        <v/>
      </c>
      <c r="D35" s="28">
        <f>IF($C35="","",Cadets!$B30)</f>
        <v/>
      </c>
      <c r="E35" s="28">
        <f>IF($C35="","",Cadets!$H30)</f>
        <v/>
      </c>
      <c r="F35" s="28">
        <f>IF($C35="","",_xlfn.LET(_xlpm.c,IFERROR(INDEX(rngEPcode,MATCH(cfgGradeSheetExam,IFERROR(rngEPseq+0,-1),0)),""),IF(COUNTIFS(nrES_PID,Cadets!$B30,nrES_Code,_xlpm.c,nrES_Att,1)=0,"",SUMIFS(nrES_Raw,nrES_PID,Cadets!$B30,nrES_Code,_xlpm.c,nrES_Att,1))))</f>
        <v/>
      </c>
      <c r="G35" s="28">
        <f>IF($C35="","",_xlfn.LET(_xlpm.c,IFERROR(INDEX(rngEPcode,MATCH(cfgGradeSheetExam,IFERROR(rngEPseq+0,-1),0)),""),IF(COUNTIFS(nrES_PID,Cadets!$B30,nrES_Code,_xlpm.c,nrES_Final,"Yes",nrES_Rec,"&lt;&gt;")=0,"",SUMIFS(nrES_Rec,nrES_PID,Cadets!$B30,nrES_Code,_xlpm.c,nrES_Final,"Yes"))))</f>
        <v/>
      </c>
      <c r="H35" s="28">
        <f>IF(OR($C35="",$G35=""),"",IF($G35&gt;=IFERROR(INDEX(rngEPpass,MATCH(cfgGradeSheetExam,IFERROR(rngEPseq+0,-1),0)),cfgPassingScore),"Pass","FAIL"))</f>
        <v/>
      </c>
      <c r="I35" s="28">
        <f>IF($C35="","",_xlfn.LET(_xlpm.c,IFERROR(INDEX(rngEPcode,MATCH(cfgGradeSheetExam,IFERROR(rngEPseq+0,-1),0)),""),IF(COUNTIFS(nrES_PID,Cadets!$B30,nrES_Code,_xlpm.c,nrES_Att,2)&gt;0,"Retested","")))</f>
        <v/>
      </c>
    </row>
    <row r="36">
      <c r="B36" s="28">
        <f>IF(Cadets!$B31="","",ROW()-10)</f>
        <v/>
      </c>
      <c r="C36" s="27">
        <f>IF(Cadets!$B31="","",Cadets!$F31)</f>
        <v/>
      </c>
      <c r="D36" s="28">
        <f>IF($C36="","",Cadets!$B31)</f>
        <v/>
      </c>
      <c r="E36" s="28">
        <f>IF($C36="","",Cadets!$H31)</f>
        <v/>
      </c>
      <c r="F36" s="28">
        <f>IF($C36="","",_xlfn.LET(_xlpm.c,IFERROR(INDEX(rngEPcode,MATCH(cfgGradeSheetExam,IFERROR(rngEPseq+0,-1),0)),""),IF(COUNTIFS(nrES_PID,Cadets!$B31,nrES_Code,_xlpm.c,nrES_Att,1)=0,"",SUMIFS(nrES_Raw,nrES_PID,Cadets!$B31,nrES_Code,_xlpm.c,nrES_Att,1))))</f>
        <v/>
      </c>
      <c r="G36" s="28">
        <f>IF($C36="","",_xlfn.LET(_xlpm.c,IFERROR(INDEX(rngEPcode,MATCH(cfgGradeSheetExam,IFERROR(rngEPseq+0,-1),0)),""),IF(COUNTIFS(nrES_PID,Cadets!$B31,nrES_Code,_xlpm.c,nrES_Final,"Yes",nrES_Rec,"&lt;&gt;")=0,"",SUMIFS(nrES_Rec,nrES_PID,Cadets!$B31,nrES_Code,_xlpm.c,nrES_Final,"Yes"))))</f>
        <v/>
      </c>
      <c r="H36" s="28">
        <f>IF(OR($C36="",$G36=""),"",IF($G36&gt;=IFERROR(INDEX(rngEPpass,MATCH(cfgGradeSheetExam,IFERROR(rngEPseq+0,-1),0)),cfgPassingScore),"Pass","FAIL"))</f>
        <v/>
      </c>
      <c r="I36" s="28">
        <f>IF($C36="","",_xlfn.LET(_xlpm.c,IFERROR(INDEX(rngEPcode,MATCH(cfgGradeSheetExam,IFERROR(rngEPseq+0,-1),0)),""),IF(COUNTIFS(nrES_PID,Cadets!$B31,nrES_Code,_xlpm.c,nrES_Att,2)&gt;0,"Retested","")))</f>
        <v/>
      </c>
    </row>
    <row r="37">
      <c r="B37" s="28">
        <f>IF(Cadets!$B32="","",ROW()-10)</f>
        <v/>
      </c>
      <c r="C37" s="27">
        <f>IF(Cadets!$B32="","",Cadets!$F32)</f>
        <v/>
      </c>
      <c r="D37" s="28">
        <f>IF($C37="","",Cadets!$B32)</f>
        <v/>
      </c>
      <c r="E37" s="28">
        <f>IF($C37="","",Cadets!$H32)</f>
        <v/>
      </c>
      <c r="F37" s="28">
        <f>IF($C37="","",_xlfn.LET(_xlpm.c,IFERROR(INDEX(rngEPcode,MATCH(cfgGradeSheetExam,IFERROR(rngEPseq+0,-1),0)),""),IF(COUNTIFS(nrES_PID,Cadets!$B32,nrES_Code,_xlpm.c,nrES_Att,1)=0,"",SUMIFS(nrES_Raw,nrES_PID,Cadets!$B32,nrES_Code,_xlpm.c,nrES_Att,1))))</f>
        <v/>
      </c>
      <c r="G37" s="28">
        <f>IF($C37="","",_xlfn.LET(_xlpm.c,IFERROR(INDEX(rngEPcode,MATCH(cfgGradeSheetExam,IFERROR(rngEPseq+0,-1),0)),""),IF(COUNTIFS(nrES_PID,Cadets!$B32,nrES_Code,_xlpm.c,nrES_Final,"Yes",nrES_Rec,"&lt;&gt;")=0,"",SUMIFS(nrES_Rec,nrES_PID,Cadets!$B32,nrES_Code,_xlpm.c,nrES_Final,"Yes"))))</f>
        <v/>
      </c>
      <c r="H37" s="28">
        <f>IF(OR($C37="",$G37=""),"",IF($G37&gt;=IFERROR(INDEX(rngEPpass,MATCH(cfgGradeSheetExam,IFERROR(rngEPseq+0,-1),0)),cfgPassingScore),"Pass","FAIL"))</f>
        <v/>
      </c>
      <c r="I37" s="28">
        <f>IF($C37="","",_xlfn.LET(_xlpm.c,IFERROR(INDEX(rngEPcode,MATCH(cfgGradeSheetExam,IFERROR(rngEPseq+0,-1),0)),""),IF(COUNTIFS(nrES_PID,Cadets!$B32,nrES_Code,_xlpm.c,nrES_Att,2)&gt;0,"Retested","")))</f>
        <v/>
      </c>
    </row>
    <row r="38">
      <c r="B38" s="28">
        <f>IF(Cadets!$B33="","",ROW()-10)</f>
        <v/>
      </c>
      <c r="C38" s="27">
        <f>IF(Cadets!$B33="","",Cadets!$F33)</f>
        <v/>
      </c>
      <c r="D38" s="28">
        <f>IF($C38="","",Cadets!$B33)</f>
        <v/>
      </c>
      <c r="E38" s="28">
        <f>IF($C38="","",Cadets!$H33)</f>
        <v/>
      </c>
      <c r="F38" s="28">
        <f>IF($C38="","",_xlfn.LET(_xlpm.c,IFERROR(INDEX(rngEPcode,MATCH(cfgGradeSheetExam,IFERROR(rngEPseq+0,-1),0)),""),IF(COUNTIFS(nrES_PID,Cadets!$B33,nrES_Code,_xlpm.c,nrES_Att,1)=0,"",SUMIFS(nrES_Raw,nrES_PID,Cadets!$B33,nrES_Code,_xlpm.c,nrES_Att,1))))</f>
        <v/>
      </c>
      <c r="G38" s="28">
        <f>IF($C38="","",_xlfn.LET(_xlpm.c,IFERROR(INDEX(rngEPcode,MATCH(cfgGradeSheetExam,IFERROR(rngEPseq+0,-1),0)),""),IF(COUNTIFS(nrES_PID,Cadets!$B33,nrES_Code,_xlpm.c,nrES_Final,"Yes",nrES_Rec,"&lt;&gt;")=0,"",SUMIFS(nrES_Rec,nrES_PID,Cadets!$B33,nrES_Code,_xlpm.c,nrES_Final,"Yes"))))</f>
        <v/>
      </c>
      <c r="H38" s="28">
        <f>IF(OR($C38="",$G38=""),"",IF($G38&gt;=IFERROR(INDEX(rngEPpass,MATCH(cfgGradeSheetExam,IFERROR(rngEPseq+0,-1),0)),cfgPassingScore),"Pass","FAIL"))</f>
        <v/>
      </c>
      <c r="I38" s="28">
        <f>IF($C38="","",_xlfn.LET(_xlpm.c,IFERROR(INDEX(rngEPcode,MATCH(cfgGradeSheetExam,IFERROR(rngEPseq+0,-1),0)),""),IF(COUNTIFS(nrES_PID,Cadets!$B33,nrES_Code,_xlpm.c,nrES_Att,2)&gt;0,"Retested","")))</f>
        <v/>
      </c>
    </row>
    <row r="39">
      <c r="B39" s="28">
        <f>IF(Cadets!$B34="","",ROW()-10)</f>
        <v/>
      </c>
      <c r="C39" s="27">
        <f>IF(Cadets!$B34="","",Cadets!$F34)</f>
        <v/>
      </c>
      <c r="D39" s="28">
        <f>IF($C39="","",Cadets!$B34)</f>
        <v/>
      </c>
      <c r="E39" s="28">
        <f>IF($C39="","",Cadets!$H34)</f>
        <v/>
      </c>
      <c r="F39" s="28">
        <f>IF($C39="","",_xlfn.LET(_xlpm.c,IFERROR(INDEX(rngEPcode,MATCH(cfgGradeSheetExam,IFERROR(rngEPseq+0,-1),0)),""),IF(COUNTIFS(nrES_PID,Cadets!$B34,nrES_Code,_xlpm.c,nrES_Att,1)=0,"",SUMIFS(nrES_Raw,nrES_PID,Cadets!$B34,nrES_Code,_xlpm.c,nrES_Att,1))))</f>
        <v/>
      </c>
      <c r="G39" s="28">
        <f>IF($C39="","",_xlfn.LET(_xlpm.c,IFERROR(INDEX(rngEPcode,MATCH(cfgGradeSheetExam,IFERROR(rngEPseq+0,-1),0)),""),IF(COUNTIFS(nrES_PID,Cadets!$B34,nrES_Code,_xlpm.c,nrES_Final,"Yes",nrES_Rec,"&lt;&gt;")=0,"",SUMIFS(nrES_Rec,nrES_PID,Cadets!$B34,nrES_Code,_xlpm.c,nrES_Final,"Yes"))))</f>
        <v/>
      </c>
      <c r="H39" s="28">
        <f>IF(OR($C39="",$G39=""),"",IF($G39&gt;=IFERROR(INDEX(rngEPpass,MATCH(cfgGradeSheetExam,IFERROR(rngEPseq+0,-1),0)),cfgPassingScore),"Pass","FAIL"))</f>
        <v/>
      </c>
      <c r="I39" s="28">
        <f>IF($C39="","",_xlfn.LET(_xlpm.c,IFERROR(INDEX(rngEPcode,MATCH(cfgGradeSheetExam,IFERROR(rngEPseq+0,-1),0)),""),IF(COUNTIFS(nrES_PID,Cadets!$B34,nrES_Code,_xlpm.c,nrES_Att,2)&gt;0,"Retested","")))</f>
        <v/>
      </c>
    </row>
    <row r="40">
      <c r="B40" s="28">
        <f>IF(Cadets!$B35="","",ROW()-10)</f>
        <v/>
      </c>
      <c r="C40" s="27">
        <f>IF(Cadets!$B35="","",Cadets!$F35)</f>
        <v/>
      </c>
      <c r="D40" s="28">
        <f>IF($C40="","",Cadets!$B35)</f>
        <v/>
      </c>
      <c r="E40" s="28">
        <f>IF($C40="","",Cadets!$H35)</f>
        <v/>
      </c>
      <c r="F40" s="28">
        <f>IF($C40="","",_xlfn.LET(_xlpm.c,IFERROR(INDEX(rngEPcode,MATCH(cfgGradeSheetExam,IFERROR(rngEPseq+0,-1),0)),""),IF(COUNTIFS(nrES_PID,Cadets!$B35,nrES_Code,_xlpm.c,nrES_Att,1)=0,"",SUMIFS(nrES_Raw,nrES_PID,Cadets!$B35,nrES_Code,_xlpm.c,nrES_Att,1))))</f>
        <v/>
      </c>
      <c r="G40" s="28">
        <f>IF($C40="","",_xlfn.LET(_xlpm.c,IFERROR(INDEX(rngEPcode,MATCH(cfgGradeSheetExam,IFERROR(rngEPseq+0,-1),0)),""),IF(COUNTIFS(nrES_PID,Cadets!$B35,nrES_Code,_xlpm.c,nrES_Final,"Yes",nrES_Rec,"&lt;&gt;")=0,"",SUMIFS(nrES_Rec,nrES_PID,Cadets!$B35,nrES_Code,_xlpm.c,nrES_Final,"Yes"))))</f>
        <v/>
      </c>
      <c r="H40" s="28">
        <f>IF(OR($C40="",$G40=""),"",IF($G40&gt;=IFERROR(INDEX(rngEPpass,MATCH(cfgGradeSheetExam,IFERROR(rngEPseq+0,-1),0)),cfgPassingScore),"Pass","FAIL"))</f>
        <v/>
      </c>
      <c r="I40" s="28">
        <f>IF($C40="","",_xlfn.LET(_xlpm.c,IFERROR(INDEX(rngEPcode,MATCH(cfgGradeSheetExam,IFERROR(rngEPseq+0,-1),0)),""),IF(COUNTIFS(nrES_PID,Cadets!$B35,nrES_Code,_xlpm.c,nrES_Att,2)&gt;0,"Retested","")))</f>
        <v/>
      </c>
    </row>
    <row r="41">
      <c r="B41" s="28">
        <f>IF(Cadets!$B36="","",ROW()-10)</f>
        <v/>
      </c>
      <c r="C41" s="27">
        <f>IF(Cadets!$B36="","",Cadets!$F36)</f>
        <v/>
      </c>
      <c r="D41" s="28">
        <f>IF($C41="","",Cadets!$B36)</f>
        <v/>
      </c>
      <c r="E41" s="28">
        <f>IF($C41="","",Cadets!$H36)</f>
        <v/>
      </c>
      <c r="F41" s="28">
        <f>IF($C41="","",_xlfn.LET(_xlpm.c,IFERROR(INDEX(rngEPcode,MATCH(cfgGradeSheetExam,IFERROR(rngEPseq+0,-1),0)),""),IF(COUNTIFS(nrES_PID,Cadets!$B36,nrES_Code,_xlpm.c,nrES_Att,1)=0,"",SUMIFS(nrES_Raw,nrES_PID,Cadets!$B36,nrES_Code,_xlpm.c,nrES_Att,1))))</f>
        <v/>
      </c>
      <c r="G41" s="28">
        <f>IF($C41="","",_xlfn.LET(_xlpm.c,IFERROR(INDEX(rngEPcode,MATCH(cfgGradeSheetExam,IFERROR(rngEPseq+0,-1),0)),""),IF(COUNTIFS(nrES_PID,Cadets!$B36,nrES_Code,_xlpm.c,nrES_Final,"Yes",nrES_Rec,"&lt;&gt;")=0,"",SUMIFS(nrES_Rec,nrES_PID,Cadets!$B36,nrES_Code,_xlpm.c,nrES_Final,"Yes"))))</f>
        <v/>
      </c>
      <c r="H41" s="28">
        <f>IF(OR($C41="",$G41=""),"",IF($G41&gt;=IFERROR(INDEX(rngEPpass,MATCH(cfgGradeSheetExam,IFERROR(rngEPseq+0,-1),0)),cfgPassingScore),"Pass","FAIL"))</f>
        <v/>
      </c>
      <c r="I41" s="28">
        <f>IF($C41="","",_xlfn.LET(_xlpm.c,IFERROR(INDEX(rngEPcode,MATCH(cfgGradeSheetExam,IFERROR(rngEPseq+0,-1),0)),""),IF(COUNTIFS(nrES_PID,Cadets!$B36,nrES_Code,_xlpm.c,nrES_Att,2)&gt;0,"Retested","")))</f>
        <v/>
      </c>
    </row>
    <row r="42">
      <c r="B42" s="28">
        <f>IF(Cadets!$B37="","",ROW()-10)</f>
        <v/>
      </c>
      <c r="C42" s="27">
        <f>IF(Cadets!$B37="","",Cadets!$F37)</f>
        <v/>
      </c>
      <c r="D42" s="28">
        <f>IF($C42="","",Cadets!$B37)</f>
        <v/>
      </c>
      <c r="E42" s="28">
        <f>IF($C42="","",Cadets!$H37)</f>
        <v/>
      </c>
      <c r="F42" s="28">
        <f>IF($C42="","",_xlfn.LET(_xlpm.c,IFERROR(INDEX(rngEPcode,MATCH(cfgGradeSheetExam,IFERROR(rngEPseq+0,-1),0)),""),IF(COUNTIFS(nrES_PID,Cadets!$B37,nrES_Code,_xlpm.c,nrES_Att,1)=0,"",SUMIFS(nrES_Raw,nrES_PID,Cadets!$B37,nrES_Code,_xlpm.c,nrES_Att,1))))</f>
        <v/>
      </c>
      <c r="G42" s="28">
        <f>IF($C42="","",_xlfn.LET(_xlpm.c,IFERROR(INDEX(rngEPcode,MATCH(cfgGradeSheetExam,IFERROR(rngEPseq+0,-1),0)),""),IF(COUNTIFS(nrES_PID,Cadets!$B37,nrES_Code,_xlpm.c,nrES_Final,"Yes",nrES_Rec,"&lt;&gt;")=0,"",SUMIFS(nrES_Rec,nrES_PID,Cadets!$B37,nrES_Code,_xlpm.c,nrES_Final,"Yes"))))</f>
        <v/>
      </c>
      <c r="H42" s="28">
        <f>IF(OR($C42="",$G42=""),"",IF($G42&gt;=IFERROR(INDEX(rngEPpass,MATCH(cfgGradeSheetExam,IFERROR(rngEPseq+0,-1),0)),cfgPassingScore),"Pass","FAIL"))</f>
        <v/>
      </c>
      <c r="I42" s="28">
        <f>IF($C42="","",_xlfn.LET(_xlpm.c,IFERROR(INDEX(rngEPcode,MATCH(cfgGradeSheetExam,IFERROR(rngEPseq+0,-1),0)),""),IF(COUNTIFS(nrES_PID,Cadets!$B37,nrES_Code,_xlpm.c,nrES_Att,2)&gt;0,"Retested","")))</f>
        <v/>
      </c>
    </row>
    <row r="43">
      <c r="B43" s="28">
        <f>IF(Cadets!$B38="","",ROW()-10)</f>
        <v/>
      </c>
      <c r="C43" s="27">
        <f>IF(Cadets!$B38="","",Cadets!$F38)</f>
        <v/>
      </c>
      <c r="D43" s="28">
        <f>IF($C43="","",Cadets!$B38)</f>
        <v/>
      </c>
      <c r="E43" s="28">
        <f>IF($C43="","",Cadets!$H38)</f>
        <v/>
      </c>
      <c r="F43" s="28">
        <f>IF($C43="","",_xlfn.LET(_xlpm.c,IFERROR(INDEX(rngEPcode,MATCH(cfgGradeSheetExam,IFERROR(rngEPseq+0,-1),0)),""),IF(COUNTIFS(nrES_PID,Cadets!$B38,nrES_Code,_xlpm.c,nrES_Att,1)=0,"",SUMIFS(nrES_Raw,nrES_PID,Cadets!$B38,nrES_Code,_xlpm.c,nrES_Att,1))))</f>
        <v/>
      </c>
      <c r="G43" s="28">
        <f>IF($C43="","",_xlfn.LET(_xlpm.c,IFERROR(INDEX(rngEPcode,MATCH(cfgGradeSheetExam,IFERROR(rngEPseq+0,-1),0)),""),IF(COUNTIFS(nrES_PID,Cadets!$B38,nrES_Code,_xlpm.c,nrES_Final,"Yes",nrES_Rec,"&lt;&gt;")=0,"",SUMIFS(nrES_Rec,nrES_PID,Cadets!$B38,nrES_Code,_xlpm.c,nrES_Final,"Yes"))))</f>
        <v/>
      </c>
      <c r="H43" s="28">
        <f>IF(OR($C43="",$G43=""),"",IF($G43&gt;=IFERROR(INDEX(rngEPpass,MATCH(cfgGradeSheetExam,IFERROR(rngEPseq+0,-1),0)),cfgPassingScore),"Pass","FAIL"))</f>
        <v/>
      </c>
      <c r="I43" s="28">
        <f>IF($C43="","",_xlfn.LET(_xlpm.c,IFERROR(INDEX(rngEPcode,MATCH(cfgGradeSheetExam,IFERROR(rngEPseq+0,-1),0)),""),IF(COUNTIFS(nrES_PID,Cadets!$B38,nrES_Code,_xlpm.c,nrES_Att,2)&gt;0,"Retested","")))</f>
        <v/>
      </c>
    </row>
    <row r="44">
      <c r="B44" s="28">
        <f>IF(Cadets!$B39="","",ROW()-10)</f>
        <v/>
      </c>
      <c r="C44" s="27">
        <f>IF(Cadets!$B39="","",Cadets!$F39)</f>
        <v/>
      </c>
      <c r="D44" s="28">
        <f>IF($C44="","",Cadets!$B39)</f>
        <v/>
      </c>
      <c r="E44" s="28">
        <f>IF($C44="","",Cadets!$H39)</f>
        <v/>
      </c>
      <c r="F44" s="28">
        <f>IF($C44="","",_xlfn.LET(_xlpm.c,IFERROR(INDEX(rngEPcode,MATCH(cfgGradeSheetExam,IFERROR(rngEPseq+0,-1),0)),""),IF(COUNTIFS(nrES_PID,Cadets!$B39,nrES_Code,_xlpm.c,nrES_Att,1)=0,"",SUMIFS(nrES_Raw,nrES_PID,Cadets!$B39,nrES_Code,_xlpm.c,nrES_Att,1))))</f>
        <v/>
      </c>
      <c r="G44" s="28">
        <f>IF($C44="","",_xlfn.LET(_xlpm.c,IFERROR(INDEX(rngEPcode,MATCH(cfgGradeSheetExam,IFERROR(rngEPseq+0,-1),0)),""),IF(COUNTIFS(nrES_PID,Cadets!$B39,nrES_Code,_xlpm.c,nrES_Final,"Yes",nrES_Rec,"&lt;&gt;")=0,"",SUMIFS(nrES_Rec,nrES_PID,Cadets!$B39,nrES_Code,_xlpm.c,nrES_Final,"Yes"))))</f>
        <v/>
      </c>
      <c r="H44" s="28">
        <f>IF(OR($C44="",$G44=""),"",IF($G44&gt;=IFERROR(INDEX(rngEPpass,MATCH(cfgGradeSheetExam,IFERROR(rngEPseq+0,-1),0)),cfgPassingScore),"Pass","FAIL"))</f>
        <v/>
      </c>
      <c r="I44" s="28">
        <f>IF($C44="","",_xlfn.LET(_xlpm.c,IFERROR(INDEX(rngEPcode,MATCH(cfgGradeSheetExam,IFERROR(rngEPseq+0,-1),0)),""),IF(COUNTIFS(nrES_PID,Cadets!$B39,nrES_Code,_xlpm.c,nrES_Att,2)&gt;0,"Retested","")))</f>
        <v/>
      </c>
    </row>
    <row r="45">
      <c r="B45" s="28">
        <f>IF(Cadets!$B40="","",ROW()-10)</f>
        <v/>
      </c>
      <c r="C45" s="27">
        <f>IF(Cadets!$B40="","",Cadets!$F40)</f>
        <v/>
      </c>
      <c r="D45" s="28">
        <f>IF($C45="","",Cadets!$B40)</f>
        <v/>
      </c>
      <c r="E45" s="28">
        <f>IF($C45="","",Cadets!$H40)</f>
        <v/>
      </c>
      <c r="F45" s="28">
        <f>IF($C45="","",_xlfn.LET(_xlpm.c,IFERROR(INDEX(rngEPcode,MATCH(cfgGradeSheetExam,IFERROR(rngEPseq+0,-1),0)),""),IF(COUNTIFS(nrES_PID,Cadets!$B40,nrES_Code,_xlpm.c,nrES_Att,1)=0,"",SUMIFS(nrES_Raw,nrES_PID,Cadets!$B40,nrES_Code,_xlpm.c,nrES_Att,1))))</f>
        <v/>
      </c>
      <c r="G45" s="28">
        <f>IF($C45="","",_xlfn.LET(_xlpm.c,IFERROR(INDEX(rngEPcode,MATCH(cfgGradeSheetExam,IFERROR(rngEPseq+0,-1),0)),""),IF(COUNTIFS(nrES_PID,Cadets!$B40,nrES_Code,_xlpm.c,nrES_Final,"Yes",nrES_Rec,"&lt;&gt;")=0,"",SUMIFS(nrES_Rec,nrES_PID,Cadets!$B40,nrES_Code,_xlpm.c,nrES_Final,"Yes"))))</f>
        <v/>
      </c>
      <c r="H45" s="28">
        <f>IF(OR($C45="",$G45=""),"",IF($G45&gt;=IFERROR(INDEX(rngEPpass,MATCH(cfgGradeSheetExam,IFERROR(rngEPseq+0,-1),0)),cfgPassingScore),"Pass","FAIL"))</f>
        <v/>
      </c>
      <c r="I45" s="28">
        <f>IF($C45="","",_xlfn.LET(_xlpm.c,IFERROR(INDEX(rngEPcode,MATCH(cfgGradeSheetExam,IFERROR(rngEPseq+0,-1),0)),""),IF(COUNTIFS(nrES_PID,Cadets!$B40,nrES_Code,_xlpm.c,nrES_Att,2)&gt;0,"Retested","")))</f>
        <v/>
      </c>
    </row>
    <row r="46">
      <c r="B46" s="28">
        <f>IF(Cadets!$B41="","",ROW()-10)</f>
        <v/>
      </c>
      <c r="C46" s="27">
        <f>IF(Cadets!$B41="","",Cadets!$F41)</f>
        <v/>
      </c>
      <c r="D46" s="28">
        <f>IF($C46="","",Cadets!$B41)</f>
        <v/>
      </c>
      <c r="E46" s="28">
        <f>IF($C46="","",Cadets!$H41)</f>
        <v/>
      </c>
      <c r="F46" s="28">
        <f>IF($C46="","",_xlfn.LET(_xlpm.c,IFERROR(INDEX(rngEPcode,MATCH(cfgGradeSheetExam,IFERROR(rngEPseq+0,-1),0)),""),IF(COUNTIFS(nrES_PID,Cadets!$B41,nrES_Code,_xlpm.c,nrES_Att,1)=0,"",SUMIFS(nrES_Raw,nrES_PID,Cadets!$B41,nrES_Code,_xlpm.c,nrES_Att,1))))</f>
        <v/>
      </c>
      <c r="G46" s="28">
        <f>IF($C46="","",_xlfn.LET(_xlpm.c,IFERROR(INDEX(rngEPcode,MATCH(cfgGradeSheetExam,IFERROR(rngEPseq+0,-1),0)),""),IF(COUNTIFS(nrES_PID,Cadets!$B41,nrES_Code,_xlpm.c,nrES_Final,"Yes",nrES_Rec,"&lt;&gt;")=0,"",SUMIFS(nrES_Rec,nrES_PID,Cadets!$B41,nrES_Code,_xlpm.c,nrES_Final,"Yes"))))</f>
        <v/>
      </c>
      <c r="H46" s="28">
        <f>IF(OR($C46="",$G46=""),"",IF($G46&gt;=IFERROR(INDEX(rngEPpass,MATCH(cfgGradeSheetExam,IFERROR(rngEPseq+0,-1),0)),cfgPassingScore),"Pass","FAIL"))</f>
        <v/>
      </c>
      <c r="I46" s="28">
        <f>IF($C46="","",_xlfn.LET(_xlpm.c,IFERROR(INDEX(rngEPcode,MATCH(cfgGradeSheetExam,IFERROR(rngEPseq+0,-1),0)),""),IF(COUNTIFS(nrES_PID,Cadets!$B41,nrES_Code,_xlpm.c,nrES_Att,2)&gt;0,"Retested","")))</f>
        <v/>
      </c>
    </row>
    <row r="47">
      <c r="B47" s="28">
        <f>IF(Cadets!$B42="","",ROW()-10)</f>
        <v/>
      </c>
      <c r="C47" s="27">
        <f>IF(Cadets!$B42="","",Cadets!$F42)</f>
        <v/>
      </c>
      <c r="D47" s="28">
        <f>IF($C47="","",Cadets!$B42)</f>
        <v/>
      </c>
      <c r="E47" s="28">
        <f>IF($C47="","",Cadets!$H42)</f>
        <v/>
      </c>
      <c r="F47" s="28">
        <f>IF($C47="","",_xlfn.LET(_xlpm.c,IFERROR(INDEX(rngEPcode,MATCH(cfgGradeSheetExam,IFERROR(rngEPseq+0,-1),0)),""),IF(COUNTIFS(nrES_PID,Cadets!$B42,nrES_Code,_xlpm.c,nrES_Att,1)=0,"",SUMIFS(nrES_Raw,nrES_PID,Cadets!$B42,nrES_Code,_xlpm.c,nrES_Att,1))))</f>
        <v/>
      </c>
      <c r="G47" s="28">
        <f>IF($C47="","",_xlfn.LET(_xlpm.c,IFERROR(INDEX(rngEPcode,MATCH(cfgGradeSheetExam,IFERROR(rngEPseq+0,-1),0)),""),IF(COUNTIFS(nrES_PID,Cadets!$B42,nrES_Code,_xlpm.c,nrES_Final,"Yes",nrES_Rec,"&lt;&gt;")=0,"",SUMIFS(nrES_Rec,nrES_PID,Cadets!$B42,nrES_Code,_xlpm.c,nrES_Final,"Yes"))))</f>
        <v/>
      </c>
      <c r="H47" s="28">
        <f>IF(OR($C47="",$G47=""),"",IF($G47&gt;=IFERROR(INDEX(rngEPpass,MATCH(cfgGradeSheetExam,IFERROR(rngEPseq+0,-1),0)),cfgPassingScore),"Pass","FAIL"))</f>
        <v/>
      </c>
      <c r="I47" s="28">
        <f>IF($C47="","",_xlfn.LET(_xlpm.c,IFERROR(INDEX(rngEPcode,MATCH(cfgGradeSheetExam,IFERROR(rngEPseq+0,-1),0)),""),IF(COUNTIFS(nrES_PID,Cadets!$B42,nrES_Code,_xlpm.c,nrES_Att,2)&gt;0,"Retested","")))</f>
        <v/>
      </c>
    </row>
    <row r="48">
      <c r="B48" s="28">
        <f>IF(Cadets!$B43="","",ROW()-10)</f>
        <v/>
      </c>
      <c r="C48" s="27">
        <f>IF(Cadets!$B43="","",Cadets!$F43)</f>
        <v/>
      </c>
      <c r="D48" s="28">
        <f>IF($C48="","",Cadets!$B43)</f>
        <v/>
      </c>
      <c r="E48" s="28">
        <f>IF($C48="","",Cadets!$H43)</f>
        <v/>
      </c>
      <c r="F48" s="28">
        <f>IF($C48="","",_xlfn.LET(_xlpm.c,IFERROR(INDEX(rngEPcode,MATCH(cfgGradeSheetExam,IFERROR(rngEPseq+0,-1),0)),""),IF(COUNTIFS(nrES_PID,Cadets!$B43,nrES_Code,_xlpm.c,nrES_Att,1)=0,"",SUMIFS(nrES_Raw,nrES_PID,Cadets!$B43,nrES_Code,_xlpm.c,nrES_Att,1))))</f>
        <v/>
      </c>
      <c r="G48" s="28">
        <f>IF($C48="","",_xlfn.LET(_xlpm.c,IFERROR(INDEX(rngEPcode,MATCH(cfgGradeSheetExam,IFERROR(rngEPseq+0,-1),0)),""),IF(COUNTIFS(nrES_PID,Cadets!$B43,nrES_Code,_xlpm.c,nrES_Final,"Yes",nrES_Rec,"&lt;&gt;")=0,"",SUMIFS(nrES_Rec,nrES_PID,Cadets!$B43,nrES_Code,_xlpm.c,nrES_Final,"Yes"))))</f>
        <v/>
      </c>
      <c r="H48" s="28">
        <f>IF(OR($C48="",$G48=""),"",IF($G48&gt;=IFERROR(INDEX(rngEPpass,MATCH(cfgGradeSheetExam,IFERROR(rngEPseq+0,-1),0)),cfgPassingScore),"Pass","FAIL"))</f>
        <v/>
      </c>
      <c r="I48" s="28">
        <f>IF($C48="","",_xlfn.LET(_xlpm.c,IFERROR(INDEX(rngEPcode,MATCH(cfgGradeSheetExam,IFERROR(rngEPseq+0,-1),0)),""),IF(COUNTIFS(nrES_PID,Cadets!$B43,nrES_Code,_xlpm.c,nrES_Att,2)&gt;0,"Retested","")))</f>
        <v/>
      </c>
    </row>
    <row r="49">
      <c r="B49" s="28">
        <f>IF(Cadets!$B44="","",ROW()-10)</f>
        <v/>
      </c>
      <c r="C49" s="27">
        <f>IF(Cadets!$B44="","",Cadets!$F44)</f>
        <v/>
      </c>
      <c r="D49" s="28">
        <f>IF($C49="","",Cadets!$B44)</f>
        <v/>
      </c>
      <c r="E49" s="28">
        <f>IF($C49="","",Cadets!$H44)</f>
        <v/>
      </c>
      <c r="F49" s="28">
        <f>IF($C49="","",_xlfn.LET(_xlpm.c,IFERROR(INDEX(rngEPcode,MATCH(cfgGradeSheetExam,IFERROR(rngEPseq+0,-1),0)),""),IF(COUNTIFS(nrES_PID,Cadets!$B44,nrES_Code,_xlpm.c,nrES_Att,1)=0,"",SUMIFS(nrES_Raw,nrES_PID,Cadets!$B44,nrES_Code,_xlpm.c,nrES_Att,1))))</f>
        <v/>
      </c>
      <c r="G49" s="28">
        <f>IF($C49="","",_xlfn.LET(_xlpm.c,IFERROR(INDEX(rngEPcode,MATCH(cfgGradeSheetExam,IFERROR(rngEPseq+0,-1),0)),""),IF(COUNTIFS(nrES_PID,Cadets!$B44,nrES_Code,_xlpm.c,nrES_Final,"Yes",nrES_Rec,"&lt;&gt;")=0,"",SUMIFS(nrES_Rec,nrES_PID,Cadets!$B44,nrES_Code,_xlpm.c,nrES_Final,"Yes"))))</f>
        <v/>
      </c>
      <c r="H49" s="28">
        <f>IF(OR($C49="",$G49=""),"",IF($G49&gt;=IFERROR(INDEX(rngEPpass,MATCH(cfgGradeSheetExam,IFERROR(rngEPseq+0,-1),0)),cfgPassingScore),"Pass","FAIL"))</f>
        <v/>
      </c>
      <c r="I49" s="28">
        <f>IF($C49="","",_xlfn.LET(_xlpm.c,IFERROR(INDEX(rngEPcode,MATCH(cfgGradeSheetExam,IFERROR(rngEPseq+0,-1),0)),""),IF(COUNTIFS(nrES_PID,Cadets!$B44,nrES_Code,_xlpm.c,nrES_Att,2)&gt;0,"Retested","")))</f>
        <v/>
      </c>
    </row>
    <row r="50">
      <c r="B50" s="28">
        <f>IF(Cadets!$B45="","",ROW()-10)</f>
        <v/>
      </c>
      <c r="C50" s="27">
        <f>IF(Cadets!$B45="","",Cadets!$F45)</f>
        <v/>
      </c>
      <c r="D50" s="28">
        <f>IF($C50="","",Cadets!$B45)</f>
        <v/>
      </c>
      <c r="E50" s="28">
        <f>IF($C50="","",Cadets!$H45)</f>
        <v/>
      </c>
      <c r="F50" s="28">
        <f>IF($C50="","",_xlfn.LET(_xlpm.c,IFERROR(INDEX(rngEPcode,MATCH(cfgGradeSheetExam,IFERROR(rngEPseq+0,-1),0)),""),IF(COUNTIFS(nrES_PID,Cadets!$B45,nrES_Code,_xlpm.c,nrES_Att,1)=0,"",SUMIFS(nrES_Raw,nrES_PID,Cadets!$B45,nrES_Code,_xlpm.c,nrES_Att,1))))</f>
        <v/>
      </c>
      <c r="G50" s="28">
        <f>IF($C50="","",_xlfn.LET(_xlpm.c,IFERROR(INDEX(rngEPcode,MATCH(cfgGradeSheetExam,IFERROR(rngEPseq+0,-1),0)),""),IF(COUNTIFS(nrES_PID,Cadets!$B45,nrES_Code,_xlpm.c,nrES_Final,"Yes",nrES_Rec,"&lt;&gt;")=0,"",SUMIFS(nrES_Rec,nrES_PID,Cadets!$B45,nrES_Code,_xlpm.c,nrES_Final,"Yes"))))</f>
        <v/>
      </c>
      <c r="H50" s="28">
        <f>IF(OR($C50="",$G50=""),"",IF($G50&gt;=IFERROR(INDEX(rngEPpass,MATCH(cfgGradeSheetExam,IFERROR(rngEPseq+0,-1),0)),cfgPassingScore),"Pass","FAIL"))</f>
        <v/>
      </c>
      <c r="I50" s="28">
        <f>IF($C50="","",_xlfn.LET(_xlpm.c,IFERROR(INDEX(rngEPcode,MATCH(cfgGradeSheetExam,IFERROR(rngEPseq+0,-1),0)),""),IF(COUNTIFS(nrES_PID,Cadets!$B45,nrES_Code,_xlpm.c,nrES_Att,2)&gt;0,"Retested","")))</f>
        <v/>
      </c>
    </row>
    <row r="51">
      <c r="B51" s="28">
        <f>IF(Cadets!$B46="","",ROW()-10)</f>
        <v/>
      </c>
      <c r="C51" s="27">
        <f>IF(Cadets!$B46="","",Cadets!$F46)</f>
        <v/>
      </c>
      <c r="D51" s="28">
        <f>IF($C51="","",Cadets!$B46)</f>
        <v/>
      </c>
      <c r="E51" s="28">
        <f>IF($C51="","",Cadets!$H46)</f>
        <v/>
      </c>
      <c r="F51" s="28">
        <f>IF($C51="","",_xlfn.LET(_xlpm.c,IFERROR(INDEX(rngEPcode,MATCH(cfgGradeSheetExam,IFERROR(rngEPseq+0,-1),0)),""),IF(COUNTIFS(nrES_PID,Cadets!$B46,nrES_Code,_xlpm.c,nrES_Att,1)=0,"",SUMIFS(nrES_Raw,nrES_PID,Cadets!$B46,nrES_Code,_xlpm.c,nrES_Att,1))))</f>
        <v/>
      </c>
      <c r="G51" s="28">
        <f>IF($C51="","",_xlfn.LET(_xlpm.c,IFERROR(INDEX(rngEPcode,MATCH(cfgGradeSheetExam,IFERROR(rngEPseq+0,-1),0)),""),IF(COUNTIFS(nrES_PID,Cadets!$B46,nrES_Code,_xlpm.c,nrES_Final,"Yes",nrES_Rec,"&lt;&gt;")=0,"",SUMIFS(nrES_Rec,nrES_PID,Cadets!$B46,nrES_Code,_xlpm.c,nrES_Final,"Yes"))))</f>
        <v/>
      </c>
      <c r="H51" s="28">
        <f>IF(OR($C51="",$G51=""),"",IF($G51&gt;=IFERROR(INDEX(rngEPpass,MATCH(cfgGradeSheetExam,IFERROR(rngEPseq+0,-1),0)),cfgPassingScore),"Pass","FAIL"))</f>
        <v/>
      </c>
      <c r="I51" s="28">
        <f>IF($C51="","",_xlfn.LET(_xlpm.c,IFERROR(INDEX(rngEPcode,MATCH(cfgGradeSheetExam,IFERROR(rngEPseq+0,-1),0)),""),IF(COUNTIFS(nrES_PID,Cadets!$B46,nrES_Code,_xlpm.c,nrES_Att,2)&gt;0,"Retested","")))</f>
        <v/>
      </c>
    </row>
    <row r="52">
      <c r="B52" s="28">
        <f>IF(Cadets!$B47="","",ROW()-10)</f>
        <v/>
      </c>
      <c r="C52" s="27">
        <f>IF(Cadets!$B47="","",Cadets!$F47)</f>
        <v/>
      </c>
      <c r="D52" s="28">
        <f>IF($C52="","",Cadets!$B47)</f>
        <v/>
      </c>
      <c r="E52" s="28">
        <f>IF($C52="","",Cadets!$H47)</f>
        <v/>
      </c>
      <c r="F52" s="28">
        <f>IF($C52="","",_xlfn.LET(_xlpm.c,IFERROR(INDEX(rngEPcode,MATCH(cfgGradeSheetExam,IFERROR(rngEPseq+0,-1),0)),""),IF(COUNTIFS(nrES_PID,Cadets!$B47,nrES_Code,_xlpm.c,nrES_Att,1)=0,"",SUMIFS(nrES_Raw,nrES_PID,Cadets!$B47,nrES_Code,_xlpm.c,nrES_Att,1))))</f>
        <v/>
      </c>
      <c r="G52" s="28">
        <f>IF($C52="","",_xlfn.LET(_xlpm.c,IFERROR(INDEX(rngEPcode,MATCH(cfgGradeSheetExam,IFERROR(rngEPseq+0,-1),0)),""),IF(COUNTIFS(nrES_PID,Cadets!$B47,nrES_Code,_xlpm.c,nrES_Final,"Yes",nrES_Rec,"&lt;&gt;")=0,"",SUMIFS(nrES_Rec,nrES_PID,Cadets!$B47,nrES_Code,_xlpm.c,nrES_Final,"Yes"))))</f>
        <v/>
      </c>
      <c r="H52" s="28">
        <f>IF(OR($C52="",$G52=""),"",IF($G52&gt;=IFERROR(INDEX(rngEPpass,MATCH(cfgGradeSheetExam,IFERROR(rngEPseq+0,-1),0)),cfgPassingScore),"Pass","FAIL"))</f>
        <v/>
      </c>
      <c r="I52" s="28">
        <f>IF($C52="","",_xlfn.LET(_xlpm.c,IFERROR(INDEX(rngEPcode,MATCH(cfgGradeSheetExam,IFERROR(rngEPseq+0,-1),0)),""),IF(COUNTIFS(nrES_PID,Cadets!$B47,nrES_Code,_xlpm.c,nrES_Att,2)&gt;0,"Retested","")))</f>
        <v/>
      </c>
    </row>
    <row r="53">
      <c r="B53" s="28">
        <f>IF(Cadets!$B48="","",ROW()-10)</f>
        <v/>
      </c>
      <c r="C53" s="27">
        <f>IF(Cadets!$B48="","",Cadets!$F48)</f>
        <v/>
      </c>
      <c r="D53" s="28">
        <f>IF($C53="","",Cadets!$B48)</f>
        <v/>
      </c>
      <c r="E53" s="28">
        <f>IF($C53="","",Cadets!$H48)</f>
        <v/>
      </c>
      <c r="F53" s="28">
        <f>IF($C53="","",_xlfn.LET(_xlpm.c,IFERROR(INDEX(rngEPcode,MATCH(cfgGradeSheetExam,IFERROR(rngEPseq+0,-1),0)),""),IF(COUNTIFS(nrES_PID,Cadets!$B48,nrES_Code,_xlpm.c,nrES_Att,1)=0,"",SUMIFS(nrES_Raw,nrES_PID,Cadets!$B48,nrES_Code,_xlpm.c,nrES_Att,1))))</f>
        <v/>
      </c>
      <c r="G53" s="28">
        <f>IF($C53="","",_xlfn.LET(_xlpm.c,IFERROR(INDEX(rngEPcode,MATCH(cfgGradeSheetExam,IFERROR(rngEPseq+0,-1),0)),""),IF(COUNTIFS(nrES_PID,Cadets!$B48,nrES_Code,_xlpm.c,nrES_Final,"Yes",nrES_Rec,"&lt;&gt;")=0,"",SUMIFS(nrES_Rec,nrES_PID,Cadets!$B48,nrES_Code,_xlpm.c,nrES_Final,"Yes"))))</f>
        <v/>
      </c>
      <c r="H53" s="28">
        <f>IF(OR($C53="",$G53=""),"",IF($G53&gt;=IFERROR(INDEX(rngEPpass,MATCH(cfgGradeSheetExam,IFERROR(rngEPseq+0,-1),0)),cfgPassingScore),"Pass","FAIL"))</f>
        <v/>
      </c>
      <c r="I53" s="28">
        <f>IF($C53="","",_xlfn.LET(_xlpm.c,IFERROR(INDEX(rngEPcode,MATCH(cfgGradeSheetExam,IFERROR(rngEPseq+0,-1),0)),""),IF(COUNTIFS(nrES_PID,Cadets!$B48,nrES_Code,_xlpm.c,nrES_Att,2)&gt;0,"Retested","")))</f>
        <v/>
      </c>
    </row>
    <row r="54">
      <c r="B54" s="28">
        <f>IF(Cadets!$B49="","",ROW()-10)</f>
        <v/>
      </c>
      <c r="C54" s="27">
        <f>IF(Cadets!$B49="","",Cadets!$F49)</f>
        <v/>
      </c>
      <c r="D54" s="28">
        <f>IF($C54="","",Cadets!$B49)</f>
        <v/>
      </c>
      <c r="E54" s="28">
        <f>IF($C54="","",Cadets!$H49)</f>
        <v/>
      </c>
      <c r="F54" s="28">
        <f>IF($C54="","",_xlfn.LET(_xlpm.c,IFERROR(INDEX(rngEPcode,MATCH(cfgGradeSheetExam,IFERROR(rngEPseq+0,-1),0)),""),IF(COUNTIFS(nrES_PID,Cadets!$B49,nrES_Code,_xlpm.c,nrES_Att,1)=0,"",SUMIFS(nrES_Raw,nrES_PID,Cadets!$B49,nrES_Code,_xlpm.c,nrES_Att,1))))</f>
        <v/>
      </c>
      <c r="G54" s="28">
        <f>IF($C54="","",_xlfn.LET(_xlpm.c,IFERROR(INDEX(rngEPcode,MATCH(cfgGradeSheetExam,IFERROR(rngEPseq+0,-1),0)),""),IF(COUNTIFS(nrES_PID,Cadets!$B49,nrES_Code,_xlpm.c,nrES_Final,"Yes",nrES_Rec,"&lt;&gt;")=0,"",SUMIFS(nrES_Rec,nrES_PID,Cadets!$B49,nrES_Code,_xlpm.c,nrES_Final,"Yes"))))</f>
        <v/>
      </c>
      <c r="H54" s="28">
        <f>IF(OR($C54="",$G54=""),"",IF($G54&gt;=IFERROR(INDEX(rngEPpass,MATCH(cfgGradeSheetExam,IFERROR(rngEPseq+0,-1),0)),cfgPassingScore),"Pass","FAIL"))</f>
        <v/>
      </c>
      <c r="I54" s="28">
        <f>IF($C54="","",_xlfn.LET(_xlpm.c,IFERROR(INDEX(rngEPcode,MATCH(cfgGradeSheetExam,IFERROR(rngEPseq+0,-1),0)),""),IF(COUNTIFS(nrES_PID,Cadets!$B49,nrES_Code,_xlpm.c,nrES_Att,2)&gt;0,"Retested","")))</f>
        <v/>
      </c>
    </row>
    <row r="55">
      <c r="B55" s="28">
        <f>IF(Cadets!$B50="","",ROW()-10)</f>
        <v/>
      </c>
      <c r="C55" s="27">
        <f>IF(Cadets!$B50="","",Cadets!$F50)</f>
        <v/>
      </c>
      <c r="D55" s="28">
        <f>IF($C55="","",Cadets!$B50)</f>
        <v/>
      </c>
      <c r="E55" s="28">
        <f>IF($C55="","",Cadets!$H50)</f>
        <v/>
      </c>
      <c r="F55" s="28">
        <f>IF($C55="","",_xlfn.LET(_xlpm.c,IFERROR(INDEX(rngEPcode,MATCH(cfgGradeSheetExam,IFERROR(rngEPseq+0,-1),0)),""),IF(COUNTIFS(nrES_PID,Cadets!$B50,nrES_Code,_xlpm.c,nrES_Att,1)=0,"",SUMIFS(nrES_Raw,nrES_PID,Cadets!$B50,nrES_Code,_xlpm.c,nrES_Att,1))))</f>
        <v/>
      </c>
      <c r="G55" s="28">
        <f>IF($C55="","",_xlfn.LET(_xlpm.c,IFERROR(INDEX(rngEPcode,MATCH(cfgGradeSheetExam,IFERROR(rngEPseq+0,-1),0)),""),IF(COUNTIFS(nrES_PID,Cadets!$B50,nrES_Code,_xlpm.c,nrES_Final,"Yes",nrES_Rec,"&lt;&gt;")=0,"",SUMIFS(nrES_Rec,nrES_PID,Cadets!$B50,nrES_Code,_xlpm.c,nrES_Final,"Yes"))))</f>
        <v/>
      </c>
      <c r="H55" s="28">
        <f>IF(OR($C55="",$G55=""),"",IF($G55&gt;=IFERROR(INDEX(rngEPpass,MATCH(cfgGradeSheetExam,IFERROR(rngEPseq+0,-1),0)),cfgPassingScore),"Pass","FAIL"))</f>
        <v/>
      </c>
      <c r="I55" s="28">
        <f>IF($C55="","",_xlfn.LET(_xlpm.c,IFERROR(INDEX(rngEPcode,MATCH(cfgGradeSheetExam,IFERROR(rngEPseq+0,-1),0)),""),IF(COUNTIFS(nrES_PID,Cadets!$B50,nrES_Code,_xlpm.c,nrES_Att,2)&gt;0,"Retested","")))</f>
        <v/>
      </c>
    </row>
    <row r="56">
      <c r="B56" s="28">
        <f>IF(Cadets!$B51="","",ROW()-10)</f>
        <v/>
      </c>
      <c r="C56" s="27">
        <f>IF(Cadets!$B51="","",Cadets!$F51)</f>
        <v/>
      </c>
      <c r="D56" s="28">
        <f>IF($C56="","",Cadets!$B51)</f>
        <v/>
      </c>
      <c r="E56" s="28">
        <f>IF($C56="","",Cadets!$H51)</f>
        <v/>
      </c>
      <c r="F56" s="28">
        <f>IF($C56="","",_xlfn.LET(_xlpm.c,IFERROR(INDEX(rngEPcode,MATCH(cfgGradeSheetExam,IFERROR(rngEPseq+0,-1),0)),""),IF(COUNTIFS(nrES_PID,Cadets!$B51,nrES_Code,_xlpm.c,nrES_Att,1)=0,"",SUMIFS(nrES_Raw,nrES_PID,Cadets!$B51,nrES_Code,_xlpm.c,nrES_Att,1))))</f>
        <v/>
      </c>
      <c r="G56" s="28">
        <f>IF($C56="","",_xlfn.LET(_xlpm.c,IFERROR(INDEX(rngEPcode,MATCH(cfgGradeSheetExam,IFERROR(rngEPseq+0,-1),0)),""),IF(COUNTIFS(nrES_PID,Cadets!$B51,nrES_Code,_xlpm.c,nrES_Final,"Yes",nrES_Rec,"&lt;&gt;")=0,"",SUMIFS(nrES_Rec,nrES_PID,Cadets!$B51,nrES_Code,_xlpm.c,nrES_Final,"Yes"))))</f>
        <v/>
      </c>
      <c r="H56" s="28">
        <f>IF(OR($C56="",$G56=""),"",IF($G56&gt;=IFERROR(INDEX(rngEPpass,MATCH(cfgGradeSheetExam,IFERROR(rngEPseq+0,-1),0)),cfgPassingScore),"Pass","FAIL"))</f>
        <v/>
      </c>
      <c r="I56" s="28">
        <f>IF($C56="","",_xlfn.LET(_xlpm.c,IFERROR(INDEX(rngEPcode,MATCH(cfgGradeSheetExam,IFERROR(rngEPseq+0,-1),0)),""),IF(COUNTIFS(nrES_PID,Cadets!$B51,nrES_Code,_xlpm.c,nrES_Att,2)&gt;0,"Retested","")))</f>
        <v/>
      </c>
    </row>
    <row r="57">
      <c r="B57" s="28">
        <f>IF(Cadets!$B52="","",ROW()-10)</f>
        <v/>
      </c>
      <c r="C57" s="27">
        <f>IF(Cadets!$B52="","",Cadets!$F52)</f>
        <v/>
      </c>
      <c r="D57" s="28">
        <f>IF($C57="","",Cadets!$B52)</f>
        <v/>
      </c>
      <c r="E57" s="28">
        <f>IF($C57="","",Cadets!$H52)</f>
        <v/>
      </c>
      <c r="F57" s="28">
        <f>IF($C57="","",_xlfn.LET(_xlpm.c,IFERROR(INDEX(rngEPcode,MATCH(cfgGradeSheetExam,IFERROR(rngEPseq+0,-1),0)),""),IF(COUNTIFS(nrES_PID,Cadets!$B52,nrES_Code,_xlpm.c,nrES_Att,1)=0,"",SUMIFS(nrES_Raw,nrES_PID,Cadets!$B52,nrES_Code,_xlpm.c,nrES_Att,1))))</f>
        <v/>
      </c>
      <c r="G57" s="28">
        <f>IF($C57="","",_xlfn.LET(_xlpm.c,IFERROR(INDEX(rngEPcode,MATCH(cfgGradeSheetExam,IFERROR(rngEPseq+0,-1),0)),""),IF(COUNTIFS(nrES_PID,Cadets!$B52,nrES_Code,_xlpm.c,nrES_Final,"Yes",nrES_Rec,"&lt;&gt;")=0,"",SUMIFS(nrES_Rec,nrES_PID,Cadets!$B52,nrES_Code,_xlpm.c,nrES_Final,"Yes"))))</f>
        <v/>
      </c>
      <c r="H57" s="28">
        <f>IF(OR($C57="",$G57=""),"",IF($G57&gt;=IFERROR(INDEX(rngEPpass,MATCH(cfgGradeSheetExam,IFERROR(rngEPseq+0,-1),0)),cfgPassingScore),"Pass","FAIL"))</f>
        <v/>
      </c>
      <c r="I57" s="28">
        <f>IF($C57="","",_xlfn.LET(_xlpm.c,IFERROR(INDEX(rngEPcode,MATCH(cfgGradeSheetExam,IFERROR(rngEPseq+0,-1),0)),""),IF(COUNTIFS(nrES_PID,Cadets!$B52,nrES_Code,_xlpm.c,nrES_Att,2)&gt;0,"Retested","")))</f>
        <v/>
      </c>
    </row>
    <row r="58">
      <c r="B58" s="28">
        <f>IF(Cadets!$B53="","",ROW()-10)</f>
        <v/>
      </c>
      <c r="C58" s="27">
        <f>IF(Cadets!$B53="","",Cadets!$F53)</f>
        <v/>
      </c>
      <c r="D58" s="28">
        <f>IF($C58="","",Cadets!$B53)</f>
        <v/>
      </c>
      <c r="E58" s="28">
        <f>IF($C58="","",Cadets!$H53)</f>
        <v/>
      </c>
      <c r="F58" s="28">
        <f>IF($C58="","",_xlfn.LET(_xlpm.c,IFERROR(INDEX(rngEPcode,MATCH(cfgGradeSheetExam,IFERROR(rngEPseq+0,-1),0)),""),IF(COUNTIFS(nrES_PID,Cadets!$B53,nrES_Code,_xlpm.c,nrES_Att,1)=0,"",SUMIFS(nrES_Raw,nrES_PID,Cadets!$B53,nrES_Code,_xlpm.c,nrES_Att,1))))</f>
        <v/>
      </c>
      <c r="G58" s="28">
        <f>IF($C58="","",_xlfn.LET(_xlpm.c,IFERROR(INDEX(rngEPcode,MATCH(cfgGradeSheetExam,IFERROR(rngEPseq+0,-1),0)),""),IF(COUNTIFS(nrES_PID,Cadets!$B53,nrES_Code,_xlpm.c,nrES_Final,"Yes",nrES_Rec,"&lt;&gt;")=0,"",SUMIFS(nrES_Rec,nrES_PID,Cadets!$B53,nrES_Code,_xlpm.c,nrES_Final,"Yes"))))</f>
        <v/>
      </c>
      <c r="H58" s="28">
        <f>IF(OR($C58="",$G58=""),"",IF($G58&gt;=IFERROR(INDEX(rngEPpass,MATCH(cfgGradeSheetExam,IFERROR(rngEPseq+0,-1),0)),cfgPassingScore),"Pass","FAIL"))</f>
        <v/>
      </c>
      <c r="I58" s="28">
        <f>IF($C58="","",_xlfn.LET(_xlpm.c,IFERROR(INDEX(rngEPcode,MATCH(cfgGradeSheetExam,IFERROR(rngEPseq+0,-1),0)),""),IF(COUNTIFS(nrES_PID,Cadets!$B53,nrES_Code,_xlpm.c,nrES_Att,2)&gt;0,"Retested","")))</f>
        <v/>
      </c>
    </row>
    <row r="59">
      <c r="B59" s="28">
        <f>IF(Cadets!$B54="","",ROW()-10)</f>
        <v/>
      </c>
      <c r="C59" s="27">
        <f>IF(Cadets!$B54="","",Cadets!$F54)</f>
        <v/>
      </c>
      <c r="D59" s="28">
        <f>IF($C59="","",Cadets!$B54)</f>
        <v/>
      </c>
      <c r="E59" s="28">
        <f>IF($C59="","",Cadets!$H54)</f>
        <v/>
      </c>
      <c r="F59" s="28">
        <f>IF($C59="","",_xlfn.LET(_xlpm.c,IFERROR(INDEX(rngEPcode,MATCH(cfgGradeSheetExam,IFERROR(rngEPseq+0,-1),0)),""),IF(COUNTIFS(nrES_PID,Cadets!$B54,nrES_Code,_xlpm.c,nrES_Att,1)=0,"",SUMIFS(nrES_Raw,nrES_PID,Cadets!$B54,nrES_Code,_xlpm.c,nrES_Att,1))))</f>
        <v/>
      </c>
      <c r="G59" s="28">
        <f>IF($C59="","",_xlfn.LET(_xlpm.c,IFERROR(INDEX(rngEPcode,MATCH(cfgGradeSheetExam,IFERROR(rngEPseq+0,-1),0)),""),IF(COUNTIFS(nrES_PID,Cadets!$B54,nrES_Code,_xlpm.c,nrES_Final,"Yes",nrES_Rec,"&lt;&gt;")=0,"",SUMIFS(nrES_Rec,nrES_PID,Cadets!$B54,nrES_Code,_xlpm.c,nrES_Final,"Yes"))))</f>
        <v/>
      </c>
      <c r="H59" s="28">
        <f>IF(OR($C59="",$G59=""),"",IF($G59&gt;=IFERROR(INDEX(rngEPpass,MATCH(cfgGradeSheetExam,IFERROR(rngEPseq+0,-1),0)),cfgPassingScore),"Pass","FAIL"))</f>
        <v/>
      </c>
      <c r="I59" s="28">
        <f>IF($C59="","",_xlfn.LET(_xlpm.c,IFERROR(INDEX(rngEPcode,MATCH(cfgGradeSheetExam,IFERROR(rngEPseq+0,-1),0)),""),IF(COUNTIFS(nrES_PID,Cadets!$B54,nrES_Code,_xlpm.c,nrES_Att,2)&gt;0,"Retested","")))</f>
        <v/>
      </c>
    </row>
    <row r="60">
      <c r="B60" s="28">
        <f>IF(Cadets!$B55="","",ROW()-10)</f>
        <v/>
      </c>
      <c r="C60" s="27">
        <f>IF(Cadets!$B55="","",Cadets!$F55)</f>
        <v/>
      </c>
      <c r="D60" s="28">
        <f>IF($C60="","",Cadets!$B55)</f>
        <v/>
      </c>
      <c r="E60" s="28">
        <f>IF($C60="","",Cadets!$H55)</f>
        <v/>
      </c>
      <c r="F60" s="28">
        <f>IF($C60="","",_xlfn.LET(_xlpm.c,IFERROR(INDEX(rngEPcode,MATCH(cfgGradeSheetExam,IFERROR(rngEPseq+0,-1),0)),""),IF(COUNTIFS(nrES_PID,Cadets!$B55,nrES_Code,_xlpm.c,nrES_Att,1)=0,"",SUMIFS(nrES_Raw,nrES_PID,Cadets!$B55,nrES_Code,_xlpm.c,nrES_Att,1))))</f>
        <v/>
      </c>
      <c r="G60" s="28">
        <f>IF($C60="","",_xlfn.LET(_xlpm.c,IFERROR(INDEX(rngEPcode,MATCH(cfgGradeSheetExam,IFERROR(rngEPseq+0,-1),0)),""),IF(COUNTIFS(nrES_PID,Cadets!$B55,nrES_Code,_xlpm.c,nrES_Final,"Yes",nrES_Rec,"&lt;&gt;")=0,"",SUMIFS(nrES_Rec,nrES_PID,Cadets!$B55,nrES_Code,_xlpm.c,nrES_Final,"Yes"))))</f>
        <v/>
      </c>
      <c r="H60" s="28">
        <f>IF(OR($C60="",$G60=""),"",IF($G60&gt;=IFERROR(INDEX(rngEPpass,MATCH(cfgGradeSheetExam,IFERROR(rngEPseq+0,-1),0)),cfgPassingScore),"Pass","FAIL"))</f>
        <v/>
      </c>
      <c r="I60" s="28">
        <f>IF($C60="","",_xlfn.LET(_xlpm.c,IFERROR(INDEX(rngEPcode,MATCH(cfgGradeSheetExam,IFERROR(rngEPseq+0,-1),0)),""),IF(COUNTIFS(nrES_PID,Cadets!$B55,nrES_Code,_xlpm.c,nrES_Att,2)&gt;0,"Retested","")))</f>
        <v/>
      </c>
    </row>
    <row r="61">
      <c r="C61" s="3" t="inlineStr">
        <is>
          <t>Class average / low / high / fails:</t>
        </is>
      </c>
      <c r="F61" s="20">
        <f>_xlfn.LET(_xlpm.c,IFERROR(INDEX(rngEPcode,MATCH(cfgGradeSheetExam,IFERROR(rngEPseq+0,-1),0)),""),IF(_xlpm.c="","",IFERROR(ROUND(AVERAGEIFS(nrES_Rec,nrES_Code,_xlpm.c,nrES_Final,"Yes"),1),"—")&amp;" / "&amp;IFERROR(_xlfn.MINIFS(nrES_Rec,nrES_Code,_xlpm.c,nrES_Final,"Yes"),"—")&amp;" / "&amp;IFERROR(_xlfn.MAXIFS(nrES_Rec,nrES_Code,_xlpm.c,nrES_Final,"Yes"),"—")&amp;" / "&amp;COUNTIFS(nrES_Code,_xlpm.c,nrES_Final,"Yes",nrES_Rec,"&lt;"&amp;IFERROR(INDEX(rngEPpass,MATCH(cfgGradeSheetExam,IFERROR(rngEPseq+0,-1),0)),cfgPassingScore))))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original is scanned into the file (scans = originals per records policy) and the day is logged as one DailyLog row. Exceptions still go on Attendance.</t>
        </is>
      </c>
    </row>
    <row r="5">
      <c r="B5" s="3" t="inlineStr">
        <is>
          <t>Sign-in date:</t>
        </is>
      </c>
      <c r="C5" s="31"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IFERROR(_xlfn.TAKE(_xlfn._xlws.FILTER(_xlfn.HSTACK(TEXT(nrSCH_Start,"h:mm AM/PM"),TEXT(nrSCH_End,"h:mm AM/PM"),nrSCH_Act,nrSCH_Instr,nrSCH_Loc),(nrSCH_Date&lt;&gt;"")*(nrSCH_Date=cfgSignInDate)),9),"— no schedule entered for this date —")</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8">
        <f>IF(C24="","",COUNTIF($C$24:C24,"?*"))</f>
        <v/>
      </c>
      <c r="C24" s="27">
        <f>IF(Cadets!$B6="","",IF(Cadets!$I6&lt;&gt;"Active","",Cadets!$F6))</f>
        <v/>
      </c>
      <c r="D24" s="27">
        <f>IF(C24="","",Cadets!$B6)</f>
        <v/>
      </c>
      <c r="E24" s="27">
        <f>IF(C24="","",Cadets!$H6)</f>
        <v/>
      </c>
      <c r="F24" s="32" t="n"/>
      <c r="G24" s="32" t="n"/>
      <c r="H24" s="32" t="n"/>
    </row>
    <row r="25" ht="20" customHeight="1">
      <c r="B25" s="28">
        <f>IF(C25="","",COUNTIF($C$24:C25,"?*"))</f>
        <v/>
      </c>
      <c r="C25" s="27">
        <f>IF(Cadets!$B7="","",IF(Cadets!$I7&lt;&gt;"Active","",Cadets!$F7))</f>
        <v/>
      </c>
      <c r="D25" s="27">
        <f>IF(C25="","",Cadets!$B7)</f>
        <v/>
      </c>
      <c r="E25" s="27">
        <f>IF(C25="","",Cadets!$H7)</f>
        <v/>
      </c>
      <c r="F25" s="32" t="n"/>
      <c r="G25" s="32" t="n"/>
      <c r="H25" s="32" t="n"/>
    </row>
    <row r="26" ht="20" customHeight="1">
      <c r="B26" s="28">
        <f>IF(C26="","",COUNTIF($C$24:C26,"?*"))</f>
        <v/>
      </c>
      <c r="C26" s="27">
        <f>IF(Cadets!$B8="","",IF(Cadets!$I8&lt;&gt;"Active","",Cadets!$F8))</f>
        <v/>
      </c>
      <c r="D26" s="27">
        <f>IF(C26="","",Cadets!$B8)</f>
        <v/>
      </c>
      <c r="E26" s="27">
        <f>IF(C26="","",Cadets!$H8)</f>
        <v/>
      </c>
      <c r="F26" s="32" t="n"/>
      <c r="G26" s="32" t="n"/>
      <c r="H26" s="32" t="n"/>
    </row>
    <row r="27" ht="20" customHeight="1">
      <c r="B27" s="28">
        <f>IF(C27="","",COUNTIF($C$24:C27,"?*"))</f>
        <v/>
      </c>
      <c r="C27" s="27">
        <f>IF(Cadets!$B9="","",IF(Cadets!$I9&lt;&gt;"Active","",Cadets!$F9))</f>
        <v/>
      </c>
      <c r="D27" s="27">
        <f>IF(C27="","",Cadets!$B9)</f>
        <v/>
      </c>
      <c r="E27" s="27">
        <f>IF(C27="","",Cadets!$H9)</f>
        <v/>
      </c>
      <c r="F27" s="32" t="n"/>
      <c r="G27" s="32" t="n"/>
      <c r="H27" s="32" t="n"/>
    </row>
    <row r="28" ht="20" customHeight="1">
      <c r="B28" s="28">
        <f>IF(C28="","",COUNTIF($C$24:C28,"?*"))</f>
        <v/>
      </c>
      <c r="C28" s="27">
        <f>IF(Cadets!$B10="","",IF(Cadets!$I10&lt;&gt;"Active","",Cadets!$F10))</f>
        <v/>
      </c>
      <c r="D28" s="27">
        <f>IF(C28="","",Cadets!$B10)</f>
        <v/>
      </c>
      <c r="E28" s="27">
        <f>IF(C28="","",Cadets!$H10)</f>
        <v/>
      </c>
      <c r="F28" s="32" t="n"/>
      <c r="G28" s="32" t="n"/>
      <c r="H28" s="32" t="n"/>
    </row>
    <row r="29" ht="20" customHeight="1">
      <c r="B29" s="28">
        <f>IF(C29="","",COUNTIF($C$24:C29,"?*"))</f>
        <v/>
      </c>
      <c r="C29" s="27">
        <f>IF(Cadets!$B11="","",IF(Cadets!$I11&lt;&gt;"Active","",Cadets!$F11))</f>
        <v/>
      </c>
      <c r="D29" s="27">
        <f>IF(C29="","",Cadets!$B11)</f>
        <v/>
      </c>
      <c r="E29" s="27">
        <f>IF(C29="","",Cadets!$H11)</f>
        <v/>
      </c>
      <c r="F29" s="32" t="n"/>
      <c r="G29" s="32" t="n"/>
      <c r="H29" s="32" t="n"/>
    </row>
    <row r="30" ht="20" customHeight="1">
      <c r="B30" s="28">
        <f>IF(C30="","",COUNTIF($C$24:C30,"?*"))</f>
        <v/>
      </c>
      <c r="C30" s="27">
        <f>IF(Cadets!$B12="","",IF(Cadets!$I12&lt;&gt;"Active","",Cadets!$F12))</f>
        <v/>
      </c>
      <c r="D30" s="27">
        <f>IF(C30="","",Cadets!$B12)</f>
        <v/>
      </c>
      <c r="E30" s="27">
        <f>IF(C30="","",Cadets!$H12)</f>
        <v/>
      </c>
      <c r="F30" s="32" t="n"/>
      <c r="G30" s="32" t="n"/>
      <c r="H30" s="32" t="n"/>
    </row>
    <row r="31" ht="20" customHeight="1">
      <c r="B31" s="28">
        <f>IF(C31="","",COUNTIF($C$24:C31,"?*"))</f>
        <v/>
      </c>
      <c r="C31" s="27">
        <f>IF(Cadets!$B13="","",IF(Cadets!$I13&lt;&gt;"Active","",Cadets!$F13))</f>
        <v/>
      </c>
      <c r="D31" s="27">
        <f>IF(C31="","",Cadets!$B13)</f>
        <v/>
      </c>
      <c r="E31" s="27">
        <f>IF(C31="","",Cadets!$H13)</f>
        <v/>
      </c>
      <c r="F31" s="32" t="n"/>
      <c r="G31" s="32" t="n"/>
      <c r="H31" s="32" t="n"/>
    </row>
    <row r="32" ht="20" customHeight="1">
      <c r="B32" s="28">
        <f>IF(C32="","",COUNTIF($C$24:C32,"?*"))</f>
        <v/>
      </c>
      <c r="C32" s="27">
        <f>IF(Cadets!$B14="","",IF(Cadets!$I14&lt;&gt;"Active","",Cadets!$F14))</f>
        <v/>
      </c>
      <c r="D32" s="27">
        <f>IF(C32="","",Cadets!$B14)</f>
        <v/>
      </c>
      <c r="E32" s="27">
        <f>IF(C32="","",Cadets!$H14)</f>
        <v/>
      </c>
      <c r="F32" s="32" t="n"/>
      <c r="G32" s="32" t="n"/>
      <c r="H32" s="32" t="n"/>
    </row>
    <row r="33" ht="20" customHeight="1">
      <c r="B33" s="28">
        <f>IF(C33="","",COUNTIF($C$24:C33,"?*"))</f>
        <v/>
      </c>
      <c r="C33" s="27">
        <f>IF(Cadets!$B15="","",IF(Cadets!$I15&lt;&gt;"Active","",Cadets!$F15))</f>
        <v/>
      </c>
      <c r="D33" s="27">
        <f>IF(C33="","",Cadets!$B15)</f>
        <v/>
      </c>
      <c r="E33" s="27">
        <f>IF(C33="","",Cadets!$H15)</f>
        <v/>
      </c>
      <c r="F33" s="32" t="n"/>
      <c r="G33" s="32" t="n"/>
      <c r="H33" s="32" t="n"/>
    </row>
    <row r="34" ht="20" customHeight="1">
      <c r="B34" s="28">
        <f>IF(C34="","",COUNTIF($C$24:C34,"?*"))</f>
        <v/>
      </c>
      <c r="C34" s="27">
        <f>IF(Cadets!$B16="","",IF(Cadets!$I16&lt;&gt;"Active","",Cadets!$F16))</f>
        <v/>
      </c>
      <c r="D34" s="27">
        <f>IF(C34="","",Cadets!$B16)</f>
        <v/>
      </c>
      <c r="E34" s="27">
        <f>IF(C34="","",Cadets!$H16)</f>
        <v/>
      </c>
      <c r="F34" s="32" t="n"/>
      <c r="G34" s="32" t="n"/>
      <c r="H34" s="32" t="n"/>
    </row>
    <row r="35" ht="20" customHeight="1">
      <c r="B35" s="28">
        <f>IF(C35="","",COUNTIF($C$24:C35,"?*"))</f>
        <v/>
      </c>
      <c r="C35" s="27">
        <f>IF(Cadets!$B17="","",IF(Cadets!$I17&lt;&gt;"Active","",Cadets!$F17))</f>
        <v/>
      </c>
      <c r="D35" s="27">
        <f>IF(C35="","",Cadets!$B17)</f>
        <v/>
      </c>
      <c r="E35" s="27">
        <f>IF(C35="","",Cadets!$H17)</f>
        <v/>
      </c>
      <c r="F35" s="32" t="n"/>
      <c r="G35" s="32" t="n"/>
      <c r="H35" s="32" t="n"/>
    </row>
    <row r="36" ht="20" customHeight="1">
      <c r="B36" s="28">
        <f>IF(C36="","",COUNTIF($C$24:C36,"?*"))</f>
        <v/>
      </c>
      <c r="C36" s="27">
        <f>IF(Cadets!$B18="","",IF(Cadets!$I18&lt;&gt;"Active","",Cadets!$F18))</f>
        <v/>
      </c>
      <c r="D36" s="27">
        <f>IF(C36="","",Cadets!$B18)</f>
        <v/>
      </c>
      <c r="E36" s="27">
        <f>IF(C36="","",Cadets!$H18)</f>
        <v/>
      </c>
      <c r="F36" s="32" t="n"/>
      <c r="G36" s="32" t="n"/>
      <c r="H36" s="32" t="n"/>
    </row>
    <row r="37" ht="20" customHeight="1">
      <c r="B37" s="28">
        <f>IF(C37="","",COUNTIF($C$24:C37,"?*"))</f>
        <v/>
      </c>
      <c r="C37" s="27">
        <f>IF(Cadets!$B19="","",IF(Cadets!$I19&lt;&gt;"Active","",Cadets!$F19))</f>
        <v/>
      </c>
      <c r="D37" s="27">
        <f>IF(C37="","",Cadets!$B19)</f>
        <v/>
      </c>
      <c r="E37" s="27">
        <f>IF(C37="","",Cadets!$H19)</f>
        <v/>
      </c>
      <c r="F37" s="32" t="n"/>
      <c r="G37" s="32" t="n"/>
      <c r="H37" s="32" t="n"/>
    </row>
    <row r="38" ht="20" customHeight="1">
      <c r="B38" s="28">
        <f>IF(C38="","",COUNTIF($C$24:C38,"?*"))</f>
        <v/>
      </c>
      <c r="C38" s="27">
        <f>IF(Cadets!$B20="","",IF(Cadets!$I20&lt;&gt;"Active","",Cadets!$F20))</f>
        <v/>
      </c>
      <c r="D38" s="27">
        <f>IF(C38="","",Cadets!$B20)</f>
        <v/>
      </c>
      <c r="E38" s="27">
        <f>IF(C38="","",Cadets!$H20)</f>
        <v/>
      </c>
      <c r="F38" s="32" t="n"/>
      <c r="G38" s="32" t="n"/>
      <c r="H38" s="32" t="n"/>
    </row>
    <row r="39" ht="20" customHeight="1">
      <c r="B39" s="28">
        <f>IF(C39="","",COUNTIF($C$24:C39,"?*"))</f>
        <v/>
      </c>
      <c r="C39" s="27">
        <f>IF(Cadets!$B21="","",IF(Cadets!$I21&lt;&gt;"Active","",Cadets!$F21))</f>
        <v/>
      </c>
      <c r="D39" s="27">
        <f>IF(C39="","",Cadets!$B21)</f>
        <v/>
      </c>
      <c r="E39" s="27">
        <f>IF(C39="","",Cadets!$H21)</f>
        <v/>
      </c>
      <c r="F39" s="32" t="n"/>
      <c r="G39" s="32" t="n"/>
      <c r="H39" s="32" t="n"/>
    </row>
    <row r="40" ht="20" customHeight="1">
      <c r="B40" s="28">
        <f>IF(C40="","",COUNTIF($C$24:C40,"?*"))</f>
        <v/>
      </c>
      <c r="C40" s="27">
        <f>IF(Cadets!$B22="","",IF(Cadets!$I22&lt;&gt;"Active","",Cadets!$F22))</f>
        <v/>
      </c>
      <c r="D40" s="27">
        <f>IF(C40="","",Cadets!$B22)</f>
        <v/>
      </c>
      <c r="E40" s="27">
        <f>IF(C40="","",Cadets!$H22)</f>
        <v/>
      </c>
      <c r="F40" s="32" t="n"/>
      <c r="G40" s="32" t="n"/>
      <c r="H40" s="32" t="n"/>
    </row>
    <row r="41" ht="20" customHeight="1">
      <c r="B41" s="28">
        <f>IF(C41="","",COUNTIF($C$24:C41,"?*"))</f>
        <v/>
      </c>
      <c r="C41" s="27">
        <f>IF(Cadets!$B23="","",IF(Cadets!$I23&lt;&gt;"Active","",Cadets!$F23))</f>
        <v/>
      </c>
      <c r="D41" s="27">
        <f>IF(C41="","",Cadets!$B23)</f>
        <v/>
      </c>
      <c r="E41" s="27">
        <f>IF(C41="","",Cadets!$H23)</f>
        <v/>
      </c>
      <c r="F41" s="32" t="n"/>
      <c r="G41" s="32" t="n"/>
      <c r="H41" s="32" t="n"/>
    </row>
    <row r="42" ht="20" customHeight="1">
      <c r="B42" s="28">
        <f>IF(C42="","",COUNTIF($C$24:C42,"?*"))</f>
        <v/>
      </c>
      <c r="C42" s="27">
        <f>IF(Cadets!$B24="","",IF(Cadets!$I24&lt;&gt;"Active","",Cadets!$F24))</f>
        <v/>
      </c>
      <c r="D42" s="27">
        <f>IF(C42="","",Cadets!$B24)</f>
        <v/>
      </c>
      <c r="E42" s="27">
        <f>IF(C42="","",Cadets!$H24)</f>
        <v/>
      </c>
      <c r="F42" s="32" t="n"/>
      <c r="G42" s="32" t="n"/>
      <c r="H42" s="32" t="n"/>
    </row>
    <row r="43" ht="20" customHeight="1">
      <c r="B43" s="28">
        <f>IF(C43="","",COUNTIF($C$24:C43,"?*"))</f>
        <v/>
      </c>
      <c r="C43" s="27">
        <f>IF(Cadets!$B25="","",IF(Cadets!$I25&lt;&gt;"Active","",Cadets!$F25))</f>
        <v/>
      </c>
      <c r="D43" s="27">
        <f>IF(C43="","",Cadets!$B25)</f>
        <v/>
      </c>
      <c r="E43" s="27">
        <f>IF(C43="","",Cadets!$H25)</f>
        <v/>
      </c>
      <c r="F43" s="32" t="n"/>
      <c r="G43" s="32" t="n"/>
      <c r="H43" s="32" t="n"/>
    </row>
    <row r="44" ht="20" customHeight="1">
      <c r="B44" s="28">
        <f>IF(C44="","",COUNTIF($C$24:C44,"?*"))</f>
        <v/>
      </c>
      <c r="C44" s="27">
        <f>IF(Cadets!$B26="","",IF(Cadets!$I26&lt;&gt;"Active","",Cadets!$F26))</f>
        <v/>
      </c>
      <c r="D44" s="27">
        <f>IF(C44="","",Cadets!$B26)</f>
        <v/>
      </c>
      <c r="E44" s="27">
        <f>IF(C44="","",Cadets!$H26)</f>
        <v/>
      </c>
      <c r="F44" s="32" t="n"/>
      <c r="G44" s="32" t="n"/>
      <c r="H44" s="32" t="n"/>
    </row>
    <row r="45" ht="20" customHeight="1">
      <c r="B45" s="28">
        <f>IF(C45="","",COUNTIF($C$24:C45,"?*"))</f>
        <v/>
      </c>
      <c r="C45" s="27">
        <f>IF(Cadets!$B27="","",IF(Cadets!$I27&lt;&gt;"Active","",Cadets!$F27))</f>
        <v/>
      </c>
      <c r="D45" s="27">
        <f>IF(C45="","",Cadets!$B27)</f>
        <v/>
      </c>
      <c r="E45" s="27">
        <f>IF(C45="","",Cadets!$H27)</f>
        <v/>
      </c>
      <c r="F45" s="32" t="n"/>
      <c r="G45" s="32" t="n"/>
      <c r="H45" s="32" t="n"/>
    </row>
    <row r="46" ht="20" customHeight="1">
      <c r="B46" s="28">
        <f>IF(C46="","",COUNTIF($C$24:C46,"?*"))</f>
        <v/>
      </c>
      <c r="C46" s="27">
        <f>IF(Cadets!$B28="","",IF(Cadets!$I28&lt;&gt;"Active","",Cadets!$F28))</f>
        <v/>
      </c>
      <c r="D46" s="27">
        <f>IF(C46="","",Cadets!$B28)</f>
        <v/>
      </c>
      <c r="E46" s="27">
        <f>IF(C46="","",Cadets!$H28)</f>
        <v/>
      </c>
      <c r="F46" s="32" t="n"/>
      <c r="G46" s="32" t="n"/>
      <c r="H46" s="32" t="n"/>
    </row>
    <row r="47" ht="20" customHeight="1">
      <c r="B47" s="28">
        <f>IF(C47="","",COUNTIF($C$24:C47,"?*"))</f>
        <v/>
      </c>
      <c r="C47" s="27">
        <f>IF(Cadets!$B29="","",IF(Cadets!$I29&lt;&gt;"Active","",Cadets!$F29))</f>
        <v/>
      </c>
      <c r="D47" s="27">
        <f>IF(C47="","",Cadets!$B29)</f>
        <v/>
      </c>
      <c r="E47" s="27">
        <f>IF(C47="","",Cadets!$H29)</f>
        <v/>
      </c>
      <c r="F47" s="32" t="n"/>
      <c r="G47" s="32" t="n"/>
      <c r="H47" s="32" t="n"/>
    </row>
    <row r="48" ht="20" customHeight="1">
      <c r="B48" s="28">
        <f>IF(C48="","",COUNTIF($C$24:C48,"?*"))</f>
        <v/>
      </c>
      <c r="C48" s="27">
        <f>IF(Cadets!$B30="","",IF(Cadets!$I30&lt;&gt;"Active","",Cadets!$F30))</f>
        <v/>
      </c>
      <c r="D48" s="27">
        <f>IF(C48="","",Cadets!$B30)</f>
        <v/>
      </c>
      <c r="E48" s="27">
        <f>IF(C48="","",Cadets!$H30)</f>
        <v/>
      </c>
      <c r="F48" s="32" t="n"/>
      <c r="G48" s="32" t="n"/>
      <c r="H48" s="32" t="n"/>
    </row>
    <row r="49" ht="20" customHeight="1">
      <c r="B49" s="28">
        <f>IF(C49="","",COUNTIF($C$24:C49,"?*"))</f>
        <v/>
      </c>
      <c r="C49" s="27">
        <f>IF(Cadets!$B31="","",IF(Cadets!$I31&lt;&gt;"Active","",Cadets!$F31))</f>
        <v/>
      </c>
      <c r="D49" s="27">
        <f>IF(C49="","",Cadets!$B31)</f>
        <v/>
      </c>
      <c r="E49" s="27">
        <f>IF(C49="","",Cadets!$H31)</f>
        <v/>
      </c>
      <c r="F49" s="32" t="n"/>
      <c r="G49" s="32" t="n"/>
      <c r="H49" s="32" t="n"/>
    </row>
    <row r="50" ht="20" customHeight="1">
      <c r="B50" s="28">
        <f>IF(C50="","",COUNTIF($C$24:C50,"?*"))</f>
        <v/>
      </c>
      <c r="C50" s="27">
        <f>IF(Cadets!$B32="","",IF(Cadets!$I32&lt;&gt;"Active","",Cadets!$F32))</f>
        <v/>
      </c>
      <c r="D50" s="27">
        <f>IF(C50="","",Cadets!$B32)</f>
        <v/>
      </c>
      <c r="E50" s="27">
        <f>IF(C50="","",Cadets!$H32)</f>
        <v/>
      </c>
      <c r="F50" s="32" t="n"/>
      <c r="G50" s="32" t="n"/>
      <c r="H50" s="32" t="n"/>
    </row>
    <row r="51" ht="20" customHeight="1">
      <c r="B51" s="28">
        <f>IF(C51="","",COUNTIF($C$24:C51,"?*"))</f>
        <v/>
      </c>
      <c r="C51" s="27">
        <f>IF(Cadets!$B33="","",IF(Cadets!$I33&lt;&gt;"Active","",Cadets!$F33))</f>
        <v/>
      </c>
      <c r="D51" s="27">
        <f>IF(C51="","",Cadets!$B33)</f>
        <v/>
      </c>
      <c r="E51" s="27">
        <f>IF(C51="","",Cadets!$H33)</f>
        <v/>
      </c>
      <c r="F51" s="32" t="n"/>
      <c r="G51" s="32" t="n"/>
      <c r="H51" s="32" t="n"/>
    </row>
    <row r="52" ht="20" customHeight="1">
      <c r="B52" s="28">
        <f>IF(C52="","",COUNTIF($C$24:C52,"?*"))</f>
        <v/>
      </c>
      <c r="C52" s="27">
        <f>IF(Cadets!$B34="","",IF(Cadets!$I34&lt;&gt;"Active","",Cadets!$F34))</f>
        <v/>
      </c>
      <c r="D52" s="27">
        <f>IF(C52="","",Cadets!$B34)</f>
        <v/>
      </c>
      <c r="E52" s="27">
        <f>IF(C52="","",Cadets!$H34)</f>
        <v/>
      </c>
      <c r="F52" s="32" t="n"/>
      <c r="G52" s="32" t="n"/>
      <c r="H52" s="32" t="n"/>
    </row>
    <row r="53" ht="20" customHeight="1">
      <c r="B53" s="28">
        <f>IF(C53="","",COUNTIF($C$24:C53,"?*"))</f>
        <v/>
      </c>
      <c r="C53" s="27">
        <f>IF(Cadets!$B35="","",IF(Cadets!$I35&lt;&gt;"Active","",Cadets!$F35))</f>
        <v/>
      </c>
      <c r="D53" s="27">
        <f>IF(C53="","",Cadets!$B35)</f>
        <v/>
      </c>
      <c r="E53" s="27">
        <f>IF(C53="","",Cadets!$H35)</f>
        <v/>
      </c>
      <c r="F53" s="32" t="n"/>
      <c r="G53" s="32" t="n"/>
      <c r="H53" s="32" t="n"/>
    </row>
    <row r="54" ht="20" customHeight="1">
      <c r="B54" s="28">
        <f>IF(C54="","",COUNTIF($C$24:C54,"?*"))</f>
        <v/>
      </c>
      <c r="C54" s="27">
        <f>IF(Cadets!$B36="","",IF(Cadets!$I36&lt;&gt;"Active","",Cadets!$F36))</f>
        <v/>
      </c>
      <c r="D54" s="27">
        <f>IF(C54="","",Cadets!$B36)</f>
        <v/>
      </c>
      <c r="E54" s="27">
        <f>IF(C54="","",Cadets!$H36)</f>
        <v/>
      </c>
      <c r="F54" s="32" t="n"/>
      <c r="G54" s="32" t="n"/>
      <c r="H54" s="32" t="n"/>
    </row>
    <row r="55" ht="20" customHeight="1">
      <c r="B55" s="28">
        <f>IF(C55="","",COUNTIF($C$24:C55,"?*"))</f>
        <v/>
      </c>
      <c r="C55" s="27">
        <f>IF(Cadets!$B37="","",IF(Cadets!$I37&lt;&gt;"Active","",Cadets!$F37))</f>
        <v/>
      </c>
      <c r="D55" s="27">
        <f>IF(C55="","",Cadets!$B37)</f>
        <v/>
      </c>
      <c r="E55" s="27">
        <f>IF(C55="","",Cadets!$H37)</f>
        <v/>
      </c>
      <c r="F55" s="32" t="n"/>
      <c r="G55" s="32" t="n"/>
      <c r="H55" s="32" t="n"/>
    </row>
    <row r="56" ht="20" customHeight="1">
      <c r="B56" s="28">
        <f>IF(C56="","",COUNTIF($C$24:C56,"?*"))</f>
        <v/>
      </c>
      <c r="C56" s="27">
        <f>IF(Cadets!$B38="","",IF(Cadets!$I38&lt;&gt;"Active","",Cadets!$F38))</f>
        <v/>
      </c>
      <c r="D56" s="27">
        <f>IF(C56="","",Cadets!$B38)</f>
        <v/>
      </c>
      <c r="E56" s="27">
        <f>IF(C56="","",Cadets!$H38)</f>
        <v/>
      </c>
      <c r="F56" s="32" t="n"/>
      <c r="G56" s="32" t="n"/>
      <c r="H56" s="32" t="n"/>
    </row>
    <row r="57" ht="20" customHeight="1">
      <c r="B57" s="28">
        <f>IF(C57="","",COUNTIF($C$24:C57,"?*"))</f>
        <v/>
      </c>
      <c r="C57" s="27">
        <f>IF(Cadets!$B39="","",IF(Cadets!$I39&lt;&gt;"Active","",Cadets!$F39))</f>
        <v/>
      </c>
      <c r="D57" s="27">
        <f>IF(C57="","",Cadets!$B39)</f>
        <v/>
      </c>
      <c r="E57" s="27">
        <f>IF(C57="","",Cadets!$H39)</f>
        <v/>
      </c>
      <c r="F57" s="32" t="n"/>
      <c r="G57" s="32" t="n"/>
      <c r="H57" s="32" t="n"/>
    </row>
    <row r="58" ht="20" customHeight="1">
      <c r="B58" s="28">
        <f>IF(C58="","",COUNTIF($C$24:C58,"?*"))</f>
        <v/>
      </c>
      <c r="C58" s="27">
        <f>IF(Cadets!$B40="","",IF(Cadets!$I40&lt;&gt;"Active","",Cadets!$F40))</f>
        <v/>
      </c>
      <c r="D58" s="27">
        <f>IF(C58="","",Cadets!$B40)</f>
        <v/>
      </c>
      <c r="E58" s="27">
        <f>IF(C58="","",Cadets!$H40)</f>
        <v/>
      </c>
      <c r="F58" s="32" t="n"/>
      <c r="G58" s="32" t="n"/>
      <c r="H58" s="32" t="n"/>
    </row>
    <row r="59" ht="20" customHeight="1">
      <c r="B59" s="28">
        <f>IF(C59="","",COUNTIF($C$24:C59,"?*"))</f>
        <v/>
      </c>
      <c r="C59" s="27">
        <f>IF(Cadets!$B41="","",IF(Cadets!$I41&lt;&gt;"Active","",Cadets!$F41))</f>
        <v/>
      </c>
      <c r="D59" s="27">
        <f>IF(C59="","",Cadets!$B41)</f>
        <v/>
      </c>
      <c r="E59" s="27">
        <f>IF(C59="","",Cadets!$H41)</f>
        <v/>
      </c>
      <c r="F59" s="32" t="n"/>
      <c r="G59" s="32" t="n"/>
      <c r="H59" s="32" t="n"/>
    </row>
    <row r="60" ht="20" customHeight="1">
      <c r="B60" s="28">
        <f>IF(C60="","",COUNTIF($C$24:C60,"?*"))</f>
        <v/>
      </c>
      <c r="C60" s="27">
        <f>IF(Cadets!$B42="","",IF(Cadets!$I42&lt;&gt;"Active","",Cadets!$F42))</f>
        <v/>
      </c>
      <c r="D60" s="27">
        <f>IF(C60="","",Cadets!$B42)</f>
        <v/>
      </c>
      <c r="E60" s="27">
        <f>IF(C60="","",Cadets!$H42)</f>
        <v/>
      </c>
      <c r="F60" s="32" t="n"/>
      <c r="G60" s="32" t="n"/>
      <c r="H60" s="32" t="n"/>
    </row>
    <row r="61" ht="20" customHeight="1">
      <c r="B61" s="28">
        <f>IF(C61="","",COUNTIF($C$24:C61,"?*"))</f>
        <v/>
      </c>
      <c r="C61" s="27">
        <f>IF(Cadets!$B43="","",IF(Cadets!$I43&lt;&gt;"Active","",Cadets!$F43))</f>
        <v/>
      </c>
      <c r="D61" s="27">
        <f>IF(C61="","",Cadets!$B43)</f>
        <v/>
      </c>
      <c r="E61" s="27">
        <f>IF(C61="","",Cadets!$H43)</f>
        <v/>
      </c>
      <c r="F61" s="32" t="n"/>
      <c r="G61" s="32" t="n"/>
      <c r="H61" s="32" t="n"/>
    </row>
    <row r="62" ht="20" customHeight="1">
      <c r="B62" s="28">
        <f>IF(C62="","",COUNTIF($C$24:C62,"?*"))</f>
        <v/>
      </c>
      <c r="C62" s="27">
        <f>IF(Cadets!$B44="","",IF(Cadets!$I44&lt;&gt;"Active","",Cadets!$F44))</f>
        <v/>
      </c>
      <c r="D62" s="27">
        <f>IF(C62="","",Cadets!$B44)</f>
        <v/>
      </c>
      <c r="E62" s="27">
        <f>IF(C62="","",Cadets!$H44)</f>
        <v/>
      </c>
      <c r="F62" s="32" t="n"/>
      <c r="G62" s="32" t="n"/>
      <c r="H62" s="32" t="n"/>
    </row>
    <row r="63" ht="20" customHeight="1">
      <c r="B63" s="28">
        <f>IF(C63="","",COUNTIF($C$24:C63,"?*"))</f>
        <v/>
      </c>
      <c r="C63" s="27">
        <f>IF(Cadets!$B45="","",IF(Cadets!$I45&lt;&gt;"Active","",Cadets!$F45))</f>
        <v/>
      </c>
      <c r="D63" s="27">
        <f>IF(C63="","",Cadets!$B45)</f>
        <v/>
      </c>
      <c r="E63" s="27">
        <f>IF(C63="","",Cadets!$H45)</f>
        <v/>
      </c>
      <c r="F63" s="32" t="n"/>
      <c r="G63" s="32" t="n"/>
      <c r="H63" s="32" t="n"/>
    </row>
    <row r="64" ht="20" customHeight="1">
      <c r="B64" s="28">
        <f>IF(C64="","",COUNTIF($C$24:C64,"?*"))</f>
        <v/>
      </c>
      <c r="C64" s="27">
        <f>IF(Cadets!$B46="","",IF(Cadets!$I46&lt;&gt;"Active","",Cadets!$F46))</f>
        <v/>
      </c>
      <c r="D64" s="27">
        <f>IF(C64="","",Cadets!$B46)</f>
        <v/>
      </c>
      <c r="E64" s="27">
        <f>IF(C64="","",Cadets!$H46)</f>
        <v/>
      </c>
      <c r="F64" s="32" t="n"/>
      <c r="G64" s="32" t="n"/>
      <c r="H64" s="32" t="n"/>
    </row>
    <row r="65" ht="20" customHeight="1">
      <c r="B65" s="28">
        <f>IF(C65="","",COUNTIF($C$24:C65,"?*"))</f>
        <v/>
      </c>
      <c r="C65" s="27">
        <f>IF(Cadets!$B47="","",IF(Cadets!$I47&lt;&gt;"Active","",Cadets!$F47))</f>
        <v/>
      </c>
      <c r="D65" s="27">
        <f>IF(C65="","",Cadets!$B47)</f>
        <v/>
      </c>
      <c r="E65" s="27">
        <f>IF(C65="","",Cadets!$H47)</f>
        <v/>
      </c>
      <c r="F65" s="32" t="n"/>
      <c r="G65" s="32" t="n"/>
      <c r="H65" s="32" t="n"/>
    </row>
    <row r="66" ht="20" customHeight="1">
      <c r="B66" s="28">
        <f>IF(C66="","",COUNTIF($C$24:C66,"?*"))</f>
        <v/>
      </c>
      <c r="C66" s="27">
        <f>IF(Cadets!$B48="","",IF(Cadets!$I48&lt;&gt;"Active","",Cadets!$F48))</f>
        <v/>
      </c>
      <c r="D66" s="27">
        <f>IF(C66="","",Cadets!$B48)</f>
        <v/>
      </c>
      <c r="E66" s="27">
        <f>IF(C66="","",Cadets!$H48)</f>
        <v/>
      </c>
      <c r="F66" s="32" t="n"/>
      <c r="G66" s="32" t="n"/>
      <c r="H66" s="32" t="n"/>
    </row>
    <row r="67" ht="20" customHeight="1">
      <c r="B67" s="28">
        <f>IF(C67="","",COUNTIF($C$24:C67,"?*"))</f>
        <v/>
      </c>
      <c r="C67" s="27">
        <f>IF(Cadets!$B49="","",IF(Cadets!$I49&lt;&gt;"Active","",Cadets!$F49))</f>
        <v/>
      </c>
      <c r="D67" s="27">
        <f>IF(C67="","",Cadets!$B49)</f>
        <v/>
      </c>
      <c r="E67" s="27">
        <f>IF(C67="","",Cadets!$H49)</f>
        <v/>
      </c>
      <c r="F67" s="32" t="n"/>
      <c r="G67" s="32" t="n"/>
      <c r="H67" s="32" t="n"/>
    </row>
    <row r="68" ht="20" customHeight="1">
      <c r="B68" s="28">
        <f>IF(C68="","",COUNTIF($C$24:C68,"?*"))</f>
        <v/>
      </c>
      <c r="C68" s="27">
        <f>IF(Cadets!$B50="","",IF(Cadets!$I50&lt;&gt;"Active","",Cadets!$F50))</f>
        <v/>
      </c>
      <c r="D68" s="27">
        <f>IF(C68="","",Cadets!$B50)</f>
        <v/>
      </c>
      <c r="E68" s="27">
        <f>IF(C68="","",Cadets!$H50)</f>
        <v/>
      </c>
      <c r="F68" s="32" t="n"/>
      <c r="G68" s="32" t="n"/>
      <c r="H68" s="32" t="n"/>
    </row>
    <row r="69" ht="20" customHeight="1">
      <c r="B69" s="28">
        <f>IF(C69="","",COUNTIF($C$24:C69,"?*"))</f>
        <v/>
      </c>
      <c r="C69" s="27">
        <f>IF(Cadets!$B51="","",IF(Cadets!$I51&lt;&gt;"Active","",Cadets!$F51))</f>
        <v/>
      </c>
      <c r="D69" s="27">
        <f>IF(C69="","",Cadets!$B51)</f>
        <v/>
      </c>
      <c r="E69" s="27">
        <f>IF(C69="","",Cadets!$H51)</f>
        <v/>
      </c>
      <c r="F69" s="32" t="n"/>
      <c r="G69" s="32" t="n"/>
      <c r="H69" s="32" t="n"/>
    </row>
    <row r="70" ht="20" customHeight="1">
      <c r="B70" s="28">
        <f>IF(C70="","",COUNTIF($C$24:C70,"?*"))</f>
        <v/>
      </c>
      <c r="C70" s="27">
        <f>IF(Cadets!$B52="","",IF(Cadets!$I52&lt;&gt;"Active","",Cadets!$F52))</f>
        <v/>
      </c>
      <c r="D70" s="27">
        <f>IF(C70="","",Cadets!$B52)</f>
        <v/>
      </c>
      <c r="E70" s="27">
        <f>IF(C70="","",Cadets!$H52)</f>
        <v/>
      </c>
      <c r="F70" s="32" t="n"/>
      <c r="G70" s="32" t="n"/>
      <c r="H70" s="32" t="n"/>
    </row>
    <row r="71" ht="20" customHeight="1">
      <c r="B71" s="28">
        <f>IF(C71="","",COUNTIF($C$24:C71,"?*"))</f>
        <v/>
      </c>
      <c r="C71" s="27">
        <f>IF(Cadets!$B53="","",IF(Cadets!$I53&lt;&gt;"Active","",Cadets!$F53))</f>
        <v/>
      </c>
      <c r="D71" s="27">
        <f>IF(C71="","",Cadets!$B53)</f>
        <v/>
      </c>
      <c r="E71" s="27">
        <f>IF(C71="","",Cadets!$H53)</f>
        <v/>
      </c>
      <c r="F71" s="32" t="n"/>
      <c r="G71" s="32" t="n"/>
      <c r="H71" s="32" t="n"/>
    </row>
    <row r="72" ht="20" customHeight="1">
      <c r="B72" s="28">
        <f>IF(C72="","",COUNTIF($C$24:C72,"?*"))</f>
        <v/>
      </c>
      <c r="C72" s="27">
        <f>IF(Cadets!$B54="","",IF(Cadets!$I54&lt;&gt;"Active","",Cadets!$F54))</f>
        <v/>
      </c>
      <c r="D72" s="27">
        <f>IF(C72="","",Cadets!$B54)</f>
        <v/>
      </c>
      <c r="E72" s="27">
        <f>IF(C72="","",Cadets!$H54)</f>
        <v/>
      </c>
      <c r="F72" s="32" t="n"/>
      <c r="G72" s="32" t="n"/>
      <c r="H72" s="32" t="n"/>
    </row>
    <row r="73" ht="20" customHeight="1">
      <c r="B73" s="28">
        <f>IF(C73="","",COUNTIF($C$24:C73,"?*"))</f>
        <v/>
      </c>
      <c r="C73" s="27">
        <f>IF(Cadets!$B55="","",IF(Cadets!$I55&lt;&gt;"Active","",Cadets!$F55))</f>
        <v/>
      </c>
      <c r="D73" s="27">
        <f>IF(C73="","",Cadets!$B55)</f>
        <v/>
      </c>
      <c r="E73" s="27">
        <f>IF(C73="","",Cadets!$H55)</f>
        <v/>
      </c>
      <c r="F73" s="32" t="n"/>
      <c r="G73" s="32" t="n"/>
      <c r="H73" s="32"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30"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7" t="n">
        <v>1</v>
      </c>
      <c r="C17" s="33" t="inlineStr">
        <is>
          <t>Were the goals and objectives for the course provided at the beginning of the class?</t>
        </is>
      </c>
      <c r="D17" s="32" t="n"/>
      <c r="E17" s="32" t="n"/>
      <c r="F17" s="32" t="n"/>
      <c r="G17" s="32" t="n"/>
      <c r="H17" s="32" t="n"/>
    </row>
    <row r="18" ht="26" customHeight="1">
      <c r="B18" s="27" t="n">
        <v>2</v>
      </c>
      <c r="C18" s="33" t="inlineStr">
        <is>
          <t>Was the material presented in a logical order?</t>
        </is>
      </c>
      <c r="D18" s="32" t="n"/>
      <c r="E18" s="32" t="n"/>
      <c r="F18" s="32" t="n"/>
      <c r="G18" s="32" t="n"/>
      <c r="H18" s="32" t="n"/>
    </row>
    <row r="19" ht="26" customHeight="1">
      <c r="B19" s="27" t="n">
        <v>3</v>
      </c>
      <c r="C19" s="33" t="inlineStr">
        <is>
          <t>Was the course related to your job needs?</t>
        </is>
      </c>
      <c r="D19" s="32" t="n"/>
      <c r="E19" s="32" t="n"/>
      <c r="F19" s="32" t="n"/>
      <c r="G19" s="32" t="n"/>
      <c r="H19" s="32" t="n"/>
    </row>
    <row r="20" ht="26" customHeight="1">
      <c r="B20" s="27" t="n">
        <v>4</v>
      </c>
      <c r="C20" s="33" t="inlineStr">
        <is>
          <t>Were real-life examples or situations used to relate the material?</t>
        </is>
      </c>
      <c r="D20" s="32" t="n"/>
      <c r="E20" s="32" t="n"/>
      <c r="F20" s="32" t="n"/>
      <c r="G20" s="32" t="n"/>
      <c r="H20" s="32" t="n"/>
    </row>
    <row r="21" ht="26" customHeight="1">
      <c r="B21" s="27" t="n">
        <v>5</v>
      </c>
      <c r="C21" s="33" t="inlineStr">
        <is>
          <t>Will this course improve your job performance?</t>
        </is>
      </c>
      <c r="D21" s="32" t="n"/>
      <c r="E21" s="32" t="n"/>
      <c r="F21" s="32" t="n"/>
      <c r="G21" s="32" t="n"/>
      <c r="H21" s="32" t="n"/>
    </row>
    <row r="22" ht="26" customHeight="1">
      <c r="B22" s="27" t="n">
        <v>6</v>
      </c>
      <c r="C22" s="33" t="inlineStr">
        <is>
          <t>Were the teaching aids, demonstrations, and handout materials of adequate quality?</t>
        </is>
      </c>
      <c r="D22" s="32" t="n"/>
      <c r="E22" s="32" t="n"/>
      <c r="F22" s="32" t="n"/>
      <c r="G22" s="32" t="n"/>
      <c r="H22" s="32" t="n"/>
    </row>
    <row r="23" ht="26" customHeight="1">
      <c r="B23" s="27" t="n">
        <v>7</v>
      </c>
      <c r="C23" s="33" t="inlineStr">
        <is>
          <t>Was the instructor knowledgeable about the course material?</t>
        </is>
      </c>
      <c r="D23" s="32" t="n"/>
      <c r="E23" s="32" t="n"/>
      <c r="F23" s="32" t="n"/>
      <c r="G23" s="32" t="n"/>
      <c r="H23" s="32" t="n"/>
    </row>
    <row r="24" ht="26" customHeight="1">
      <c r="B24" s="27" t="n">
        <v>8</v>
      </c>
      <c r="C24" s="33" t="inlineStr">
        <is>
          <t>Did the instructor present the information in a clear and understandable way?</t>
        </is>
      </c>
      <c r="D24" s="32" t="n"/>
      <c r="E24" s="32" t="n"/>
      <c r="F24" s="32" t="n"/>
      <c r="G24" s="32" t="n"/>
      <c r="H24" s="32" t="n"/>
    </row>
    <row r="25" ht="26" customHeight="1">
      <c r="B25" s="27" t="n">
        <v>9</v>
      </c>
      <c r="C25" s="33" t="inlineStr">
        <is>
          <t>Did the instructor give you an opportunity to interact with the class or ask questions?</t>
        </is>
      </c>
      <c r="D25" s="32" t="n"/>
      <c r="E25" s="32" t="n"/>
      <c r="F25" s="32" t="n"/>
      <c r="G25" s="32" t="n"/>
      <c r="H25" s="32" t="n"/>
    </row>
    <row r="26" ht="26" customHeight="1">
      <c r="B26" s="27" t="n">
        <v>10</v>
      </c>
      <c r="C26" s="33" t="inlineStr">
        <is>
          <t>Did you get satisfactory answers to your questions about the material?</t>
        </is>
      </c>
      <c r="D26" s="32" t="n"/>
      <c r="E26" s="32" t="n"/>
      <c r="F26" s="32" t="n"/>
      <c r="G26" s="32" t="n"/>
      <c r="H26" s="32" t="n"/>
    </row>
    <row r="27" ht="26" customHeight="1">
      <c r="B27" s="27" t="n">
        <v>11</v>
      </c>
      <c r="C27" s="33" t="inlineStr">
        <is>
          <t>Would you recommend this course to others?</t>
        </is>
      </c>
      <c r="D27" s="32" t="n"/>
      <c r="E27" s="32" t="n"/>
      <c r="F27" s="32" t="n"/>
      <c r="G27" s="32" t="n"/>
      <c r="H27" s="32" t="n"/>
    </row>
    <row r="28"/>
    <row r="29">
      <c r="B29" s="3" t="inlineStr">
        <is>
          <t>ADDITIONAL COMMENTS</t>
        </is>
      </c>
    </row>
    <row r="30" ht="20" customHeight="1">
      <c r="B30" s="34" t="n"/>
    </row>
    <row r="31" ht="20" customHeight="1">
      <c r="B31" s="34" t="n"/>
    </row>
    <row r="32" ht="20" customHeight="1">
      <c r="B32" s="34" t="n"/>
    </row>
    <row r="33" ht="20" customHeight="1">
      <c r="B33" s="34" t="n"/>
    </row>
    <row r="34" ht="20" customHeight="1">
      <c r="B34" s="34" t="n"/>
    </row>
    <row r="35" ht="20" customHeight="1">
      <c r="B35" s="34"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5" t="n">
        <v>1</v>
      </c>
      <c r="D5" s="3" t="inlineStr">
        <is>
          <t>Mode:</t>
        </is>
      </c>
      <c r="E5" s="25" t="inlineStr">
        <is>
          <t>Test</t>
        </is>
      </c>
    </row>
    <row r="6"/>
    <row r="7">
      <c r="B7" s="1" t="inlineStr">
        <is>
          <t>TYLER POLICE DEPARTMENT ACADEMY</t>
        </is>
      </c>
    </row>
    <row r="8">
      <c r="B8" s="3">
        <f>"Spelling Test #"&amp;cfgSpellPrintNum&amp;IF(cfgSpellPrintMode="Key"," — KEY","")</f>
        <v/>
      </c>
    </row>
    <row r="9"/>
    <row r="10">
      <c r="B10" s="14" t="inlineStr">
        <is>
          <t>Name: ______________________    Date: ____________    Score: ________</t>
        </is>
      </c>
    </row>
    <row r="11"/>
    <row r="12" ht="24" customHeight="1">
      <c r="B12" s="14" t="inlineStr">
        <is>
          <t>1.</t>
        </is>
      </c>
      <c r="C12" s="14">
        <f>IF(cfgSpellPrintMode="Key",INDEX(nrSpellWords,1,cfgSpellPrintNum),"_______________________")</f>
        <v/>
      </c>
      <c r="E12" s="14" t="inlineStr">
        <is>
          <t>14.</t>
        </is>
      </c>
      <c r="F12" s="14">
        <f>IF(cfgSpellPrintMode="Key",INDEX(nrSpellWords,14,cfgSpellPrintNum),"_______________________")</f>
        <v/>
      </c>
    </row>
    <row r="13" ht="24" customHeight="1">
      <c r="B13" s="14" t="inlineStr">
        <is>
          <t>2.</t>
        </is>
      </c>
      <c r="C13" s="14">
        <f>IF(cfgSpellPrintMode="Key",INDEX(nrSpellWords,2,cfgSpellPrintNum),"_______________________")</f>
        <v/>
      </c>
      <c r="E13" s="14" t="inlineStr">
        <is>
          <t>15.</t>
        </is>
      </c>
      <c r="F13" s="14">
        <f>IF(cfgSpellPrintMode="Key",INDEX(nrSpellWords,15,cfgSpellPrintNum),"_______________________")</f>
        <v/>
      </c>
    </row>
    <row r="14" ht="24" customHeight="1">
      <c r="B14" s="14" t="inlineStr">
        <is>
          <t>3.</t>
        </is>
      </c>
      <c r="C14" s="14">
        <f>IF(cfgSpellPrintMode="Key",INDEX(nrSpellWords,3,cfgSpellPrintNum),"_______________________")</f>
        <v/>
      </c>
      <c r="E14" s="14" t="inlineStr">
        <is>
          <t>16.</t>
        </is>
      </c>
      <c r="F14" s="14">
        <f>IF(cfgSpellPrintMode="Key",INDEX(nrSpellWords,16,cfgSpellPrintNum),"_______________________")</f>
        <v/>
      </c>
    </row>
    <row r="15" ht="24" customHeight="1">
      <c r="B15" s="14" t="inlineStr">
        <is>
          <t>4.</t>
        </is>
      </c>
      <c r="C15" s="14">
        <f>IF(cfgSpellPrintMode="Key",INDEX(nrSpellWords,4,cfgSpellPrintNum),"_______________________")</f>
        <v/>
      </c>
      <c r="E15" s="14" t="inlineStr">
        <is>
          <t>17.</t>
        </is>
      </c>
      <c r="F15" s="14">
        <f>IF(cfgSpellPrintMode="Key",INDEX(nrSpellWords,17,cfgSpellPrintNum),"_______________________")</f>
        <v/>
      </c>
    </row>
    <row r="16" ht="24" customHeight="1">
      <c r="B16" s="14" t="inlineStr">
        <is>
          <t>5.</t>
        </is>
      </c>
      <c r="C16" s="14">
        <f>IF(cfgSpellPrintMode="Key",INDEX(nrSpellWords,5,cfgSpellPrintNum),"_______________________")</f>
        <v/>
      </c>
      <c r="E16" s="14" t="inlineStr">
        <is>
          <t>18.</t>
        </is>
      </c>
      <c r="F16" s="14">
        <f>IF(cfgSpellPrintMode="Key",INDEX(nrSpellWords,18,cfgSpellPrintNum),"_______________________")</f>
        <v/>
      </c>
    </row>
    <row r="17" ht="24" customHeight="1">
      <c r="B17" s="14" t="inlineStr">
        <is>
          <t>6.</t>
        </is>
      </c>
      <c r="C17" s="14">
        <f>IF(cfgSpellPrintMode="Key",INDEX(nrSpellWords,6,cfgSpellPrintNum),"_______________________")</f>
        <v/>
      </c>
      <c r="E17" s="14" t="inlineStr">
        <is>
          <t>19.</t>
        </is>
      </c>
      <c r="F17" s="14">
        <f>IF(cfgSpellPrintMode="Key",INDEX(nrSpellWords,19,cfgSpellPrintNum),"_______________________")</f>
        <v/>
      </c>
    </row>
    <row r="18" ht="24" customHeight="1">
      <c r="B18" s="14" t="inlineStr">
        <is>
          <t>7.</t>
        </is>
      </c>
      <c r="C18" s="14">
        <f>IF(cfgSpellPrintMode="Key",INDEX(nrSpellWords,7,cfgSpellPrintNum),"_______________________")</f>
        <v/>
      </c>
      <c r="E18" s="14" t="inlineStr">
        <is>
          <t>20.</t>
        </is>
      </c>
      <c r="F18" s="14">
        <f>IF(cfgSpellPrintMode="Key",INDEX(nrSpellWords,20,cfgSpellPrintNum),"_______________________")</f>
        <v/>
      </c>
    </row>
    <row r="19" ht="24" customHeight="1">
      <c r="B19" s="14" t="inlineStr">
        <is>
          <t>8.</t>
        </is>
      </c>
      <c r="C19" s="14">
        <f>IF(cfgSpellPrintMode="Key",INDEX(nrSpellWords,8,cfgSpellPrintNum),"_______________________")</f>
        <v/>
      </c>
      <c r="E19" s="14" t="inlineStr">
        <is>
          <t>21.</t>
        </is>
      </c>
      <c r="F19" s="14">
        <f>IF(cfgSpellPrintMode="Key",INDEX(nrSpellWords,21,cfgSpellPrintNum),"_______________________")</f>
        <v/>
      </c>
    </row>
    <row r="20" ht="24" customHeight="1">
      <c r="B20" s="14" t="inlineStr">
        <is>
          <t>9.</t>
        </is>
      </c>
      <c r="C20" s="14">
        <f>IF(cfgSpellPrintMode="Key",INDEX(nrSpellWords,9,cfgSpellPrintNum),"_______________________")</f>
        <v/>
      </c>
      <c r="E20" s="14" t="inlineStr">
        <is>
          <t>22.</t>
        </is>
      </c>
      <c r="F20" s="14">
        <f>IF(cfgSpellPrintMode="Key",INDEX(nrSpellWords,22,cfgSpellPrintNum),"_______________________")</f>
        <v/>
      </c>
    </row>
    <row r="21" ht="24" customHeight="1">
      <c r="B21" s="14" t="inlineStr">
        <is>
          <t>10.</t>
        </is>
      </c>
      <c r="C21" s="14">
        <f>IF(cfgSpellPrintMode="Key",INDEX(nrSpellWords,10,cfgSpellPrintNum),"_______________________")</f>
        <v/>
      </c>
      <c r="E21" s="14" t="inlineStr">
        <is>
          <t>23.</t>
        </is>
      </c>
      <c r="F21" s="14">
        <f>IF(cfgSpellPrintMode="Key",INDEX(nrSpellWords,23,cfgSpellPrintNum),"_______________________")</f>
        <v/>
      </c>
    </row>
    <row r="22" ht="24" customHeight="1">
      <c r="B22" s="14" t="inlineStr">
        <is>
          <t>11.</t>
        </is>
      </c>
      <c r="C22" s="14">
        <f>IF(cfgSpellPrintMode="Key",INDEX(nrSpellWords,11,cfgSpellPrintNum),"_______________________")</f>
        <v/>
      </c>
      <c r="E22" s="14" t="inlineStr">
        <is>
          <t>24.</t>
        </is>
      </c>
      <c r="F22" s="14">
        <f>IF(cfgSpellPrintMode="Key",INDEX(nrSpellWords,24,cfgSpellPrintNum),"_______________________")</f>
        <v/>
      </c>
    </row>
    <row r="23" ht="24" customHeight="1">
      <c r="B23" s="14" t="inlineStr">
        <is>
          <t>12.</t>
        </is>
      </c>
      <c r="C23" s="14">
        <f>IF(cfgSpellPrintMode="Key",INDEX(nrSpellWords,12,cfgSpellPrintNum),"_______________________")</f>
        <v/>
      </c>
      <c r="E23" s="14" t="inlineStr">
        <is>
          <t>25.</t>
        </is>
      </c>
      <c r="F23" s="14">
        <f>IF(cfgSpellPrintMode="Key",INDEX(nrSpellWords,25,cfgSpellPrintNum),"_______________________")</f>
        <v/>
      </c>
    </row>
    <row r="24" ht="24" customHeight="1">
      <c r="B24" s="14" t="inlineStr">
        <is>
          <t>13.</t>
        </is>
      </c>
      <c r="C24" s="14">
        <f>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25"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5">
        <f>"Due ("&amp;IFERROR(TEXT(TIMEVALUE(LEFT(TEXT(cfgWritingDueTime,"0000"),2)&amp;":"&amp;RIGHT(TEXT(cfgWritingDueTime,"0000"),2)),"h:mm AM/PM"),cfgWritingDueTime)&amp;")"</f>
        <v/>
      </c>
      <c r="F10" s="12" t="inlineStr">
        <is>
          <t>Prompt</t>
        </is>
      </c>
    </row>
    <row r="11" ht="60" customHeight="1">
      <c r="B11" s="36">
        <f>IFERROR(_xlfn.TAKE(_xlfn._xlws.FILTER(_xlfn.HSTACK(rngWMnum,rngWMtitle,TEXT(rngWMassigned,"mm/dd"),TEXT(rngWMdue,"mm/dd"),rngWMprompt),IFERROR(_xlfn.XLOOKUP(rngWMassigned,nrCDdate,nrCDweek),0)=cfgHandoutWeek),8),"— no assignments start this week —")</f>
        <v/>
      </c>
      <c r="C11" s="36" t="n"/>
      <c r="D11" s="36" t="n"/>
      <c r="E11" s="36" t="n"/>
      <c r="F11" s="36" t="n"/>
      <c r="G11" s="36" t="n"/>
      <c r="H11" s="36" t="n"/>
    </row>
    <row r="12" ht="60" customHeight="1">
      <c r="B12" s="36" t="n"/>
      <c r="C12" s="36" t="n"/>
      <c r="D12" s="36" t="n"/>
      <c r="E12" s="36" t="n"/>
      <c r="F12" s="36" t="n"/>
      <c r="G12" s="36" t="n"/>
      <c r="H12" s="36" t="n"/>
    </row>
    <row r="13" ht="60" customHeight="1">
      <c r="B13" s="36" t="n"/>
      <c r="C13" s="36" t="n"/>
      <c r="D13" s="36" t="n"/>
      <c r="E13" s="36" t="n"/>
      <c r="F13" s="36" t="n"/>
      <c r="G13" s="36" t="n"/>
      <c r="H13" s="36" t="n"/>
    </row>
    <row r="14" ht="60" customHeight="1">
      <c r="B14" s="36" t="n"/>
      <c r="C14" s="36" t="n"/>
      <c r="D14" s="36" t="n"/>
      <c r="E14" s="36" t="n"/>
      <c r="F14" s="36" t="n"/>
      <c r="G14" s="36" t="n"/>
      <c r="H14" s="36" t="n"/>
    </row>
    <row r="15" ht="60" customHeight="1">
      <c r="B15" s="36" t="n"/>
      <c r="C15" s="36" t="n"/>
      <c r="D15" s="36" t="n"/>
      <c r="E15" s="36" t="n"/>
      <c r="F15" s="36" t="n"/>
      <c r="G15" s="36" t="n"/>
      <c r="H15" s="36" t="n"/>
    </row>
    <row r="16" ht="60" customHeight="1">
      <c r="B16" s="36" t="n"/>
      <c r="C16" s="36" t="n"/>
      <c r="D16" s="36" t="n"/>
      <c r="E16" s="36" t="n"/>
      <c r="F16" s="36" t="n"/>
      <c r="G16" s="36" t="n"/>
      <c r="H16" s="36" t="n"/>
    </row>
    <row r="17" ht="60" customHeight="1">
      <c r="B17" s="36" t="n"/>
      <c r="C17" s="36" t="n"/>
      <c r="D17" s="36" t="n"/>
      <c r="E17" s="36" t="n"/>
      <c r="F17" s="36" t="n"/>
      <c r="G17" s="36" t="n"/>
      <c r="H17" s="36" t="n"/>
    </row>
    <row r="18" ht="60" customHeight="1">
      <c r="B18" s="36" t="n"/>
      <c r="C18" s="36" t="n"/>
      <c r="D18" s="36" t="n"/>
      <c r="E18" s="36" t="n"/>
      <c r="F18" s="36" t="n"/>
      <c r="G18" s="36" t="n"/>
      <c r="H18" s="36"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sheetPr>
  <dimension ref="A1:L77"/>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25"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Avg</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IF($B9="","",IF(COUNTIFS(nrES_PID,Cadets!$B6,nrES_Seq,cfgCurrentExamNum,nrES_Final,"Yes",nrES_Rec,"&gt;=0")=0,"",SUMIFS(nrES_Rec,nrES_PID,Cadets!$B6,nrES_Seq,cfgCurrentExamNum,nrES_Final,"Yes")))</f>
        <v/>
      </c>
      <c r="D9" s="20">
        <f>IF($B9="","",IFERROR(ROUND(AVERAGEIFS(nrES_Rec,nrES_Seq,cfgCurrentExamNum,nrES_Final,"Yes"),1),""))</f>
        <v/>
      </c>
      <c r="E9" s="20">
        <f>IF($B9="","",IF(COUNTIFS(nrES_PID,Cadets!$B6,nrES_Seq,cfgCurrentExamNum,nrES_Att,2)&gt;0,"RETEST (cap 70)",""))</f>
        <v/>
      </c>
      <c r="F9" s="20">
        <f>IF($B9="","",IF(cfgCurrentSpellingNum&lt;cfgCurrentExamNum,"(omitted)",Spelling!$P6))</f>
        <v/>
      </c>
      <c r="G9" s="20">
        <f>IF($B9="","",IF(Spelling!$R6="INTERVENTION","BELOW 75 — intervention",""))</f>
        <v/>
      </c>
      <c r="H9" s="20">
        <f>IF($B9="","",sysAttendance!$J6&amp;" / PT "&amp;sysAttendance!$R6)</f>
        <v/>
      </c>
      <c r="I9" s="20">
        <f>IF($B9="","",Writing!$AT6&amp;" ("&amp;Writing!$AS6&amp;" overdue)")</f>
        <v/>
      </c>
      <c r="J9" s="20">
        <f>IF($B9="","",sysFlags!$T6)</f>
        <v/>
      </c>
    </row>
    <row r="10">
      <c r="B10" s="20">
        <f>IF(IF(OR(Cadets!$B7="",Cadets!$I7&lt;&gt;"Active"),FALSE,OR(cfgPreviewAgency=cfgHomeAgency,Cadets!$G7=cfgPreviewAgency)),Cadets!$F7,"")</f>
        <v/>
      </c>
      <c r="C10" s="20">
        <f>IF($B10="","",IF(COUNTIFS(nrES_PID,Cadets!$B7,nrES_Seq,cfgCurrentExamNum,nrES_Final,"Yes",nrES_Rec,"&gt;=0")=0,"",SUMIFS(nrES_Rec,nrES_PID,Cadets!$B7,nrES_Seq,cfgCurrentExamNum,nrES_Final,"Yes")))</f>
        <v/>
      </c>
      <c r="D10" s="20">
        <f>IF($B10="","",IFERROR(ROUND(AVERAGEIFS(nrES_Rec,nrES_Seq,cfgCurrentExamNum,nrES_Final,"Yes"),1),""))</f>
        <v/>
      </c>
      <c r="E10" s="20">
        <f>IF($B10="","",IF(COUNTIFS(nrES_PID,Cadets!$B7,nrES_Seq,cfgCurrentExamNum,nrES_Att,2)&gt;0,"RETEST (cap 70)",""))</f>
        <v/>
      </c>
      <c r="F10" s="20">
        <f>IF($B10="","",IF(cfgCurrentSpellingNum&lt;cfgCurrentExamNum,"(omitted)",Spelling!$P7))</f>
        <v/>
      </c>
      <c r="G10" s="20">
        <f>IF($B10="","",IF(Spelling!$R7="INTERVENTION","BELOW 75 — intervention",""))</f>
        <v/>
      </c>
      <c r="H10" s="20">
        <f>IF($B10="","",sysAttendance!$J7&amp;" / PT "&amp;sysAttendance!$R7)</f>
        <v/>
      </c>
      <c r="I10" s="20">
        <f>IF($B10="","",Writing!$AT7&amp;" ("&amp;Writing!$AS7&amp;" overdue)")</f>
        <v/>
      </c>
      <c r="J10" s="20">
        <f>IF($B10="","",sysFlags!$T7)</f>
        <v/>
      </c>
    </row>
    <row r="11">
      <c r="B11" s="20">
        <f>IF(IF(OR(Cadets!$B8="",Cadets!$I8&lt;&gt;"Active"),FALSE,OR(cfgPreviewAgency=cfgHomeAgency,Cadets!$G8=cfgPreviewAgency)),Cadets!$F8,"")</f>
        <v/>
      </c>
      <c r="C11" s="20">
        <f>IF($B11="","",IF(COUNTIFS(nrES_PID,Cadets!$B8,nrES_Seq,cfgCurrentExamNum,nrES_Final,"Yes",nrES_Rec,"&gt;=0")=0,"",SUMIFS(nrES_Rec,nrES_PID,Cadets!$B8,nrES_Seq,cfgCurrentExamNum,nrES_Final,"Yes")))</f>
        <v/>
      </c>
      <c r="D11" s="20">
        <f>IF($B11="","",IFERROR(ROUND(AVERAGEIFS(nrES_Rec,nrES_Seq,cfgCurrentExamNum,nrES_Final,"Yes"),1),""))</f>
        <v/>
      </c>
      <c r="E11" s="20">
        <f>IF($B11="","",IF(COUNTIFS(nrES_PID,Cadets!$B8,nrES_Seq,cfgCurrentExamNum,nrES_Att,2)&gt;0,"RETEST (cap 70)",""))</f>
        <v/>
      </c>
      <c r="F11" s="20">
        <f>IF($B11="","",IF(cfgCurrentSpellingNum&lt;cfgCurrentExamNum,"(omitted)",Spelling!$P8))</f>
        <v/>
      </c>
      <c r="G11" s="20">
        <f>IF($B11="","",IF(Spelling!$R8="INTERVENTION","BELOW 75 — intervention",""))</f>
        <v/>
      </c>
      <c r="H11" s="20">
        <f>IF($B11="","",sysAttendance!$J8&amp;" / PT "&amp;sysAttendance!$R8)</f>
        <v/>
      </c>
      <c r="I11" s="20">
        <f>IF($B11="","",Writing!$AT8&amp;" ("&amp;Writing!$AS8&amp;" overdue)")</f>
        <v/>
      </c>
      <c r="J11" s="20">
        <f>IF($B11="","",sysFlags!$T8)</f>
        <v/>
      </c>
    </row>
    <row r="12">
      <c r="B12" s="20">
        <f>IF(IF(OR(Cadets!$B9="",Cadets!$I9&lt;&gt;"Active"),FALSE,OR(cfgPreviewAgency=cfgHomeAgency,Cadets!$G9=cfgPreviewAgency)),Cadets!$F9,"")</f>
        <v/>
      </c>
      <c r="C12" s="20">
        <f>IF($B12="","",IF(COUNTIFS(nrES_PID,Cadets!$B9,nrES_Seq,cfgCurrentExamNum,nrES_Final,"Yes",nrES_Rec,"&gt;=0")=0,"",SUMIFS(nrES_Rec,nrES_PID,Cadets!$B9,nrES_Seq,cfgCurrentExamNum,nrES_Final,"Yes")))</f>
        <v/>
      </c>
      <c r="D12" s="20">
        <f>IF($B12="","",IFERROR(ROUND(AVERAGEIFS(nrES_Rec,nrES_Seq,cfgCurrentExamNum,nrES_Final,"Yes"),1),""))</f>
        <v/>
      </c>
      <c r="E12" s="20">
        <f>IF($B12="","",IF(COUNTIFS(nrES_PID,Cadets!$B9,nrES_Seq,cfgCurrentExamNum,nrES_Att,2)&gt;0,"RETEST (cap 70)",""))</f>
        <v/>
      </c>
      <c r="F12" s="20">
        <f>IF($B12="","",IF(cfgCurrentSpellingNum&lt;cfgCurrentExamNum,"(omitted)",Spelling!$P9))</f>
        <v/>
      </c>
      <c r="G12" s="20">
        <f>IF($B12="","",IF(Spelling!$R9="INTERVENTION","BELOW 75 — intervention",""))</f>
        <v/>
      </c>
      <c r="H12" s="20">
        <f>IF($B12="","",sysAttendance!$J9&amp;" / PT "&amp;sysAttendance!$R9)</f>
        <v/>
      </c>
      <c r="I12" s="20">
        <f>IF($B12="","",Writing!$AT9&amp;" ("&amp;Writing!$AS9&amp;" overdue)")</f>
        <v/>
      </c>
      <c r="J12" s="20">
        <f>IF($B12="","",sysFlags!$T9)</f>
        <v/>
      </c>
    </row>
    <row r="13">
      <c r="B13" s="20">
        <f>IF(IF(OR(Cadets!$B10="",Cadets!$I10&lt;&gt;"Active"),FALSE,OR(cfgPreviewAgency=cfgHomeAgency,Cadets!$G10=cfgPreviewAgency)),Cadets!$F10,"")</f>
        <v/>
      </c>
      <c r="C13" s="20">
        <f>IF($B13="","",IF(COUNTIFS(nrES_PID,Cadets!$B10,nrES_Seq,cfgCurrentExamNum,nrES_Final,"Yes",nrES_Rec,"&gt;=0")=0,"",SUMIFS(nrES_Rec,nrES_PID,Cadets!$B10,nrES_Seq,cfgCurrentExamNum,nrES_Final,"Yes")))</f>
        <v/>
      </c>
      <c r="D13" s="20">
        <f>IF($B13="","",IFERROR(ROUND(AVERAGEIFS(nrES_Rec,nrES_Seq,cfgCurrentExamNum,nrES_Final,"Yes"),1),""))</f>
        <v/>
      </c>
      <c r="E13" s="20">
        <f>IF($B13="","",IF(COUNTIFS(nrES_PID,Cadets!$B10,nrES_Seq,cfgCurrentExamNum,nrES_Att,2)&gt;0,"RETEST (cap 70)",""))</f>
        <v/>
      </c>
      <c r="F13" s="20">
        <f>IF($B13="","",IF(cfgCurrentSpellingNum&lt;cfgCurrentExamNum,"(omitted)",Spelling!$P10))</f>
        <v/>
      </c>
      <c r="G13" s="20">
        <f>IF($B13="","",IF(Spelling!$R10="INTERVENTION","BELOW 75 — intervention",""))</f>
        <v/>
      </c>
      <c r="H13" s="20">
        <f>IF($B13="","",sysAttendance!$J10&amp;" / PT "&amp;sysAttendance!$R10)</f>
        <v/>
      </c>
      <c r="I13" s="20">
        <f>IF($B13="","",Writing!$AT10&amp;" ("&amp;Writing!$AS10&amp;" overdue)")</f>
        <v/>
      </c>
      <c r="J13" s="20">
        <f>IF($B13="","",sysFlags!$T10)</f>
        <v/>
      </c>
    </row>
    <row r="14">
      <c r="B14" s="20">
        <f>IF(IF(OR(Cadets!$B11="",Cadets!$I11&lt;&gt;"Active"),FALSE,OR(cfgPreviewAgency=cfgHomeAgency,Cadets!$G11=cfgPreviewAgency)),Cadets!$F11,"")</f>
        <v/>
      </c>
      <c r="C14" s="20">
        <f>IF($B14="","",IF(COUNTIFS(nrES_PID,Cadets!$B11,nrES_Seq,cfgCurrentExamNum,nrES_Final,"Yes",nrES_Rec,"&gt;=0")=0,"",SUMIFS(nrES_Rec,nrES_PID,Cadets!$B11,nrES_Seq,cfgCurrentExamNum,nrES_Final,"Yes")))</f>
        <v/>
      </c>
      <c r="D14" s="20">
        <f>IF($B14="","",IFERROR(ROUND(AVERAGEIFS(nrES_Rec,nrES_Seq,cfgCurrentExamNum,nrES_Final,"Yes"),1),""))</f>
        <v/>
      </c>
      <c r="E14" s="20">
        <f>IF($B14="","",IF(COUNTIFS(nrES_PID,Cadets!$B11,nrES_Seq,cfgCurrentExamNum,nrES_Att,2)&gt;0,"RETEST (cap 70)",""))</f>
        <v/>
      </c>
      <c r="F14" s="20">
        <f>IF($B14="","",IF(cfgCurrentSpellingNum&lt;cfgCurrentExamNum,"(omitted)",Spelling!$P11))</f>
        <v/>
      </c>
      <c r="G14" s="20">
        <f>IF($B14="","",IF(Spelling!$R11="INTERVENTION","BELOW 75 — intervention",""))</f>
        <v/>
      </c>
      <c r="H14" s="20">
        <f>IF($B14="","",sysAttendance!$J11&amp;" / PT "&amp;sysAttendance!$R11)</f>
        <v/>
      </c>
      <c r="I14" s="20">
        <f>IF($B14="","",Writing!$AT11&amp;" ("&amp;Writing!$AS11&amp;" overdue)")</f>
        <v/>
      </c>
      <c r="J14" s="20">
        <f>IF($B14="","",sysFlags!$T11)</f>
        <v/>
      </c>
    </row>
    <row r="15">
      <c r="B15" s="20">
        <f>IF(IF(OR(Cadets!$B12="",Cadets!$I12&lt;&gt;"Active"),FALSE,OR(cfgPreviewAgency=cfgHomeAgency,Cadets!$G12=cfgPreviewAgency)),Cadets!$F12,"")</f>
        <v/>
      </c>
      <c r="C15" s="20">
        <f>IF($B15="","",IF(COUNTIFS(nrES_PID,Cadets!$B12,nrES_Seq,cfgCurrentExamNum,nrES_Final,"Yes",nrES_Rec,"&gt;=0")=0,"",SUMIFS(nrES_Rec,nrES_PID,Cadets!$B12,nrES_Seq,cfgCurrentExamNum,nrES_Final,"Yes")))</f>
        <v/>
      </c>
      <c r="D15" s="20">
        <f>IF($B15="","",IFERROR(ROUND(AVERAGEIFS(nrES_Rec,nrES_Seq,cfgCurrentExamNum,nrES_Final,"Yes"),1),""))</f>
        <v/>
      </c>
      <c r="E15" s="20">
        <f>IF($B15="","",IF(COUNTIFS(nrES_PID,Cadets!$B12,nrES_Seq,cfgCurrentExamNum,nrES_Att,2)&gt;0,"RETEST (cap 70)",""))</f>
        <v/>
      </c>
      <c r="F15" s="20">
        <f>IF($B15="","",IF(cfgCurrentSpellingNum&lt;cfgCurrentExamNum,"(omitted)",Spelling!$P12))</f>
        <v/>
      </c>
      <c r="G15" s="20">
        <f>IF($B15="","",IF(Spelling!$R12="INTERVENTION","BELOW 75 — intervention",""))</f>
        <v/>
      </c>
      <c r="H15" s="20">
        <f>IF($B15="","",sysAttendance!$J12&amp;" / PT "&amp;sysAttendance!$R12)</f>
        <v/>
      </c>
      <c r="I15" s="20">
        <f>IF($B15="","",Writing!$AT12&amp;" ("&amp;Writing!$AS12&amp;" overdue)")</f>
        <v/>
      </c>
      <c r="J15" s="20">
        <f>IF($B15="","",sysFlags!$T12)</f>
        <v/>
      </c>
    </row>
    <row r="16">
      <c r="B16" s="20">
        <f>IF(IF(OR(Cadets!$B13="",Cadets!$I13&lt;&gt;"Active"),FALSE,OR(cfgPreviewAgency=cfgHomeAgency,Cadets!$G13=cfgPreviewAgency)),Cadets!$F13,"")</f>
        <v/>
      </c>
      <c r="C16" s="20">
        <f>IF($B16="","",IF(COUNTIFS(nrES_PID,Cadets!$B13,nrES_Seq,cfgCurrentExamNum,nrES_Final,"Yes",nrES_Rec,"&gt;=0")=0,"",SUMIFS(nrES_Rec,nrES_PID,Cadets!$B13,nrES_Seq,cfgCurrentExamNum,nrES_Final,"Yes")))</f>
        <v/>
      </c>
      <c r="D16" s="20">
        <f>IF($B16="","",IFERROR(ROUND(AVERAGEIFS(nrES_Rec,nrES_Seq,cfgCurrentExamNum,nrES_Final,"Yes"),1),""))</f>
        <v/>
      </c>
      <c r="E16" s="20">
        <f>IF($B16="","",IF(COUNTIFS(nrES_PID,Cadets!$B13,nrES_Seq,cfgCurrentExamNum,nrES_Att,2)&gt;0,"RETEST (cap 70)",""))</f>
        <v/>
      </c>
      <c r="F16" s="20">
        <f>IF($B16="","",IF(cfgCurrentSpellingNum&lt;cfgCurrentExamNum,"(omitted)",Spelling!$P13))</f>
        <v/>
      </c>
      <c r="G16" s="20">
        <f>IF($B16="","",IF(Spelling!$R13="INTERVENTION","BELOW 75 — intervention",""))</f>
        <v/>
      </c>
      <c r="H16" s="20">
        <f>IF($B16="","",sysAttendance!$J13&amp;" / PT "&amp;sysAttendance!$R13)</f>
        <v/>
      </c>
      <c r="I16" s="20">
        <f>IF($B16="","",Writing!$AT13&amp;" ("&amp;Writing!$AS13&amp;" overdue)")</f>
        <v/>
      </c>
      <c r="J16" s="20">
        <f>IF($B16="","",sysFlags!$T13)</f>
        <v/>
      </c>
    </row>
    <row r="17">
      <c r="B17" s="20">
        <f>IF(IF(OR(Cadets!$B14="",Cadets!$I14&lt;&gt;"Active"),FALSE,OR(cfgPreviewAgency=cfgHomeAgency,Cadets!$G14=cfgPreviewAgency)),Cadets!$F14,"")</f>
        <v/>
      </c>
      <c r="C17" s="20">
        <f>IF($B17="","",IF(COUNTIFS(nrES_PID,Cadets!$B14,nrES_Seq,cfgCurrentExamNum,nrES_Final,"Yes",nrES_Rec,"&gt;=0")=0,"",SUMIFS(nrES_Rec,nrES_PID,Cadets!$B14,nrES_Seq,cfgCurrentExamNum,nrES_Final,"Yes")))</f>
        <v/>
      </c>
      <c r="D17" s="20">
        <f>IF($B17="","",IFERROR(ROUND(AVERAGEIFS(nrES_Rec,nrES_Seq,cfgCurrentExamNum,nrES_Final,"Yes"),1),""))</f>
        <v/>
      </c>
      <c r="E17" s="20">
        <f>IF($B17="","",IF(COUNTIFS(nrES_PID,Cadets!$B14,nrES_Seq,cfgCurrentExamNum,nrES_Att,2)&gt;0,"RETEST (cap 70)",""))</f>
        <v/>
      </c>
      <c r="F17" s="20">
        <f>IF($B17="","",IF(cfgCurrentSpellingNum&lt;cfgCurrentExamNum,"(omitted)",Spelling!$P14))</f>
        <v/>
      </c>
      <c r="G17" s="20">
        <f>IF($B17="","",IF(Spelling!$R14="INTERVENTION","BELOW 75 — intervention",""))</f>
        <v/>
      </c>
      <c r="H17" s="20">
        <f>IF($B17="","",sysAttendance!$J14&amp;" / PT "&amp;sysAttendance!$R14)</f>
        <v/>
      </c>
      <c r="I17" s="20">
        <f>IF($B17="","",Writing!$AT14&amp;" ("&amp;Writing!$AS14&amp;" overdue)")</f>
        <v/>
      </c>
      <c r="J17" s="20">
        <f>IF($B17="","",sysFlags!$T14)</f>
        <v/>
      </c>
    </row>
    <row r="18">
      <c r="B18" s="20">
        <f>IF(IF(OR(Cadets!$B15="",Cadets!$I15&lt;&gt;"Active"),FALSE,OR(cfgPreviewAgency=cfgHomeAgency,Cadets!$G15=cfgPreviewAgency)),Cadets!$F15,"")</f>
        <v/>
      </c>
      <c r="C18" s="20">
        <f>IF($B18="","",IF(COUNTIFS(nrES_PID,Cadets!$B15,nrES_Seq,cfgCurrentExamNum,nrES_Final,"Yes",nrES_Rec,"&gt;=0")=0,"",SUMIFS(nrES_Rec,nrES_PID,Cadets!$B15,nrES_Seq,cfgCurrentExamNum,nrES_Final,"Yes")))</f>
        <v/>
      </c>
      <c r="D18" s="20">
        <f>IF($B18="","",IFERROR(ROUND(AVERAGEIFS(nrES_Rec,nrES_Seq,cfgCurrentExamNum,nrES_Final,"Yes"),1),""))</f>
        <v/>
      </c>
      <c r="E18" s="20">
        <f>IF($B18="","",IF(COUNTIFS(nrES_PID,Cadets!$B15,nrES_Seq,cfgCurrentExamNum,nrES_Att,2)&gt;0,"RETEST (cap 70)",""))</f>
        <v/>
      </c>
      <c r="F18" s="20">
        <f>IF($B18="","",IF(cfgCurrentSpellingNum&lt;cfgCurrentExamNum,"(omitted)",Spelling!$P15))</f>
        <v/>
      </c>
      <c r="G18" s="20">
        <f>IF($B18="","",IF(Spelling!$R15="INTERVENTION","BELOW 75 — intervention",""))</f>
        <v/>
      </c>
      <c r="H18" s="20">
        <f>IF($B18="","",sysAttendance!$J15&amp;" / PT "&amp;sysAttendance!$R15)</f>
        <v/>
      </c>
      <c r="I18" s="20">
        <f>IF($B18="","",Writing!$AT15&amp;" ("&amp;Writing!$AS15&amp;" overdue)")</f>
        <v/>
      </c>
      <c r="J18" s="20">
        <f>IF($B18="","",sysFlags!$T15)</f>
        <v/>
      </c>
    </row>
    <row r="19">
      <c r="B19" s="20">
        <f>IF(IF(OR(Cadets!$B16="",Cadets!$I16&lt;&gt;"Active"),FALSE,OR(cfgPreviewAgency=cfgHomeAgency,Cadets!$G16=cfgPreviewAgency)),Cadets!$F16,"")</f>
        <v/>
      </c>
      <c r="C19" s="20">
        <f>IF($B19="","",IF(COUNTIFS(nrES_PID,Cadets!$B16,nrES_Seq,cfgCurrentExamNum,nrES_Final,"Yes",nrES_Rec,"&gt;=0")=0,"",SUMIFS(nrES_Rec,nrES_PID,Cadets!$B16,nrES_Seq,cfgCurrentExamNum,nrES_Final,"Yes")))</f>
        <v/>
      </c>
      <c r="D19" s="20">
        <f>IF($B19="","",IFERROR(ROUND(AVERAGEIFS(nrES_Rec,nrES_Seq,cfgCurrentExamNum,nrES_Final,"Yes"),1),""))</f>
        <v/>
      </c>
      <c r="E19" s="20">
        <f>IF($B19="","",IF(COUNTIFS(nrES_PID,Cadets!$B16,nrES_Seq,cfgCurrentExamNum,nrES_Att,2)&gt;0,"RETEST (cap 70)",""))</f>
        <v/>
      </c>
      <c r="F19" s="20">
        <f>IF($B19="","",IF(cfgCurrentSpellingNum&lt;cfgCurrentExamNum,"(omitted)",Spelling!$P16))</f>
        <v/>
      </c>
      <c r="G19" s="20">
        <f>IF($B19="","",IF(Spelling!$R16="INTERVENTION","BELOW 75 — intervention",""))</f>
        <v/>
      </c>
      <c r="H19" s="20">
        <f>IF($B19="","",sysAttendance!$J16&amp;" / PT "&amp;sysAttendance!$R16)</f>
        <v/>
      </c>
      <c r="I19" s="20">
        <f>IF($B19="","",Writing!$AT16&amp;" ("&amp;Writing!$AS16&amp;" overdue)")</f>
        <v/>
      </c>
      <c r="J19" s="20">
        <f>IF($B19="","",sysFlags!$T16)</f>
        <v/>
      </c>
    </row>
    <row r="20">
      <c r="B20" s="20">
        <f>IF(IF(OR(Cadets!$B17="",Cadets!$I17&lt;&gt;"Active"),FALSE,OR(cfgPreviewAgency=cfgHomeAgency,Cadets!$G17=cfgPreviewAgency)),Cadets!$F17,"")</f>
        <v/>
      </c>
      <c r="C20" s="20">
        <f>IF($B20="","",IF(COUNTIFS(nrES_PID,Cadets!$B17,nrES_Seq,cfgCurrentExamNum,nrES_Final,"Yes",nrES_Rec,"&gt;=0")=0,"",SUMIFS(nrES_Rec,nrES_PID,Cadets!$B17,nrES_Seq,cfgCurrentExamNum,nrES_Final,"Yes")))</f>
        <v/>
      </c>
      <c r="D20" s="20">
        <f>IF($B20="","",IFERROR(ROUND(AVERAGEIFS(nrES_Rec,nrES_Seq,cfgCurrentExamNum,nrES_Final,"Yes"),1),""))</f>
        <v/>
      </c>
      <c r="E20" s="20">
        <f>IF($B20="","",IF(COUNTIFS(nrES_PID,Cadets!$B17,nrES_Seq,cfgCurrentExamNum,nrES_Att,2)&gt;0,"RETEST (cap 70)",""))</f>
        <v/>
      </c>
      <c r="F20" s="20">
        <f>IF($B20="","",IF(cfgCurrentSpellingNum&lt;cfgCurrentExamNum,"(omitted)",Spelling!$P17))</f>
        <v/>
      </c>
      <c r="G20" s="20">
        <f>IF($B20="","",IF(Spelling!$R17="INTERVENTION","BELOW 75 — intervention",""))</f>
        <v/>
      </c>
      <c r="H20" s="20">
        <f>IF($B20="","",sysAttendance!$J17&amp;" / PT "&amp;sysAttendance!$R17)</f>
        <v/>
      </c>
      <c r="I20" s="20">
        <f>IF($B20="","",Writing!$AT17&amp;" ("&amp;Writing!$AS17&amp;" overdue)")</f>
        <v/>
      </c>
      <c r="J20" s="20">
        <f>IF($B20="","",sysFlags!$T17)</f>
        <v/>
      </c>
    </row>
    <row r="21">
      <c r="B21" s="20">
        <f>IF(IF(OR(Cadets!$B18="",Cadets!$I18&lt;&gt;"Active"),FALSE,OR(cfgPreviewAgency=cfgHomeAgency,Cadets!$G18=cfgPreviewAgency)),Cadets!$F18,"")</f>
        <v/>
      </c>
      <c r="C21" s="20">
        <f>IF($B21="","",IF(COUNTIFS(nrES_PID,Cadets!$B18,nrES_Seq,cfgCurrentExamNum,nrES_Final,"Yes",nrES_Rec,"&gt;=0")=0,"",SUMIFS(nrES_Rec,nrES_PID,Cadets!$B18,nrES_Seq,cfgCurrentExamNum,nrES_Final,"Yes")))</f>
        <v/>
      </c>
      <c r="D21" s="20">
        <f>IF($B21="","",IFERROR(ROUND(AVERAGEIFS(nrES_Rec,nrES_Seq,cfgCurrentExamNum,nrES_Final,"Yes"),1),""))</f>
        <v/>
      </c>
      <c r="E21" s="20">
        <f>IF($B21="","",IF(COUNTIFS(nrES_PID,Cadets!$B18,nrES_Seq,cfgCurrentExamNum,nrES_Att,2)&gt;0,"RETEST (cap 70)",""))</f>
        <v/>
      </c>
      <c r="F21" s="20">
        <f>IF($B21="","",IF(cfgCurrentSpellingNum&lt;cfgCurrentExamNum,"(omitted)",Spelling!$P18))</f>
        <v/>
      </c>
      <c r="G21" s="20">
        <f>IF($B21="","",IF(Spelling!$R18="INTERVENTION","BELOW 75 — intervention",""))</f>
        <v/>
      </c>
      <c r="H21" s="20">
        <f>IF($B21="","",sysAttendance!$J18&amp;" / PT "&amp;sysAttendance!$R18)</f>
        <v/>
      </c>
      <c r="I21" s="20">
        <f>IF($B21="","",Writing!$AT18&amp;" ("&amp;Writing!$AS18&amp;" overdue)")</f>
        <v/>
      </c>
      <c r="J21" s="20">
        <f>IF($B21="","",sysFlags!$T18)</f>
        <v/>
      </c>
    </row>
    <row r="22">
      <c r="B22" s="20">
        <f>IF(IF(OR(Cadets!$B19="",Cadets!$I19&lt;&gt;"Active"),FALSE,OR(cfgPreviewAgency=cfgHomeAgency,Cadets!$G19=cfgPreviewAgency)),Cadets!$F19,"")</f>
        <v/>
      </c>
      <c r="C22" s="20">
        <f>IF($B22="","",IF(COUNTIFS(nrES_PID,Cadets!$B19,nrES_Seq,cfgCurrentExamNum,nrES_Final,"Yes",nrES_Rec,"&gt;=0")=0,"",SUMIFS(nrES_Rec,nrES_PID,Cadets!$B19,nrES_Seq,cfgCurrentExamNum,nrES_Final,"Yes")))</f>
        <v/>
      </c>
      <c r="D22" s="20">
        <f>IF($B22="","",IFERROR(ROUND(AVERAGEIFS(nrES_Rec,nrES_Seq,cfgCurrentExamNum,nrES_Final,"Yes"),1),""))</f>
        <v/>
      </c>
      <c r="E22" s="20">
        <f>IF($B22="","",IF(COUNTIFS(nrES_PID,Cadets!$B19,nrES_Seq,cfgCurrentExamNum,nrES_Att,2)&gt;0,"RETEST (cap 70)",""))</f>
        <v/>
      </c>
      <c r="F22" s="20">
        <f>IF($B22="","",IF(cfgCurrentSpellingNum&lt;cfgCurrentExamNum,"(omitted)",Spelling!$P19))</f>
        <v/>
      </c>
      <c r="G22" s="20">
        <f>IF($B22="","",IF(Spelling!$R19="INTERVENTION","BELOW 75 — intervention",""))</f>
        <v/>
      </c>
      <c r="H22" s="20">
        <f>IF($B22="","",sysAttendance!$J19&amp;" / PT "&amp;sysAttendance!$R19)</f>
        <v/>
      </c>
      <c r="I22" s="20">
        <f>IF($B22="","",Writing!$AT19&amp;" ("&amp;Writing!$AS19&amp;" overdue)")</f>
        <v/>
      </c>
      <c r="J22" s="20">
        <f>IF($B22="","",sysFlags!$T19)</f>
        <v/>
      </c>
    </row>
    <row r="23">
      <c r="B23" s="20">
        <f>IF(IF(OR(Cadets!$B20="",Cadets!$I20&lt;&gt;"Active"),FALSE,OR(cfgPreviewAgency=cfgHomeAgency,Cadets!$G20=cfgPreviewAgency)),Cadets!$F20,"")</f>
        <v/>
      </c>
      <c r="C23" s="20">
        <f>IF($B23="","",IF(COUNTIFS(nrES_PID,Cadets!$B20,nrES_Seq,cfgCurrentExamNum,nrES_Final,"Yes",nrES_Rec,"&gt;=0")=0,"",SUMIFS(nrES_Rec,nrES_PID,Cadets!$B20,nrES_Seq,cfgCurrentExamNum,nrES_Final,"Yes")))</f>
        <v/>
      </c>
      <c r="D23" s="20">
        <f>IF($B23="","",IFERROR(ROUND(AVERAGEIFS(nrES_Rec,nrES_Seq,cfgCurrentExamNum,nrES_Final,"Yes"),1),""))</f>
        <v/>
      </c>
      <c r="E23" s="20">
        <f>IF($B23="","",IF(COUNTIFS(nrES_PID,Cadets!$B20,nrES_Seq,cfgCurrentExamNum,nrES_Att,2)&gt;0,"RETEST (cap 70)",""))</f>
        <v/>
      </c>
      <c r="F23" s="20">
        <f>IF($B23="","",IF(cfgCurrentSpellingNum&lt;cfgCurrentExamNum,"(omitted)",Spelling!$P20))</f>
        <v/>
      </c>
      <c r="G23" s="20">
        <f>IF($B23="","",IF(Spelling!$R20="INTERVENTION","BELOW 75 — intervention",""))</f>
        <v/>
      </c>
      <c r="H23" s="20">
        <f>IF($B23="","",sysAttendance!$J20&amp;" / PT "&amp;sysAttendance!$R20)</f>
        <v/>
      </c>
      <c r="I23" s="20">
        <f>IF($B23="","",Writing!$AT20&amp;" ("&amp;Writing!$AS20&amp;" overdue)")</f>
        <v/>
      </c>
      <c r="J23" s="20">
        <f>IF($B23="","",sysFlags!$T20)</f>
        <v/>
      </c>
    </row>
    <row r="24">
      <c r="B24" s="20">
        <f>IF(IF(OR(Cadets!$B21="",Cadets!$I21&lt;&gt;"Active"),FALSE,OR(cfgPreviewAgency=cfgHomeAgency,Cadets!$G21=cfgPreviewAgency)),Cadets!$F21,"")</f>
        <v/>
      </c>
      <c r="C24" s="20">
        <f>IF($B24="","",IF(COUNTIFS(nrES_PID,Cadets!$B21,nrES_Seq,cfgCurrentExamNum,nrES_Final,"Yes",nrES_Rec,"&gt;=0")=0,"",SUMIFS(nrES_Rec,nrES_PID,Cadets!$B21,nrES_Seq,cfgCurrentExamNum,nrES_Final,"Yes")))</f>
        <v/>
      </c>
      <c r="D24" s="20">
        <f>IF($B24="","",IFERROR(ROUND(AVERAGEIFS(nrES_Rec,nrES_Seq,cfgCurrentExamNum,nrES_Final,"Yes"),1),""))</f>
        <v/>
      </c>
      <c r="E24" s="20">
        <f>IF($B24="","",IF(COUNTIFS(nrES_PID,Cadets!$B21,nrES_Seq,cfgCurrentExamNum,nrES_Att,2)&gt;0,"RETEST (cap 70)",""))</f>
        <v/>
      </c>
      <c r="F24" s="20">
        <f>IF($B24="","",IF(cfgCurrentSpellingNum&lt;cfgCurrentExamNum,"(omitted)",Spelling!$P21))</f>
        <v/>
      </c>
      <c r="G24" s="20">
        <f>IF($B24="","",IF(Spelling!$R21="INTERVENTION","BELOW 75 — intervention",""))</f>
        <v/>
      </c>
      <c r="H24" s="20">
        <f>IF($B24="","",sysAttendance!$J21&amp;" / PT "&amp;sysAttendance!$R21)</f>
        <v/>
      </c>
      <c r="I24" s="20">
        <f>IF($B24="","",Writing!$AT21&amp;" ("&amp;Writing!$AS21&amp;" overdue)")</f>
        <v/>
      </c>
      <c r="J24" s="20">
        <f>IF($B24="","",sysFlags!$T21)</f>
        <v/>
      </c>
    </row>
    <row r="25">
      <c r="B25" s="20">
        <f>IF(IF(OR(Cadets!$B22="",Cadets!$I22&lt;&gt;"Active"),FALSE,OR(cfgPreviewAgency=cfgHomeAgency,Cadets!$G22=cfgPreviewAgency)),Cadets!$F22,"")</f>
        <v/>
      </c>
      <c r="C25" s="20">
        <f>IF($B25="","",IF(COUNTIFS(nrES_PID,Cadets!$B22,nrES_Seq,cfgCurrentExamNum,nrES_Final,"Yes",nrES_Rec,"&gt;=0")=0,"",SUMIFS(nrES_Rec,nrES_PID,Cadets!$B22,nrES_Seq,cfgCurrentExamNum,nrES_Final,"Yes")))</f>
        <v/>
      </c>
      <c r="D25" s="20">
        <f>IF($B25="","",IFERROR(ROUND(AVERAGEIFS(nrES_Rec,nrES_Seq,cfgCurrentExamNum,nrES_Final,"Yes"),1),""))</f>
        <v/>
      </c>
      <c r="E25" s="20">
        <f>IF($B25="","",IF(COUNTIFS(nrES_PID,Cadets!$B22,nrES_Seq,cfgCurrentExamNum,nrES_Att,2)&gt;0,"RETEST (cap 70)",""))</f>
        <v/>
      </c>
      <c r="F25" s="20">
        <f>IF($B25="","",IF(cfgCurrentSpellingNum&lt;cfgCurrentExamNum,"(omitted)",Spelling!$P22))</f>
        <v/>
      </c>
      <c r="G25" s="20">
        <f>IF($B25="","",IF(Spelling!$R22="INTERVENTION","BELOW 75 — intervention",""))</f>
        <v/>
      </c>
      <c r="H25" s="20">
        <f>IF($B25="","",sysAttendance!$J22&amp;" / PT "&amp;sysAttendance!$R22)</f>
        <v/>
      </c>
      <c r="I25" s="20">
        <f>IF($B25="","",Writing!$AT22&amp;" ("&amp;Writing!$AS22&amp;" overdue)")</f>
        <v/>
      </c>
      <c r="J25" s="20">
        <f>IF($B25="","",sysFlags!$T22)</f>
        <v/>
      </c>
    </row>
    <row r="26">
      <c r="B26" s="20">
        <f>IF(IF(OR(Cadets!$B23="",Cadets!$I23&lt;&gt;"Active"),FALSE,OR(cfgPreviewAgency=cfgHomeAgency,Cadets!$G23=cfgPreviewAgency)),Cadets!$F23,"")</f>
        <v/>
      </c>
      <c r="C26" s="20">
        <f>IF($B26="","",IF(COUNTIFS(nrES_PID,Cadets!$B23,nrES_Seq,cfgCurrentExamNum,nrES_Final,"Yes",nrES_Rec,"&gt;=0")=0,"",SUMIFS(nrES_Rec,nrES_PID,Cadets!$B23,nrES_Seq,cfgCurrentExamNum,nrES_Final,"Yes")))</f>
        <v/>
      </c>
      <c r="D26" s="20">
        <f>IF($B26="","",IFERROR(ROUND(AVERAGEIFS(nrES_Rec,nrES_Seq,cfgCurrentExamNum,nrES_Final,"Yes"),1),""))</f>
        <v/>
      </c>
      <c r="E26" s="20">
        <f>IF($B26="","",IF(COUNTIFS(nrES_PID,Cadets!$B23,nrES_Seq,cfgCurrentExamNum,nrES_Att,2)&gt;0,"RETEST (cap 70)",""))</f>
        <v/>
      </c>
      <c r="F26" s="20">
        <f>IF($B26="","",IF(cfgCurrentSpellingNum&lt;cfgCurrentExamNum,"(omitted)",Spelling!$P23))</f>
        <v/>
      </c>
      <c r="G26" s="20">
        <f>IF($B26="","",IF(Spelling!$R23="INTERVENTION","BELOW 75 — intervention",""))</f>
        <v/>
      </c>
      <c r="H26" s="20">
        <f>IF($B26="","",sysAttendance!$J23&amp;" / PT "&amp;sysAttendance!$R23)</f>
        <v/>
      </c>
      <c r="I26" s="20">
        <f>IF($B26="","",Writing!$AT23&amp;" ("&amp;Writing!$AS23&amp;" overdue)")</f>
        <v/>
      </c>
      <c r="J26" s="20">
        <f>IF($B26="","",sysFlags!$T23)</f>
        <v/>
      </c>
    </row>
    <row r="27">
      <c r="B27" s="20">
        <f>IF(IF(OR(Cadets!$B24="",Cadets!$I24&lt;&gt;"Active"),FALSE,OR(cfgPreviewAgency=cfgHomeAgency,Cadets!$G24=cfgPreviewAgency)),Cadets!$F24,"")</f>
        <v/>
      </c>
      <c r="C27" s="20">
        <f>IF($B27="","",IF(COUNTIFS(nrES_PID,Cadets!$B24,nrES_Seq,cfgCurrentExamNum,nrES_Final,"Yes",nrES_Rec,"&gt;=0")=0,"",SUMIFS(nrES_Rec,nrES_PID,Cadets!$B24,nrES_Seq,cfgCurrentExamNum,nrES_Final,"Yes")))</f>
        <v/>
      </c>
      <c r="D27" s="20">
        <f>IF($B27="","",IFERROR(ROUND(AVERAGEIFS(nrES_Rec,nrES_Seq,cfgCurrentExamNum,nrES_Final,"Yes"),1),""))</f>
        <v/>
      </c>
      <c r="E27" s="20">
        <f>IF($B27="","",IF(COUNTIFS(nrES_PID,Cadets!$B24,nrES_Seq,cfgCurrentExamNum,nrES_Att,2)&gt;0,"RETEST (cap 70)",""))</f>
        <v/>
      </c>
      <c r="F27" s="20">
        <f>IF($B27="","",IF(cfgCurrentSpellingNum&lt;cfgCurrentExamNum,"(omitted)",Spelling!$P24))</f>
        <v/>
      </c>
      <c r="G27" s="20">
        <f>IF($B27="","",IF(Spelling!$R24="INTERVENTION","BELOW 75 — intervention",""))</f>
        <v/>
      </c>
      <c r="H27" s="20">
        <f>IF($B27="","",sysAttendance!$J24&amp;" / PT "&amp;sysAttendance!$R24)</f>
        <v/>
      </c>
      <c r="I27" s="20">
        <f>IF($B27="","",Writing!$AT24&amp;" ("&amp;Writing!$AS24&amp;" overdue)")</f>
        <v/>
      </c>
      <c r="J27" s="20">
        <f>IF($B27="","",sysFlags!$T24)</f>
        <v/>
      </c>
    </row>
    <row r="28">
      <c r="B28" s="20">
        <f>IF(IF(OR(Cadets!$B25="",Cadets!$I25&lt;&gt;"Active"),FALSE,OR(cfgPreviewAgency=cfgHomeAgency,Cadets!$G25=cfgPreviewAgency)),Cadets!$F25,"")</f>
        <v/>
      </c>
      <c r="C28" s="20">
        <f>IF($B28="","",IF(COUNTIFS(nrES_PID,Cadets!$B25,nrES_Seq,cfgCurrentExamNum,nrES_Final,"Yes",nrES_Rec,"&gt;=0")=0,"",SUMIFS(nrES_Rec,nrES_PID,Cadets!$B25,nrES_Seq,cfgCurrentExamNum,nrES_Final,"Yes")))</f>
        <v/>
      </c>
      <c r="D28" s="20">
        <f>IF($B28="","",IFERROR(ROUND(AVERAGEIFS(nrES_Rec,nrES_Seq,cfgCurrentExamNum,nrES_Final,"Yes"),1),""))</f>
        <v/>
      </c>
      <c r="E28" s="20">
        <f>IF($B28="","",IF(COUNTIFS(nrES_PID,Cadets!$B25,nrES_Seq,cfgCurrentExamNum,nrES_Att,2)&gt;0,"RETEST (cap 70)",""))</f>
        <v/>
      </c>
      <c r="F28" s="20">
        <f>IF($B28="","",IF(cfgCurrentSpellingNum&lt;cfgCurrentExamNum,"(omitted)",Spelling!$P25))</f>
        <v/>
      </c>
      <c r="G28" s="20">
        <f>IF($B28="","",IF(Spelling!$R25="INTERVENTION","BELOW 75 — intervention",""))</f>
        <v/>
      </c>
      <c r="H28" s="20">
        <f>IF($B28="","",sysAttendance!$J25&amp;" / PT "&amp;sysAttendance!$R25)</f>
        <v/>
      </c>
      <c r="I28" s="20">
        <f>IF($B28="","",Writing!$AT25&amp;" ("&amp;Writing!$AS25&amp;" overdue)")</f>
        <v/>
      </c>
      <c r="J28" s="20">
        <f>IF($B28="","",sysFlags!$T25)</f>
        <v/>
      </c>
    </row>
    <row r="29">
      <c r="B29" s="20">
        <f>IF(IF(OR(Cadets!$B26="",Cadets!$I26&lt;&gt;"Active"),FALSE,OR(cfgPreviewAgency=cfgHomeAgency,Cadets!$G26=cfgPreviewAgency)),Cadets!$F26,"")</f>
        <v/>
      </c>
      <c r="C29" s="20">
        <f>IF($B29="","",IF(COUNTIFS(nrES_PID,Cadets!$B26,nrES_Seq,cfgCurrentExamNum,nrES_Final,"Yes",nrES_Rec,"&gt;=0")=0,"",SUMIFS(nrES_Rec,nrES_PID,Cadets!$B26,nrES_Seq,cfgCurrentExamNum,nrES_Final,"Yes")))</f>
        <v/>
      </c>
      <c r="D29" s="20">
        <f>IF($B29="","",IFERROR(ROUND(AVERAGEIFS(nrES_Rec,nrES_Seq,cfgCurrentExamNum,nrES_Final,"Yes"),1),""))</f>
        <v/>
      </c>
      <c r="E29" s="20">
        <f>IF($B29="","",IF(COUNTIFS(nrES_PID,Cadets!$B26,nrES_Seq,cfgCurrentExamNum,nrES_Att,2)&gt;0,"RETEST (cap 70)",""))</f>
        <v/>
      </c>
      <c r="F29" s="20">
        <f>IF($B29="","",IF(cfgCurrentSpellingNum&lt;cfgCurrentExamNum,"(omitted)",Spelling!$P26))</f>
        <v/>
      </c>
      <c r="G29" s="20">
        <f>IF($B29="","",IF(Spelling!$R26="INTERVENTION","BELOW 75 — intervention",""))</f>
        <v/>
      </c>
      <c r="H29" s="20">
        <f>IF($B29="","",sysAttendance!$J26&amp;" / PT "&amp;sysAttendance!$R26)</f>
        <v/>
      </c>
      <c r="I29" s="20">
        <f>IF($B29="","",Writing!$AT26&amp;" ("&amp;Writing!$AS26&amp;" overdue)")</f>
        <v/>
      </c>
      <c r="J29" s="20">
        <f>IF($B29="","",sysFlags!$T26)</f>
        <v/>
      </c>
    </row>
    <row r="30">
      <c r="B30" s="20">
        <f>IF(IF(OR(Cadets!$B27="",Cadets!$I27&lt;&gt;"Active"),FALSE,OR(cfgPreviewAgency=cfgHomeAgency,Cadets!$G27=cfgPreviewAgency)),Cadets!$F27,"")</f>
        <v/>
      </c>
      <c r="C30" s="20">
        <f>IF($B30="","",IF(COUNTIFS(nrES_PID,Cadets!$B27,nrES_Seq,cfgCurrentExamNum,nrES_Final,"Yes",nrES_Rec,"&gt;=0")=0,"",SUMIFS(nrES_Rec,nrES_PID,Cadets!$B27,nrES_Seq,cfgCurrentExamNum,nrES_Final,"Yes")))</f>
        <v/>
      </c>
      <c r="D30" s="20">
        <f>IF($B30="","",IFERROR(ROUND(AVERAGEIFS(nrES_Rec,nrES_Seq,cfgCurrentExamNum,nrES_Final,"Yes"),1),""))</f>
        <v/>
      </c>
      <c r="E30" s="20">
        <f>IF($B30="","",IF(COUNTIFS(nrES_PID,Cadets!$B27,nrES_Seq,cfgCurrentExamNum,nrES_Att,2)&gt;0,"RETEST (cap 70)",""))</f>
        <v/>
      </c>
      <c r="F30" s="20">
        <f>IF($B30="","",IF(cfgCurrentSpellingNum&lt;cfgCurrentExamNum,"(omitted)",Spelling!$P27))</f>
        <v/>
      </c>
      <c r="G30" s="20">
        <f>IF($B30="","",IF(Spelling!$R27="INTERVENTION","BELOW 75 — intervention",""))</f>
        <v/>
      </c>
      <c r="H30" s="20">
        <f>IF($B30="","",sysAttendance!$J27&amp;" / PT "&amp;sysAttendance!$R27)</f>
        <v/>
      </c>
      <c r="I30" s="20">
        <f>IF($B30="","",Writing!$AT27&amp;" ("&amp;Writing!$AS27&amp;" overdue)")</f>
        <v/>
      </c>
      <c r="J30" s="20">
        <f>IF($B30="","",sysFlags!$T27)</f>
        <v/>
      </c>
    </row>
    <row r="31">
      <c r="B31" s="20">
        <f>IF(IF(OR(Cadets!$B28="",Cadets!$I28&lt;&gt;"Active"),FALSE,OR(cfgPreviewAgency=cfgHomeAgency,Cadets!$G28=cfgPreviewAgency)),Cadets!$F28,"")</f>
        <v/>
      </c>
      <c r="C31" s="20">
        <f>IF($B31="","",IF(COUNTIFS(nrES_PID,Cadets!$B28,nrES_Seq,cfgCurrentExamNum,nrES_Final,"Yes",nrES_Rec,"&gt;=0")=0,"",SUMIFS(nrES_Rec,nrES_PID,Cadets!$B28,nrES_Seq,cfgCurrentExamNum,nrES_Final,"Yes")))</f>
        <v/>
      </c>
      <c r="D31" s="20">
        <f>IF($B31="","",IFERROR(ROUND(AVERAGEIFS(nrES_Rec,nrES_Seq,cfgCurrentExamNum,nrES_Final,"Yes"),1),""))</f>
        <v/>
      </c>
      <c r="E31" s="20">
        <f>IF($B31="","",IF(COUNTIFS(nrES_PID,Cadets!$B28,nrES_Seq,cfgCurrentExamNum,nrES_Att,2)&gt;0,"RETEST (cap 70)",""))</f>
        <v/>
      </c>
      <c r="F31" s="20">
        <f>IF($B31="","",IF(cfgCurrentSpellingNum&lt;cfgCurrentExamNum,"(omitted)",Spelling!$P28))</f>
        <v/>
      </c>
      <c r="G31" s="20">
        <f>IF($B31="","",IF(Spelling!$R28="INTERVENTION","BELOW 75 — intervention",""))</f>
        <v/>
      </c>
      <c r="H31" s="20">
        <f>IF($B31="","",sysAttendance!$J28&amp;" / PT "&amp;sysAttendance!$R28)</f>
        <v/>
      </c>
      <c r="I31" s="20">
        <f>IF($B31="","",Writing!$AT28&amp;" ("&amp;Writing!$AS28&amp;" overdue)")</f>
        <v/>
      </c>
      <c r="J31" s="20">
        <f>IF($B31="","",sysFlags!$T28)</f>
        <v/>
      </c>
    </row>
    <row r="32">
      <c r="B32" s="20">
        <f>IF(IF(OR(Cadets!$B29="",Cadets!$I29&lt;&gt;"Active"),FALSE,OR(cfgPreviewAgency=cfgHomeAgency,Cadets!$G29=cfgPreviewAgency)),Cadets!$F29,"")</f>
        <v/>
      </c>
      <c r="C32" s="20">
        <f>IF($B32="","",IF(COUNTIFS(nrES_PID,Cadets!$B29,nrES_Seq,cfgCurrentExamNum,nrES_Final,"Yes",nrES_Rec,"&gt;=0")=0,"",SUMIFS(nrES_Rec,nrES_PID,Cadets!$B29,nrES_Seq,cfgCurrentExamNum,nrES_Final,"Yes")))</f>
        <v/>
      </c>
      <c r="D32" s="20">
        <f>IF($B32="","",IFERROR(ROUND(AVERAGEIFS(nrES_Rec,nrES_Seq,cfgCurrentExamNum,nrES_Final,"Yes"),1),""))</f>
        <v/>
      </c>
      <c r="E32" s="20">
        <f>IF($B32="","",IF(COUNTIFS(nrES_PID,Cadets!$B29,nrES_Seq,cfgCurrentExamNum,nrES_Att,2)&gt;0,"RETEST (cap 70)",""))</f>
        <v/>
      </c>
      <c r="F32" s="20">
        <f>IF($B32="","",IF(cfgCurrentSpellingNum&lt;cfgCurrentExamNum,"(omitted)",Spelling!$P29))</f>
        <v/>
      </c>
      <c r="G32" s="20">
        <f>IF($B32="","",IF(Spelling!$R29="INTERVENTION","BELOW 75 — intervention",""))</f>
        <v/>
      </c>
      <c r="H32" s="20">
        <f>IF($B32="","",sysAttendance!$J29&amp;" / PT "&amp;sysAttendance!$R29)</f>
        <v/>
      </c>
      <c r="I32" s="20">
        <f>IF($B32="","",Writing!$AT29&amp;" ("&amp;Writing!$AS29&amp;" overdue)")</f>
        <v/>
      </c>
      <c r="J32" s="20">
        <f>IF($B32="","",sysFlags!$T29)</f>
        <v/>
      </c>
    </row>
    <row r="33">
      <c r="B33" s="20">
        <f>IF(IF(OR(Cadets!$B30="",Cadets!$I30&lt;&gt;"Active"),FALSE,OR(cfgPreviewAgency=cfgHomeAgency,Cadets!$G30=cfgPreviewAgency)),Cadets!$F30,"")</f>
        <v/>
      </c>
      <c r="C33" s="20">
        <f>IF($B33="","",IF(COUNTIFS(nrES_PID,Cadets!$B30,nrES_Seq,cfgCurrentExamNum,nrES_Final,"Yes",nrES_Rec,"&gt;=0")=0,"",SUMIFS(nrES_Rec,nrES_PID,Cadets!$B30,nrES_Seq,cfgCurrentExamNum,nrES_Final,"Yes")))</f>
        <v/>
      </c>
      <c r="D33" s="20">
        <f>IF($B33="","",IFERROR(ROUND(AVERAGEIFS(nrES_Rec,nrES_Seq,cfgCurrentExamNum,nrES_Final,"Yes"),1),""))</f>
        <v/>
      </c>
      <c r="E33" s="20">
        <f>IF($B33="","",IF(COUNTIFS(nrES_PID,Cadets!$B30,nrES_Seq,cfgCurrentExamNum,nrES_Att,2)&gt;0,"RETEST (cap 70)",""))</f>
        <v/>
      </c>
      <c r="F33" s="20">
        <f>IF($B33="","",IF(cfgCurrentSpellingNum&lt;cfgCurrentExamNum,"(omitted)",Spelling!$P30))</f>
        <v/>
      </c>
      <c r="G33" s="20">
        <f>IF($B33="","",IF(Spelling!$R30="INTERVENTION","BELOW 75 — intervention",""))</f>
        <v/>
      </c>
      <c r="H33" s="20">
        <f>IF($B33="","",sysAttendance!$J30&amp;" / PT "&amp;sysAttendance!$R30)</f>
        <v/>
      </c>
      <c r="I33" s="20">
        <f>IF($B33="","",Writing!$AT30&amp;" ("&amp;Writing!$AS30&amp;" overdue)")</f>
        <v/>
      </c>
      <c r="J33" s="20">
        <f>IF($B33="","",sysFlags!$T30)</f>
        <v/>
      </c>
    </row>
    <row r="34">
      <c r="B34" s="20">
        <f>IF(IF(OR(Cadets!$B31="",Cadets!$I31&lt;&gt;"Active"),FALSE,OR(cfgPreviewAgency=cfgHomeAgency,Cadets!$G31=cfgPreviewAgency)),Cadets!$F31,"")</f>
        <v/>
      </c>
      <c r="C34" s="20">
        <f>IF($B34="","",IF(COUNTIFS(nrES_PID,Cadets!$B31,nrES_Seq,cfgCurrentExamNum,nrES_Final,"Yes",nrES_Rec,"&gt;=0")=0,"",SUMIFS(nrES_Rec,nrES_PID,Cadets!$B31,nrES_Seq,cfgCurrentExamNum,nrES_Final,"Yes")))</f>
        <v/>
      </c>
      <c r="D34" s="20">
        <f>IF($B34="","",IFERROR(ROUND(AVERAGEIFS(nrES_Rec,nrES_Seq,cfgCurrentExamNum,nrES_Final,"Yes"),1),""))</f>
        <v/>
      </c>
      <c r="E34" s="20">
        <f>IF($B34="","",IF(COUNTIFS(nrES_PID,Cadets!$B31,nrES_Seq,cfgCurrentExamNum,nrES_Att,2)&gt;0,"RETEST (cap 70)",""))</f>
        <v/>
      </c>
      <c r="F34" s="20">
        <f>IF($B34="","",IF(cfgCurrentSpellingNum&lt;cfgCurrentExamNum,"(omitted)",Spelling!$P31))</f>
        <v/>
      </c>
      <c r="G34" s="20">
        <f>IF($B34="","",IF(Spelling!$R31="INTERVENTION","BELOW 75 — intervention",""))</f>
        <v/>
      </c>
      <c r="H34" s="20">
        <f>IF($B34="","",sysAttendance!$J31&amp;" / PT "&amp;sysAttendance!$R31)</f>
        <v/>
      </c>
      <c r="I34" s="20">
        <f>IF($B34="","",Writing!$AT31&amp;" ("&amp;Writing!$AS31&amp;" overdue)")</f>
        <v/>
      </c>
      <c r="J34" s="20">
        <f>IF($B34="","",sysFlags!$T31)</f>
        <v/>
      </c>
    </row>
    <row r="35">
      <c r="B35" s="20">
        <f>IF(IF(OR(Cadets!$B32="",Cadets!$I32&lt;&gt;"Active"),FALSE,OR(cfgPreviewAgency=cfgHomeAgency,Cadets!$G32=cfgPreviewAgency)),Cadets!$F32,"")</f>
        <v/>
      </c>
      <c r="C35" s="20">
        <f>IF($B35="","",IF(COUNTIFS(nrES_PID,Cadets!$B32,nrES_Seq,cfgCurrentExamNum,nrES_Final,"Yes",nrES_Rec,"&gt;=0")=0,"",SUMIFS(nrES_Rec,nrES_PID,Cadets!$B32,nrES_Seq,cfgCurrentExamNum,nrES_Final,"Yes")))</f>
        <v/>
      </c>
      <c r="D35" s="20">
        <f>IF($B35="","",IFERROR(ROUND(AVERAGEIFS(nrES_Rec,nrES_Seq,cfgCurrentExamNum,nrES_Final,"Yes"),1),""))</f>
        <v/>
      </c>
      <c r="E35" s="20">
        <f>IF($B35="","",IF(COUNTIFS(nrES_PID,Cadets!$B32,nrES_Seq,cfgCurrentExamNum,nrES_Att,2)&gt;0,"RETEST (cap 70)",""))</f>
        <v/>
      </c>
      <c r="F35" s="20">
        <f>IF($B35="","",IF(cfgCurrentSpellingNum&lt;cfgCurrentExamNum,"(omitted)",Spelling!$P32))</f>
        <v/>
      </c>
      <c r="G35" s="20">
        <f>IF($B35="","",IF(Spelling!$R32="INTERVENTION","BELOW 75 — intervention",""))</f>
        <v/>
      </c>
      <c r="H35" s="20">
        <f>IF($B35="","",sysAttendance!$J32&amp;" / PT "&amp;sysAttendance!$R32)</f>
        <v/>
      </c>
      <c r="I35" s="20">
        <f>IF($B35="","",Writing!$AT32&amp;" ("&amp;Writing!$AS32&amp;" overdue)")</f>
        <v/>
      </c>
      <c r="J35" s="20">
        <f>IF($B35="","",sysFlags!$T32)</f>
        <v/>
      </c>
    </row>
    <row r="36">
      <c r="B36" s="20">
        <f>IF(IF(OR(Cadets!$B33="",Cadets!$I33&lt;&gt;"Active"),FALSE,OR(cfgPreviewAgency=cfgHomeAgency,Cadets!$G33=cfgPreviewAgency)),Cadets!$F33,"")</f>
        <v/>
      </c>
      <c r="C36" s="20">
        <f>IF($B36="","",IF(COUNTIFS(nrES_PID,Cadets!$B33,nrES_Seq,cfgCurrentExamNum,nrES_Final,"Yes",nrES_Rec,"&gt;=0")=0,"",SUMIFS(nrES_Rec,nrES_PID,Cadets!$B33,nrES_Seq,cfgCurrentExamNum,nrES_Final,"Yes")))</f>
        <v/>
      </c>
      <c r="D36" s="20">
        <f>IF($B36="","",IFERROR(ROUND(AVERAGEIFS(nrES_Rec,nrES_Seq,cfgCurrentExamNum,nrES_Final,"Yes"),1),""))</f>
        <v/>
      </c>
      <c r="E36" s="20">
        <f>IF($B36="","",IF(COUNTIFS(nrES_PID,Cadets!$B33,nrES_Seq,cfgCurrentExamNum,nrES_Att,2)&gt;0,"RETEST (cap 70)",""))</f>
        <v/>
      </c>
      <c r="F36" s="20">
        <f>IF($B36="","",IF(cfgCurrentSpellingNum&lt;cfgCurrentExamNum,"(omitted)",Spelling!$P33))</f>
        <v/>
      </c>
      <c r="G36" s="20">
        <f>IF($B36="","",IF(Spelling!$R33="INTERVENTION","BELOW 75 — intervention",""))</f>
        <v/>
      </c>
      <c r="H36" s="20">
        <f>IF($B36="","",sysAttendance!$J33&amp;" / PT "&amp;sysAttendance!$R33)</f>
        <v/>
      </c>
      <c r="I36" s="20">
        <f>IF($B36="","",Writing!$AT33&amp;" ("&amp;Writing!$AS33&amp;" overdue)")</f>
        <v/>
      </c>
      <c r="J36" s="20">
        <f>IF($B36="","",sysFlags!$T33)</f>
        <v/>
      </c>
    </row>
    <row r="37">
      <c r="B37" s="20">
        <f>IF(IF(OR(Cadets!$B34="",Cadets!$I34&lt;&gt;"Active"),FALSE,OR(cfgPreviewAgency=cfgHomeAgency,Cadets!$G34=cfgPreviewAgency)),Cadets!$F34,"")</f>
        <v/>
      </c>
      <c r="C37" s="20">
        <f>IF($B37="","",IF(COUNTIFS(nrES_PID,Cadets!$B34,nrES_Seq,cfgCurrentExamNum,nrES_Final,"Yes",nrES_Rec,"&gt;=0")=0,"",SUMIFS(nrES_Rec,nrES_PID,Cadets!$B34,nrES_Seq,cfgCurrentExamNum,nrES_Final,"Yes")))</f>
        <v/>
      </c>
      <c r="D37" s="20">
        <f>IF($B37="","",IFERROR(ROUND(AVERAGEIFS(nrES_Rec,nrES_Seq,cfgCurrentExamNum,nrES_Final,"Yes"),1),""))</f>
        <v/>
      </c>
      <c r="E37" s="20">
        <f>IF($B37="","",IF(COUNTIFS(nrES_PID,Cadets!$B34,nrES_Seq,cfgCurrentExamNum,nrES_Att,2)&gt;0,"RETEST (cap 70)",""))</f>
        <v/>
      </c>
      <c r="F37" s="20">
        <f>IF($B37="","",IF(cfgCurrentSpellingNum&lt;cfgCurrentExamNum,"(omitted)",Spelling!$P34))</f>
        <v/>
      </c>
      <c r="G37" s="20">
        <f>IF($B37="","",IF(Spelling!$R34="INTERVENTION","BELOW 75 — intervention",""))</f>
        <v/>
      </c>
      <c r="H37" s="20">
        <f>IF($B37="","",sysAttendance!$J34&amp;" / PT "&amp;sysAttendance!$R34)</f>
        <v/>
      </c>
      <c r="I37" s="20">
        <f>IF($B37="","",Writing!$AT34&amp;" ("&amp;Writing!$AS34&amp;" overdue)")</f>
        <v/>
      </c>
      <c r="J37" s="20">
        <f>IF($B37="","",sysFlags!$T34)</f>
        <v/>
      </c>
    </row>
    <row r="38">
      <c r="B38" s="20">
        <f>IF(IF(OR(Cadets!$B35="",Cadets!$I35&lt;&gt;"Active"),FALSE,OR(cfgPreviewAgency=cfgHomeAgency,Cadets!$G35=cfgPreviewAgency)),Cadets!$F35,"")</f>
        <v/>
      </c>
      <c r="C38" s="20">
        <f>IF($B38="","",IF(COUNTIFS(nrES_PID,Cadets!$B35,nrES_Seq,cfgCurrentExamNum,nrES_Final,"Yes",nrES_Rec,"&gt;=0")=0,"",SUMIFS(nrES_Rec,nrES_PID,Cadets!$B35,nrES_Seq,cfgCurrentExamNum,nrES_Final,"Yes")))</f>
        <v/>
      </c>
      <c r="D38" s="20">
        <f>IF($B38="","",IFERROR(ROUND(AVERAGEIFS(nrES_Rec,nrES_Seq,cfgCurrentExamNum,nrES_Final,"Yes"),1),""))</f>
        <v/>
      </c>
      <c r="E38" s="20">
        <f>IF($B38="","",IF(COUNTIFS(nrES_PID,Cadets!$B35,nrES_Seq,cfgCurrentExamNum,nrES_Att,2)&gt;0,"RETEST (cap 70)",""))</f>
        <v/>
      </c>
      <c r="F38" s="20">
        <f>IF($B38="","",IF(cfgCurrentSpellingNum&lt;cfgCurrentExamNum,"(omitted)",Spelling!$P35))</f>
        <v/>
      </c>
      <c r="G38" s="20">
        <f>IF($B38="","",IF(Spelling!$R35="INTERVENTION","BELOW 75 — intervention",""))</f>
        <v/>
      </c>
      <c r="H38" s="20">
        <f>IF($B38="","",sysAttendance!$J35&amp;" / PT "&amp;sysAttendance!$R35)</f>
        <v/>
      </c>
      <c r="I38" s="20">
        <f>IF($B38="","",Writing!$AT35&amp;" ("&amp;Writing!$AS35&amp;" overdue)")</f>
        <v/>
      </c>
      <c r="J38" s="20">
        <f>IF($B38="","",sysFlags!$T35)</f>
        <v/>
      </c>
    </row>
    <row r="39">
      <c r="B39" s="20">
        <f>IF(IF(OR(Cadets!$B36="",Cadets!$I36&lt;&gt;"Active"),FALSE,OR(cfgPreviewAgency=cfgHomeAgency,Cadets!$G36=cfgPreviewAgency)),Cadets!$F36,"")</f>
        <v/>
      </c>
      <c r="C39" s="20">
        <f>IF($B39="","",IF(COUNTIFS(nrES_PID,Cadets!$B36,nrES_Seq,cfgCurrentExamNum,nrES_Final,"Yes",nrES_Rec,"&gt;=0")=0,"",SUMIFS(nrES_Rec,nrES_PID,Cadets!$B36,nrES_Seq,cfgCurrentExamNum,nrES_Final,"Yes")))</f>
        <v/>
      </c>
      <c r="D39" s="20">
        <f>IF($B39="","",IFERROR(ROUND(AVERAGEIFS(nrES_Rec,nrES_Seq,cfgCurrentExamNum,nrES_Final,"Yes"),1),""))</f>
        <v/>
      </c>
      <c r="E39" s="20">
        <f>IF($B39="","",IF(COUNTIFS(nrES_PID,Cadets!$B36,nrES_Seq,cfgCurrentExamNum,nrES_Att,2)&gt;0,"RETEST (cap 70)",""))</f>
        <v/>
      </c>
      <c r="F39" s="20">
        <f>IF($B39="","",IF(cfgCurrentSpellingNum&lt;cfgCurrentExamNum,"(omitted)",Spelling!$P36))</f>
        <v/>
      </c>
      <c r="G39" s="20">
        <f>IF($B39="","",IF(Spelling!$R36="INTERVENTION","BELOW 75 — intervention",""))</f>
        <v/>
      </c>
      <c r="H39" s="20">
        <f>IF($B39="","",sysAttendance!$J36&amp;" / PT "&amp;sysAttendance!$R36)</f>
        <v/>
      </c>
      <c r="I39" s="20">
        <f>IF($B39="","",Writing!$AT36&amp;" ("&amp;Writing!$AS36&amp;" overdue)")</f>
        <v/>
      </c>
      <c r="J39" s="20">
        <f>IF($B39="","",sysFlags!$T36)</f>
        <v/>
      </c>
    </row>
    <row r="40">
      <c r="B40" s="20">
        <f>IF(IF(OR(Cadets!$B37="",Cadets!$I37&lt;&gt;"Active"),FALSE,OR(cfgPreviewAgency=cfgHomeAgency,Cadets!$G37=cfgPreviewAgency)),Cadets!$F37,"")</f>
        <v/>
      </c>
      <c r="C40" s="20">
        <f>IF($B40="","",IF(COUNTIFS(nrES_PID,Cadets!$B37,nrES_Seq,cfgCurrentExamNum,nrES_Final,"Yes",nrES_Rec,"&gt;=0")=0,"",SUMIFS(nrES_Rec,nrES_PID,Cadets!$B37,nrES_Seq,cfgCurrentExamNum,nrES_Final,"Yes")))</f>
        <v/>
      </c>
      <c r="D40" s="20">
        <f>IF($B40="","",IFERROR(ROUND(AVERAGEIFS(nrES_Rec,nrES_Seq,cfgCurrentExamNum,nrES_Final,"Yes"),1),""))</f>
        <v/>
      </c>
      <c r="E40" s="20">
        <f>IF($B40="","",IF(COUNTIFS(nrES_PID,Cadets!$B37,nrES_Seq,cfgCurrentExamNum,nrES_Att,2)&gt;0,"RETEST (cap 70)",""))</f>
        <v/>
      </c>
      <c r="F40" s="20">
        <f>IF($B40="","",IF(cfgCurrentSpellingNum&lt;cfgCurrentExamNum,"(omitted)",Spelling!$P37))</f>
        <v/>
      </c>
      <c r="G40" s="20">
        <f>IF($B40="","",IF(Spelling!$R37="INTERVENTION","BELOW 75 — intervention",""))</f>
        <v/>
      </c>
      <c r="H40" s="20">
        <f>IF($B40="","",sysAttendance!$J37&amp;" / PT "&amp;sysAttendance!$R37)</f>
        <v/>
      </c>
      <c r="I40" s="20">
        <f>IF($B40="","",Writing!$AT37&amp;" ("&amp;Writing!$AS37&amp;" overdue)")</f>
        <v/>
      </c>
      <c r="J40" s="20">
        <f>IF($B40="","",sysFlags!$T37)</f>
        <v/>
      </c>
    </row>
    <row r="41">
      <c r="B41" s="20">
        <f>IF(IF(OR(Cadets!$B38="",Cadets!$I38&lt;&gt;"Active"),FALSE,OR(cfgPreviewAgency=cfgHomeAgency,Cadets!$G38=cfgPreviewAgency)),Cadets!$F38,"")</f>
        <v/>
      </c>
      <c r="C41" s="20">
        <f>IF($B41="","",IF(COUNTIFS(nrES_PID,Cadets!$B38,nrES_Seq,cfgCurrentExamNum,nrES_Final,"Yes",nrES_Rec,"&gt;=0")=0,"",SUMIFS(nrES_Rec,nrES_PID,Cadets!$B38,nrES_Seq,cfgCurrentExamNum,nrES_Final,"Yes")))</f>
        <v/>
      </c>
      <c r="D41" s="20">
        <f>IF($B41="","",IFERROR(ROUND(AVERAGEIFS(nrES_Rec,nrES_Seq,cfgCurrentExamNum,nrES_Final,"Yes"),1),""))</f>
        <v/>
      </c>
      <c r="E41" s="20">
        <f>IF($B41="","",IF(COUNTIFS(nrES_PID,Cadets!$B38,nrES_Seq,cfgCurrentExamNum,nrES_Att,2)&gt;0,"RETEST (cap 70)",""))</f>
        <v/>
      </c>
      <c r="F41" s="20">
        <f>IF($B41="","",IF(cfgCurrentSpellingNum&lt;cfgCurrentExamNum,"(omitted)",Spelling!$P38))</f>
        <v/>
      </c>
      <c r="G41" s="20">
        <f>IF($B41="","",IF(Spelling!$R38="INTERVENTION","BELOW 75 — intervention",""))</f>
        <v/>
      </c>
      <c r="H41" s="20">
        <f>IF($B41="","",sysAttendance!$J38&amp;" / PT "&amp;sysAttendance!$R38)</f>
        <v/>
      </c>
      <c r="I41" s="20">
        <f>IF($B41="","",Writing!$AT38&amp;" ("&amp;Writing!$AS38&amp;" overdue)")</f>
        <v/>
      </c>
      <c r="J41" s="20">
        <f>IF($B41="","",sysFlags!$T38)</f>
        <v/>
      </c>
    </row>
    <row r="42">
      <c r="B42" s="20">
        <f>IF(IF(OR(Cadets!$B39="",Cadets!$I39&lt;&gt;"Active"),FALSE,OR(cfgPreviewAgency=cfgHomeAgency,Cadets!$G39=cfgPreviewAgency)),Cadets!$F39,"")</f>
        <v/>
      </c>
      <c r="C42" s="20">
        <f>IF($B42="","",IF(COUNTIFS(nrES_PID,Cadets!$B39,nrES_Seq,cfgCurrentExamNum,nrES_Final,"Yes",nrES_Rec,"&gt;=0")=0,"",SUMIFS(nrES_Rec,nrES_PID,Cadets!$B39,nrES_Seq,cfgCurrentExamNum,nrES_Final,"Yes")))</f>
        <v/>
      </c>
      <c r="D42" s="20">
        <f>IF($B42="","",IFERROR(ROUND(AVERAGEIFS(nrES_Rec,nrES_Seq,cfgCurrentExamNum,nrES_Final,"Yes"),1),""))</f>
        <v/>
      </c>
      <c r="E42" s="20">
        <f>IF($B42="","",IF(COUNTIFS(nrES_PID,Cadets!$B39,nrES_Seq,cfgCurrentExamNum,nrES_Att,2)&gt;0,"RETEST (cap 70)",""))</f>
        <v/>
      </c>
      <c r="F42" s="20">
        <f>IF($B42="","",IF(cfgCurrentSpellingNum&lt;cfgCurrentExamNum,"(omitted)",Spelling!$P39))</f>
        <v/>
      </c>
      <c r="G42" s="20">
        <f>IF($B42="","",IF(Spelling!$R39="INTERVENTION","BELOW 75 — intervention",""))</f>
        <v/>
      </c>
      <c r="H42" s="20">
        <f>IF($B42="","",sysAttendance!$J39&amp;" / PT "&amp;sysAttendance!$R39)</f>
        <v/>
      </c>
      <c r="I42" s="20">
        <f>IF($B42="","",Writing!$AT39&amp;" ("&amp;Writing!$AS39&amp;" overdue)")</f>
        <v/>
      </c>
      <c r="J42" s="20">
        <f>IF($B42="","",sysFlags!$T39)</f>
        <v/>
      </c>
    </row>
    <row r="43">
      <c r="B43" s="20">
        <f>IF(IF(OR(Cadets!$B40="",Cadets!$I40&lt;&gt;"Active"),FALSE,OR(cfgPreviewAgency=cfgHomeAgency,Cadets!$G40=cfgPreviewAgency)),Cadets!$F40,"")</f>
        <v/>
      </c>
      <c r="C43" s="20">
        <f>IF($B43="","",IF(COUNTIFS(nrES_PID,Cadets!$B40,nrES_Seq,cfgCurrentExamNum,nrES_Final,"Yes",nrES_Rec,"&gt;=0")=0,"",SUMIFS(nrES_Rec,nrES_PID,Cadets!$B40,nrES_Seq,cfgCurrentExamNum,nrES_Final,"Yes")))</f>
        <v/>
      </c>
      <c r="D43" s="20">
        <f>IF($B43="","",IFERROR(ROUND(AVERAGEIFS(nrES_Rec,nrES_Seq,cfgCurrentExamNum,nrES_Final,"Yes"),1),""))</f>
        <v/>
      </c>
      <c r="E43" s="20">
        <f>IF($B43="","",IF(COUNTIFS(nrES_PID,Cadets!$B40,nrES_Seq,cfgCurrentExamNum,nrES_Att,2)&gt;0,"RETEST (cap 70)",""))</f>
        <v/>
      </c>
      <c r="F43" s="20">
        <f>IF($B43="","",IF(cfgCurrentSpellingNum&lt;cfgCurrentExamNum,"(omitted)",Spelling!$P40))</f>
        <v/>
      </c>
      <c r="G43" s="20">
        <f>IF($B43="","",IF(Spelling!$R40="INTERVENTION","BELOW 75 — intervention",""))</f>
        <v/>
      </c>
      <c r="H43" s="20">
        <f>IF($B43="","",sysAttendance!$J40&amp;" / PT "&amp;sysAttendance!$R40)</f>
        <v/>
      </c>
      <c r="I43" s="20">
        <f>IF($B43="","",Writing!$AT40&amp;" ("&amp;Writing!$AS40&amp;" overdue)")</f>
        <v/>
      </c>
      <c r="J43" s="20">
        <f>IF($B43="","",sysFlags!$T40)</f>
        <v/>
      </c>
    </row>
    <row r="44">
      <c r="B44" s="20">
        <f>IF(IF(OR(Cadets!$B41="",Cadets!$I41&lt;&gt;"Active"),FALSE,OR(cfgPreviewAgency=cfgHomeAgency,Cadets!$G41=cfgPreviewAgency)),Cadets!$F41,"")</f>
        <v/>
      </c>
      <c r="C44" s="20">
        <f>IF($B44="","",IF(COUNTIFS(nrES_PID,Cadets!$B41,nrES_Seq,cfgCurrentExamNum,nrES_Final,"Yes",nrES_Rec,"&gt;=0")=0,"",SUMIFS(nrES_Rec,nrES_PID,Cadets!$B41,nrES_Seq,cfgCurrentExamNum,nrES_Final,"Yes")))</f>
        <v/>
      </c>
      <c r="D44" s="20">
        <f>IF($B44="","",IFERROR(ROUND(AVERAGEIFS(nrES_Rec,nrES_Seq,cfgCurrentExamNum,nrES_Final,"Yes"),1),""))</f>
        <v/>
      </c>
      <c r="E44" s="20">
        <f>IF($B44="","",IF(COUNTIFS(nrES_PID,Cadets!$B41,nrES_Seq,cfgCurrentExamNum,nrES_Att,2)&gt;0,"RETEST (cap 70)",""))</f>
        <v/>
      </c>
      <c r="F44" s="20">
        <f>IF($B44="","",IF(cfgCurrentSpellingNum&lt;cfgCurrentExamNum,"(omitted)",Spelling!$P41))</f>
        <v/>
      </c>
      <c r="G44" s="20">
        <f>IF($B44="","",IF(Spelling!$R41="INTERVENTION","BELOW 75 — intervention",""))</f>
        <v/>
      </c>
      <c r="H44" s="20">
        <f>IF($B44="","",sysAttendance!$J41&amp;" / PT "&amp;sysAttendance!$R41)</f>
        <v/>
      </c>
      <c r="I44" s="20">
        <f>IF($B44="","",Writing!$AT41&amp;" ("&amp;Writing!$AS41&amp;" overdue)")</f>
        <v/>
      </c>
      <c r="J44" s="20">
        <f>IF($B44="","",sysFlags!$T41)</f>
        <v/>
      </c>
    </row>
    <row r="45">
      <c r="B45" s="20">
        <f>IF(IF(OR(Cadets!$B42="",Cadets!$I42&lt;&gt;"Active"),FALSE,OR(cfgPreviewAgency=cfgHomeAgency,Cadets!$G42=cfgPreviewAgency)),Cadets!$F42,"")</f>
        <v/>
      </c>
      <c r="C45" s="20">
        <f>IF($B45="","",IF(COUNTIFS(nrES_PID,Cadets!$B42,nrES_Seq,cfgCurrentExamNum,nrES_Final,"Yes",nrES_Rec,"&gt;=0")=0,"",SUMIFS(nrES_Rec,nrES_PID,Cadets!$B42,nrES_Seq,cfgCurrentExamNum,nrES_Final,"Yes")))</f>
        <v/>
      </c>
      <c r="D45" s="20">
        <f>IF($B45="","",IFERROR(ROUND(AVERAGEIFS(nrES_Rec,nrES_Seq,cfgCurrentExamNum,nrES_Final,"Yes"),1),""))</f>
        <v/>
      </c>
      <c r="E45" s="20">
        <f>IF($B45="","",IF(COUNTIFS(nrES_PID,Cadets!$B42,nrES_Seq,cfgCurrentExamNum,nrES_Att,2)&gt;0,"RETEST (cap 70)",""))</f>
        <v/>
      </c>
      <c r="F45" s="20">
        <f>IF($B45="","",IF(cfgCurrentSpellingNum&lt;cfgCurrentExamNum,"(omitted)",Spelling!$P42))</f>
        <v/>
      </c>
      <c r="G45" s="20">
        <f>IF($B45="","",IF(Spelling!$R42="INTERVENTION","BELOW 75 — intervention",""))</f>
        <v/>
      </c>
      <c r="H45" s="20">
        <f>IF($B45="","",sysAttendance!$J42&amp;" / PT "&amp;sysAttendance!$R42)</f>
        <v/>
      </c>
      <c r="I45" s="20">
        <f>IF($B45="","",Writing!$AT42&amp;" ("&amp;Writing!$AS42&amp;" overdue)")</f>
        <v/>
      </c>
      <c r="J45" s="20">
        <f>IF($B45="","",sysFlags!$T42)</f>
        <v/>
      </c>
    </row>
    <row r="46">
      <c r="B46" s="20">
        <f>IF(IF(OR(Cadets!$B43="",Cadets!$I43&lt;&gt;"Active"),FALSE,OR(cfgPreviewAgency=cfgHomeAgency,Cadets!$G43=cfgPreviewAgency)),Cadets!$F43,"")</f>
        <v/>
      </c>
      <c r="C46" s="20">
        <f>IF($B46="","",IF(COUNTIFS(nrES_PID,Cadets!$B43,nrES_Seq,cfgCurrentExamNum,nrES_Final,"Yes",nrES_Rec,"&gt;=0")=0,"",SUMIFS(nrES_Rec,nrES_PID,Cadets!$B43,nrES_Seq,cfgCurrentExamNum,nrES_Final,"Yes")))</f>
        <v/>
      </c>
      <c r="D46" s="20">
        <f>IF($B46="","",IFERROR(ROUND(AVERAGEIFS(nrES_Rec,nrES_Seq,cfgCurrentExamNum,nrES_Final,"Yes"),1),""))</f>
        <v/>
      </c>
      <c r="E46" s="20">
        <f>IF($B46="","",IF(COUNTIFS(nrES_PID,Cadets!$B43,nrES_Seq,cfgCurrentExamNum,nrES_Att,2)&gt;0,"RETEST (cap 70)",""))</f>
        <v/>
      </c>
      <c r="F46" s="20">
        <f>IF($B46="","",IF(cfgCurrentSpellingNum&lt;cfgCurrentExamNum,"(omitted)",Spelling!$P43))</f>
        <v/>
      </c>
      <c r="G46" s="20">
        <f>IF($B46="","",IF(Spelling!$R43="INTERVENTION","BELOW 75 — intervention",""))</f>
        <v/>
      </c>
      <c r="H46" s="20">
        <f>IF($B46="","",sysAttendance!$J43&amp;" / PT "&amp;sysAttendance!$R43)</f>
        <v/>
      </c>
      <c r="I46" s="20">
        <f>IF($B46="","",Writing!$AT43&amp;" ("&amp;Writing!$AS43&amp;" overdue)")</f>
        <v/>
      </c>
      <c r="J46" s="20">
        <f>IF($B46="","",sysFlags!$T43)</f>
        <v/>
      </c>
    </row>
    <row r="47">
      <c r="B47" s="20">
        <f>IF(IF(OR(Cadets!$B44="",Cadets!$I44&lt;&gt;"Active"),FALSE,OR(cfgPreviewAgency=cfgHomeAgency,Cadets!$G44=cfgPreviewAgency)),Cadets!$F44,"")</f>
        <v/>
      </c>
      <c r="C47" s="20">
        <f>IF($B47="","",IF(COUNTIFS(nrES_PID,Cadets!$B44,nrES_Seq,cfgCurrentExamNum,nrES_Final,"Yes",nrES_Rec,"&gt;=0")=0,"",SUMIFS(nrES_Rec,nrES_PID,Cadets!$B44,nrES_Seq,cfgCurrentExamNum,nrES_Final,"Yes")))</f>
        <v/>
      </c>
      <c r="D47" s="20">
        <f>IF($B47="","",IFERROR(ROUND(AVERAGEIFS(nrES_Rec,nrES_Seq,cfgCurrentExamNum,nrES_Final,"Yes"),1),""))</f>
        <v/>
      </c>
      <c r="E47" s="20">
        <f>IF($B47="","",IF(COUNTIFS(nrES_PID,Cadets!$B44,nrES_Seq,cfgCurrentExamNum,nrES_Att,2)&gt;0,"RETEST (cap 70)",""))</f>
        <v/>
      </c>
      <c r="F47" s="20">
        <f>IF($B47="","",IF(cfgCurrentSpellingNum&lt;cfgCurrentExamNum,"(omitted)",Spelling!$P44))</f>
        <v/>
      </c>
      <c r="G47" s="20">
        <f>IF($B47="","",IF(Spelling!$R44="INTERVENTION","BELOW 75 — intervention",""))</f>
        <v/>
      </c>
      <c r="H47" s="20">
        <f>IF($B47="","",sysAttendance!$J44&amp;" / PT "&amp;sysAttendance!$R44)</f>
        <v/>
      </c>
      <c r="I47" s="20">
        <f>IF($B47="","",Writing!$AT44&amp;" ("&amp;Writing!$AS44&amp;" overdue)")</f>
        <v/>
      </c>
      <c r="J47" s="20">
        <f>IF($B47="","",sysFlags!$T44)</f>
        <v/>
      </c>
    </row>
    <row r="48">
      <c r="B48" s="20">
        <f>IF(IF(OR(Cadets!$B45="",Cadets!$I45&lt;&gt;"Active"),FALSE,OR(cfgPreviewAgency=cfgHomeAgency,Cadets!$G45=cfgPreviewAgency)),Cadets!$F45,"")</f>
        <v/>
      </c>
      <c r="C48" s="20">
        <f>IF($B48="","",IF(COUNTIFS(nrES_PID,Cadets!$B45,nrES_Seq,cfgCurrentExamNum,nrES_Final,"Yes",nrES_Rec,"&gt;=0")=0,"",SUMIFS(nrES_Rec,nrES_PID,Cadets!$B45,nrES_Seq,cfgCurrentExamNum,nrES_Final,"Yes")))</f>
        <v/>
      </c>
      <c r="D48" s="20">
        <f>IF($B48="","",IFERROR(ROUND(AVERAGEIFS(nrES_Rec,nrES_Seq,cfgCurrentExamNum,nrES_Final,"Yes"),1),""))</f>
        <v/>
      </c>
      <c r="E48" s="20">
        <f>IF($B48="","",IF(COUNTIFS(nrES_PID,Cadets!$B45,nrES_Seq,cfgCurrentExamNum,nrES_Att,2)&gt;0,"RETEST (cap 70)",""))</f>
        <v/>
      </c>
      <c r="F48" s="20">
        <f>IF($B48="","",IF(cfgCurrentSpellingNum&lt;cfgCurrentExamNum,"(omitted)",Spelling!$P45))</f>
        <v/>
      </c>
      <c r="G48" s="20">
        <f>IF($B48="","",IF(Spelling!$R45="INTERVENTION","BELOW 75 — intervention",""))</f>
        <v/>
      </c>
      <c r="H48" s="20">
        <f>IF($B48="","",sysAttendance!$J45&amp;" / PT "&amp;sysAttendance!$R45)</f>
        <v/>
      </c>
      <c r="I48" s="20">
        <f>IF($B48="","",Writing!$AT45&amp;" ("&amp;Writing!$AS45&amp;" overdue)")</f>
        <v/>
      </c>
      <c r="J48" s="20">
        <f>IF($B48="","",sysFlags!$T45)</f>
        <v/>
      </c>
    </row>
    <row r="49">
      <c r="B49" s="20">
        <f>IF(IF(OR(Cadets!$B46="",Cadets!$I46&lt;&gt;"Active"),FALSE,OR(cfgPreviewAgency=cfgHomeAgency,Cadets!$G46=cfgPreviewAgency)),Cadets!$F46,"")</f>
        <v/>
      </c>
      <c r="C49" s="20">
        <f>IF($B49="","",IF(COUNTIFS(nrES_PID,Cadets!$B46,nrES_Seq,cfgCurrentExamNum,nrES_Final,"Yes",nrES_Rec,"&gt;=0")=0,"",SUMIFS(nrES_Rec,nrES_PID,Cadets!$B46,nrES_Seq,cfgCurrentExamNum,nrES_Final,"Yes")))</f>
        <v/>
      </c>
      <c r="D49" s="20">
        <f>IF($B49="","",IFERROR(ROUND(AVERAGEIFS(nrES_Rec,nrES_Seq,cfgCurrentExamNum,nrES_Final,"Yes"),1),""))</f>
        <v/>
      </c>
      <c r="E49" s="20">
        <f>IF($B49="","",IF(COUNTIFS(nrES_PID,Cadets!$B46,nrES_Seq,cfgCurrentExamNum,nrES_Att,2)&gt;0,"RETEST (cap 70)",""))</f>
        <v/>
      </c>
      <c r="F49" s="20">
        <f>IF($B49="","",IF(cfgCurrentSpellingNum&lt;cfgCurrentExamNum,"(omitted)",Spelling!$P46))</f>
        <v/>
      </c>
      <c r="G49" s="20">
        <f>IF($B49="","",IF(Spelling!$R46="INTERVENTION","BELOW 75 — intervention",""))</f>
        <v/>
      </c>
      <c r="H49" s="20">
        <f>IF($B49="","",sysAttendance!$J46&amp;" / PT "&amp;sysAttendance!$R46)</f>
        <v/>
      </c>
      <c r="I49" s="20">
        <f>IF($B49="","",Writing!$AT46&amp;" ("&amp;Writing!$AS46&amp;" overdue)")</f>
        <v/>
      </c>
      <c r="J49" s="20">
        <f>IF($B49="","",sysFlags!$T46)</f>
        <v/>
      </c>
    </row>
    <row r="50">
      <c r="B50" s="20">
        <f>IF(IF(OR(Cadets!$B47="",Cadets!$I47&lt;&gt;"Active"),FALSE,OR(cfgPreviewAgency=cfgHomeAgency,Cadets!$G47=cfgPreviewAgency)),Cadets!$F47,"")</f>
        <v/>
      </c>
      <c r="C50" s="20">
        <f>IF($B50="","",IF(COUNTIFS(nrES_PID,Cadets!$B47,nrES_Seq,cfgCurrentExamNum,nrES_Final,"Yes",nrES_Rec,"&gt;=0")=0,"",SUMIFS(nrES_Rec,nrES_PID,Cadets!$B47,nrES_Seq,cfgCurrentExamNum,nrES_Final,"Yes")))</f>
        <v/>
      </c>
      <c r="D50" s="20">
        <f>IF($B50="","",IFERROR(ROUND(AVERAGEIFS(nrES_Rec,nrES_Seq,cfgCurrentExamNum,nrES_Final,"Yes"),1),""))</f>
        <v/>
      </c>
      <c r="E50" s="20">
        <f>IF($B50="","",IF(COUNTIFS(nrES_PID,Cadets!$B47,nrES_Seq,cfgCurrentExamNum,nrES_Att,2)&gt;0,"RETEST (cap 70)",""))</f>
        <v/>
      </c>
      <c r="F50" s="20">
        <f>IF($B50="","",IF(cfgCurrentSpellingNum&lt;cfgCurrentExamNum,"(omitted)",Spelling!$P47))</f>
        <v/>
      </c>
      <c r="G50" s="20">
        <f>IF($B50="","",IF(Spelling!$R47="INTERVENTION","BELOW 75 — intervention",""))</f>
        <v/>
      </c>
      <c r="H50" s="20">
        <f>IF($B50="","",sysAttendance!$J47&amp;" / PT "&amp;sysAttendance!$R47)</f>
        <v/>
      </c>
      <c r="I50" s="20">
        <f>IF($B50="","",Writing!$AT47&amp;" ("&amp;Writing!$AS47&amp;" overdue)")</f>
        <v/>
      </c>
      <c r="J50" s="20">
        <f>IF($B50="","",sysFlags!$T47)</f>
        <v/>
      </c>
    </row>
    <row r="51">
      <c r="B51" s="20">
        <f>IF(IF(OR(Cadets!$B48="",Cadets!$I48&lt;&gt;"Active"),FALSE,OR(cfgPreviewAgency=cfgHomeAgency,Cadets!$G48=cfgPreviewAgency)),Cadets!$F48,"")</f>
        <v/>
      </c>
      <c r="C51" s="20">
        <f>IF($B51="","",IF(COUNTIFS(nrES_PID,Cadets!$B48,nrES_Seq,cfgCurrentExamNum,nrES_Final,"Yes",nrES_Rec,"&gt;=0")=0,"",SUMIFS(nrES_Rec,nrES_PID,Cadets!$B48,nrES_Seq,cfgCurrentExamNum,nrES_Final,"Yes")))</f>
        <v/>
      </c>
      <c r="D51" s="20">
        <f>IF($B51="","",IFERROR(ROUND(AVERAGEIFS(nrES_Rec,nrES_Seq,cfgCurrentExamNum,nrES_Final,"Yes"),1),""))</f>
        <v/>
      </c>
      <c r="E51" s="20">
        <f>IF($B51="","",IF(COUNTIFS(nrES_PID,Cadets!$B48,nrES_Seq,cfgCurrentExamNum,nrES_Att,2)&gt;0,"RETEST (cap 70)",""))</f>
        <v/>
      </c>
      <c r="F51" s="20">
        <f>IF($B51="","",IF(cfgCurrentSpellingNum&lt;cfgCurrentExamNum,"(omitted)",Spelling!$P48))</f>
        <v/>
      </c>
      <c r="G51" s="20">
        <f>IF($B51="","",IF(Spelling!$R48="INTERVENTION","BELOW 75 — intervention",""))</f>
        <v/>
      </c>
      <c r="H51" s="20">
        <f>IF($B51="","",sysAttendance!$J48&amp;" / PT "&amp;sysAttendance!$R48)</f>
        <v/>
      </c>
      <c r="I51" s="20">
        <f>IF($B51="","",Writing!$AT48&amp;" ("&amp;Writing!$AS48&amp;" overdue)")</f>
        <v/>
      </c>
      <c r="J51" s="20">
        <f>IF($B51="","",sysFlags!$T48)</f>
        <v/>
      </c>
    </row>
    <row r="52">
      <c r="B52" s="20">
        <f>IF(IF(OR(Cadets!$B49="",Cadets!$I49&lt;&gt;"Active"),FALSE,OR(cfgPreviewAgency=cfgHomeAgency,Cadets!$G49=cfgPreviewAgency)),Cadets!$F49,"")</f>
        <v/>
      </c>
      <c r="C52" s="20">
        <f>IF($B52="","",IF(COUNTIFS(nrES_PID,Cadets!$B49,nrES_Seq,cfgCurrentExamNum,nrES_Final,"Yes",nrES_Rec,"&gt;=0")=0,"",SUMIFS(nrES_Rec,nrES_PID,Cadets!$B49,nrES_Seq,cfgCurrentExamNum,nrES_Final,"Yes")))</f>
        <v/>
      </c>
      <c r="D52" s="20">
        <f>IF($B52="","",IFERROR(ROUND(AVERAGEIFS(nrES_Rec,nrES_Seq,cfgCurrentExamNum,nrES_Final,"Yes"),1),""))</f>
        <v/>
      </c>
      <c r="E52" s="20">
        <f>IF($B52="","",IF(COUNTIFS(nrES_PID,Cadets!$B49,nrES_Seq,cfgCurrentExamNum,nrES_Att,2)&gt;0,"RETEST (cap 70)",""))</f>
        <v/>
      </c>
      <c r="F52" s="20">
        <f>IF($B52="","",IF(cfgCurrentSpellingNum&lt;cfgCurrentExamNum,"(omitted)",Spelling!$P49))</f>
        <v/>
      </c>
      <c r="G52" s="20">
        <f>IF($B52="","",IF(Spelling!$R49="INTERVENTION","BELOW 75 — intervention",""))</f>
        <v/>
      </c>
      <c r="H52" s="20">
        <f>IF($B52="","",sysAttendance!$J49&amp;" / PT "&amp;sysAttendance!$R49)</f>
        <v/>
      </c>
      <c r="I52" s="20">
        <f>IF($B52="","",Writing!$AT49&amp;" ("&amp;Writing!$AS49&amp;" overdue)")</f>
        <v/>
      </c>
      <c r="J52" s="20">
        <f>IF($B52="","",sysFlags!$T49)</f>
        <v/>
      </c>
    </row>
    <row r="53">
      <c r="B53" s="20">
        <f>IF(IF(OR(Cadets!$B50="",Cadets!$I50&lt;&gt;"Active"),FALSE,OR(cfgPreviewAgency=cfgHomeAgency,Cadets!$G50=cfgPreviewAgency)),Cadets!$F50,"")</f>
        <v/>
      </c>
      <c r="C53" s="20">
        <f>IF($B53="","",IF(COUNTIFS(nrES_PID,Cadets!$B50,nrES_Seq,cfgCurrentExamNum,nrES_Final,"Yes",nrES_Rec,"&gt;=0")=0,"",SUMIFS(nrES_Rec,nrES_PID,Cadets!$B50,nrES_Seq,cfgCurrentExamNum,nrES_Final,"Yes")))</f>
        <v/>
      </c>
      <c r="D53" s="20">
        <f>IF($B53="","",IFERROR(ROUND(AVERAGEIFS(nrES_Rec,nrES_Seq,cfgCurrentExamNum,nrES_Final,"Yes"),1),""))</f>
        <v/>
      </c>
      <c r="E53" s="20">
        <f>IF($B53="","",IF(COUNTIFS(nrES_PID,Cadets!$B50,nrES_Seq,cfgCurrentExamNum,nrES_Att,2)&gt;0,"RETEST (cap 70)",""))</f>
        <v/>
      </c>
      <c r="F53" s="20">
        <f>IF($B53="","",IF(cfgCurrentSpellingNum&lt;cfgCurrentExamNum,"(omitted)",Spelling!$P50))</f>
        <v/>
      </c>
      <c r="G53" s="20">
        <f>IF($B53="","",IF(Spelling!$R50="INTERVENTION","BELOW 75 — intervention",""))</f>
        <v/>
      </c>
      <c r="H53" s="20">
        <f>IF($B53="","",sysAttendance!$J50&amp;" / PT "&amp;sysAttendance!$R50)</f>
        <v/>
      </c>
      <c r="I53" s="20">
        <f>IF($B53="","",Writing!$AT50&amp;" ("&amp;Writing!$AS50&amp;" overdue)")</f>
        <v/>
      </c>
      <c r="J53" s="20">
        <f>IF($B53="","",sysFlags!$T50)</f>
        <v/>
      </c>
    </row>
    <row r="54">
      <c r="B54" s="20">
        <f>IF(IF(OR(Cadets!$B51="",Cadets!$I51&lt;&gt;"Active"),FALSE,OR(cfgPreviewAgency=cfgHomeAgency,Cadets!$G51=cfgPreviewAgency)),Cadets!$F51,"")</f>
        <v/>
      </c>
      <c r="C54" s="20">
        <f>IF($B54="","",IF(COUNTIFS(nrES_PID,Cadets!$B51,nrES_Seq,cfgCurrentExamNum,nrES_Final,"Yes",nrES_Rec,"&gt;=0")=0,"",SUMIFS(nrES_Rec,nrES_PID,Cadets!$B51,nrES_Seq,cfgCurrentExamNum,nrES_Final,"Yes")))</f>
        <v/>
      </c>
      <c r="D54" s="20">
        <f>IF($B54="","",IFERROR(ROUND(AVERAGEIFS(nrES_Rec,nrES_Seq,cfgCurrentExamNum,nrES_Final,"Yes"),1),""))</f>
        <v/>
      </c>
      <c r="E54" s="20">
        <f>IF($B54="","",IF(COUNTIFS(nrES_PID,Cadets!$B51,nrES_Seq,cfgCurrentExamNum,nrES_Att,2)&gt;0,"RETEST (cap 70)",""))</f>
        <v/>
      </c>
      <c r="F54" s="20">
        <f>IF($B54="","",IF(cfgCurrentSpellingNum&lt;cfgCurrentExamNum,"(omitted)",Spelling!$P51))</f>
        <v/>
      </c>
      <c r="G54" s="20">
        <f>IF($B54="","",IF(Spelling!$R51="INTERVENTION","BELOW 75 — intervention",""))</f>
        <v/>
      </c>
      <c r="H54" s="20">
        <f>IF($B54="","",sysAttendance!$J51&amp;" / PT "&amp;sysAttendance!$R51)</f>
        <v/>
      </c>
      <c r="I54" s="20">
        <f>IF($B54="","",Writing!$AT51&amp;" ("&amp;Writing!$AS51&amp;" overdue)")</f>
        <v/>
      </c>
      <c r="J54" s="20">
        <f>IF($B54="","",sysFlags!$T51)</f>
        <v/>
      </c>
    </row>
    <row r="55">
      <c r="B55" s="20">
        <f>IF(IF(OR(Cadets!$B52="",Cadets!$I52&lt;&gt;"Active"),FALSE,OR(cfgPreviewAgency=cfgHomeAgency,Cadets!$G52=cfgPreviewAgency)),Cadets!$F52,"")</f>
        <v/>
      </c>
      <c r="C55" s="20">
        <f>IF($B55="","",IF(COUNTIFS(nrES_PID,Cadets!$B52,nrES_Seq,cfgCurrentExamNum,nrES_Final,"Yes",nrES_Rec,"&gt;=0")=0,"",SUMIFS(nrES_Rec,nrES_PID,Cadets!$B52,nrES_Seq,cfgCurrentExamNum,nrES_Final,"Yes")))</f>
        <v/>
      </c>
      <c r="D55" s="20">
        <f>IF($B55="","",IFERROR(ROUND(AVERAGEIFS(nrES_Rec,nrES_Seq,cfgCurrentExamNum,nrES_Final,"Yes"),1),""))</f>
        <v/>
      </c>
      <c r="E55" s="20">
        <f>IF($B55="","",IF(COUNTIFS(nrES_PID,Cadets!$B52,nrES_Seq,cfgCurrentExamNum,nrES_Att,2)&gt;0,"RETEST (cap 70)",""))</f>
        <v/>
      </c>
      <c r="F55" s="20">
        <f>IF($B55="","",IF(cfgCurrentSpellingNum&lt;cfgCurrentExamNum,"(omitted)",Spelling!$P52))</f>
        <v/>
      </c>
      <c r="G55" s="20">
        <f>IF($B55="","",IF(Spelling!$R52="INTERVENTION","BELOW 75 — intervention",""))</f>
        <v/>
      </c>
      <c r="H55" s="20">
        <f>IF($B55="","",sysAttendance!$J52&amp;" / PT "&amp;sysAttendance!$R52)</f>
        <v/>
      </c>
      <c r="I55" s="20">
        <f>IF($B55="","",Writing!$AT52&amp;" ("&amp;Writing!$AS52&amp;" overdue)")</f>
        <v/>
      </c>
      <c r="J55" s="20">
        <f>IF($B55="","",sysFlags!$T52)</f>
        <v/>
      </c>
    </row>
    <row r="56">
      <c r="B56" s="20">
        <f>IF(IF(OR(Cadets!$B53="",Cadets!$I53&lt;&gt;"Active"),FALSE,OR(cfgPreviewAgency=cfgHomeAgency,Cadets!$G53=cfgPreviewAgency)),Cadets!$F53,"")</f>
        <v/>
      </c>
      <c r="C56" s="20">
        <f>IF($B56="","",IF(COUNTIFS(nrES_PID,Cadets!$B53,nrES_Seq,cfgCurrentExamNum,nrES_Final,"Yes",nrES_Rec,"&gt;=0")=0,"",SUMIFS(nrES_Rec,nrES_PID,Cadets!$B53,nrES_Seq,cfgCurrentExamNum,nrES_Final,"Yes")))</f>
        <v/>
      </c>
      <c r="D56" s="20">
        <f>IF($B56="","",IFERROR(ROUND(AVERAGEIFS(nrES_Rec,nrES_Seq,cfgCurrentExamNum,nrES_Final,"Yes"),1),""))</f>
        <v/>
      </c>
      <c r="E56" s="20">
        <f>IF($B56="","",IF(COUNTIFS(nrES_PID,Cadets!$B53,nrES_Seq,cfgCurrentExamNum,nrES_Att,2)&gt;0,"RETEST (cap 70)",""))</f>
        <v/>
      </c>
      <c r="F56" s="20">
        <f>IF($B56="","",IF(cfgCurrentSpellingNum&lt;cfgCurrentExamNum,"(omitted)",Spelling!$P53))</f>
        <v/>
      </c>
      <c r="G56" s="20">
        <f>IF($B56="","",IF(Spelling!$R53="INTERVENTION","BELOW 75 — intervention",""))</f>
        <v/>
      </c>
      <c r="H56" s="20">
        <f>IF($B56="","",sysAttendance!$J53&amp;" / PT "&amp;sysAttendance!$R53)</f>
        <v/>
      </c>
      <c r="I56" s="20">
        <f>IF($B56="","",Writing!$AT53&amp;" ("&amp;Writing!$AS53&amp;" overdue)")</f>
        <v/>
      </c>
      <c r="J56" s="20">
        <f>IF($B56="","",sysFlags!$T53)</f>
        <v/>
      </c>
    </row>
    <row r="57">
      <c r="B57" s="20">
        <f>IF(IF(OR(Cadets!$B54="",Cadets!$I54&lt;&gt;"Active"),FALSE,OR(cfgPreviewAgency=cfgHomeAgency,Cadets!$G54=cfgPreviewAgency)),Cadets!$F54,"")</f>
        <v/>
      </c>
      <c r="C57" s="20">
        <f>IF($B57="","",IF(COUNTIFS(nrES_PID,Cadets!$B54,nrES_Seq,cfgCurrentExamNum,nrES_Final,"Yes",nrES_Rec,"&gt;=0")=0,"",SUMIFS(nrES_Rec,nrES_PID,Cadets!$B54,nrES_Seq,cfgCurrentExamNum,nrES_Final,"Yes")))</f>
        <v/>
      </c>
      <c r="D57" s="20">
        <f>IF($B57="","",IFERROR(ROUND(AVERAGEIFS(nrES_Rec,nrES_Seq,cfgCurrentExamNum,nrES_Final,"Yes"),1),""))</f>
        <v/>
      </c>
      <c r="E57" s="20">
        <f>IF($B57="","",IF(COUNTIFS(nrES_PID,Cadets!$B54,nrES_Seq,cfgCurrentExamNum,nrES_Att,2)&gt;0,"RETEST (cap 70)",""))</f>
        <v/>
      </c>
      <c r="F57" s="20">
        <f>IF($B57="","",IF(cfgCurrentSpellingNum&lt;cfgCurrentExamNum,"(omitted)",Spelling!$P54))</f>
        <v/>
      </c>
      <c r="G57" s="20">
        <f>IF($B57="","",IF(Spelling!$R54="INTERVENTION","BELOW 75 — intervention",""))</f>
        <v/>
      </c>
      <c r="H57" s="20">
        <f>IF($B57="","",sysAttendance!$J54&amp;" / PT "&amp;sysAttendance!$R54)</f>
        <v/>
      </c>
      <c r="I57" s="20">
        <f>IF($B57="","",Writing!$AT54&amp;" ("&amp;Writing!$AS54&amp;" overdue)")</f>
        <v/>
      </c>
      <c r="J57" s="20">
        <f>IF($B57="","",sysFlags!$T54)</f>
        <v/>
      </c>
    </row>
    <row r="58">
      <c r="B58" s="20">
        <f>IF(IF(OR(Cadets!$B55="",Cadets!$I55&lt;&gt;"Active"),FALSE,OR(cfgPreviewAgency=cfgHomeAgency,Cadets!$G55=cfgPreviewAgency)),Cadets!$F55,"")</f>
        <v/>
      </c>
      <c r="C58" s="20">
        <f>IF($B58="","",IF(COUNTIFS(nrES_PID,Cadets!$B55,nrES_Seq,cfgCurrentExamNum,nrES_Final,"Yes",nrES_Rec,"&gt;=0")=0,"",SUMIFS(nrES_Rec,nrES_PID,Cadets!$B55,nrES_Seq,cfgCurrentExamNum,nrES_Final,"Yes")))</f>
        <v/>
      </c>
      <c r="D58" s="20">
        <f>IF($B58="","",IFERROR(ROUND(AVERAGEIFS(nrES_Rec,nrES_Seq,cfgCurrentExamNum,nrES_Final,"Yes"),1),""))</f>
        <v/>
      </c>
      <c r="E58" s="20">
        <f>IF($B58="","",IF(COUNTIFS(nrES_PID,Cadets!$B55,nrES_Seq,cfgCurrentExamNum,nrES_Att,2)&gt;0,"RETEST (cap 70)",""))</f>
        <v/>
      </c>
      <c r="F58" s="20">
        <f>IF($B58="","",IF(cfgCurrentSpellingNum&lt;cfgCurrentExamNum,"(omitted)",Spelling!$P55))</f>
        <v/>
      </c>
      <c r="G58" s="20">
        <f>IF($B58="","",IF(Spelling!$R55="INTERVENTION","BELOW 75 — intervention",""))</f>
        <v/>
      </c>
      <c r="H58" s="20">
        <f>IF($B58="","",sysAttendance!$J55&amp;" / PT "&amp;sysAttendance!$R55)</f>
        <v/>
      </c>
      <c r="I58" s="20">
        <f>IF($B58="","",Writing!$AT55&amp;" ("&amp;Writing!$AS55&amp;" overdue)")</f>
        <v/>
      </c>
      <c r="J58" s="20">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7">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nothing marked for this agency since last email —")</f>
        <v/>
      </c>
    </row>
    <row r="63">
      <c r="B63" s="37" t="n"/>
    </row>
    <row r="64">
      <c r="B64" s="37" t="n"/>
    </row>
    <row r="65">
      <c r="B65" s="37" t="n"/>
    </row>
    <row r="66">
      <c r="B66" s="37" t="n"/>
    </row>
    <row r="67">
      <c r="B67" s="37" t="n"/>
    </row>
    <row r="68">
      <c r="B68" s="37" t="n"/>
    </row>
    <row r="69">
      <c r="B69" s="37" t="n"/>
    </row>
    <row r="70">
      <c r="B70" s="37" t="n"/>
    </row>
    <row r="71">
      <c r="B71" s="37" t="n"/>
    </row>
    <row r="72">
      <c r="B72" s="37" t="n"/>
    </row>
    <row r="73">
      <c r="B73" s="37" t="n"/>
    </row>
    <row r="74">
      <c r="B74" s="37" t="n"/>
    </row>
    <row r="75">
      <c r="B75" s="37" t="n"/>
    </row>
    <row r="76">
      <c r="B76" s="37" t="n"/>
    </row>
    <row r="77">
      <c r="B77" s="37"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7.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automatically by the email macro (one row per agency draft). 'Last Email Sent' on Agencies and the since-last-email digest read from here.</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Drafted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White boxes with a blue border = edit per academy (entries show in blue). Yellow = pending data (PT rubric from the other coordinator). Gray = calculated. Internal names must not change.</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c r="F7" s="20">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46332</v>
      </c>
      <c r="D8" s="2" t="inlineStr">
        <is>
          <t>Scheduled graduation date</t>
        </is>
      </c>
      <c r="E8" s="2" t="inlineStr">
        <is>
          <t>cfgEndDate</t>
        </is>
      </c>
      <c r="F8" s="20">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8" t="n">
        <v>145800</v>
      </c>
      <c r="D9" s="2" t="inlineStr">
        <is>
          <t>Academy length in minutes</t>
        </is>
      </c>
      <c r="E9" s="2" t="inlineStr">
        <is>
          <t>cfgTotalScheduledMinutes</t>
        </is>
      </c>
      <c r="F9" s="20">
        <f>IFERROR(ROUND(SUM(nrSCH_Hrs)*60,0),0)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 cap would be "&amp;TEXT(ROUND($F$9*cfgClassroomCapPct,0),"#,##0")&amp;" min")))</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after this many exams</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9" t="n">
        <v>0.4</v>
      </c>
      <c r="D16" s="2" t="inlineStr">
        <is>
          <t>Major exams weight</t>
        </is>
      </c>
      <c r="E16" s="2" t="inlineStr">
        <is>
          <t>cfgWeightMajor</t>
        </is>
      </c>
    </row>
    <row r="17">
      <c r="B17" s="3" t="inlineStr">
        <is>
          <t>Weight: Minor</t>
        </is>
      </c>
      <c r="C17" s="39" t="n">
        <v>0.3</v>
      </c>
      <c r="D17" s="2" t="inlineStr">
        <is>
          <t>Minor exams weight</t>
        </is>
      </c>
      <c r="E17" s="2" t="inlineStr">
        <is>
          <t>cfgWeightMinor</t>
        </is>
      </c>
    </row>
    <row r="18">
      <c r="B18" s="3" t="inlineStr">
        <is>
          <t>Weight: Spelling</t>
        </is>
      </c>
      <c r="C18" s="39" t="n">
        <v>0.1</v>
      </c>
      <c r="D18" s="2" t="inlineStr">
        <is>
          <t>Spelling weight</t>
        </is>
      </c>
      <c r="E18" s="2" t="inlineStr">
        <is>
          <t>cfgWeightSpelling</t>
        </is>
      </c>
    </row>
    <row r="19">
      <c r="B19" s="3" t="inlineStr">
        <is>
          <t>Weight: Final</t>
        </is>
      </c>
      <c r="C19" s="39"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Classroom Cap %</t>
        </is>
      </c>
      <c r="C21" s="40" t="n">
        <v>0.05</v>
      </c>
      <c r="D21" s="2" t="inlineStr">
        <is>
          <t>Attendance cap as % of total minutes</t>
        </is>
      </c>
      <c r="E21" s="2" t="inlineStr">
        <is>
          <t>cfgClassroomCapPct</t>
        </is>
      </c>
    </row>
    <row r="22">
      <c r="B22" s="3" t="inlineStr">
        <is>
          <t>PT Cap (sessions)</t>
        </is>
      </c>
      <c r="C22" s="16" t="n">
        <v>5</v>
      </c>
      <c r="D22" s="2" t="inlineStr">
        <is>
          <t>Max PT sessions missed</t>
        </is>
      </c>
      <c r="E22" s="2" t="inlineStr">
        <is>
          <t>cfgPTCapSessions</t>
        </is>
      </c>
    </row>
    <row r="23">
      <c r="B23" s="3" t="inlineStr">
        <is>
          <t>Attendance Advisory %</t>
        </is>
      </c>
      <c r="C23" s="39" t="n">
        <v>0.6</v>
      </c>
      <c r="D23" s="2" t="inlineStr">
        <is>
          <t>Tier 1 warning at this % of cap</t>
        </is>
      </c>
      <c r="E23" s="2" t="inlineStr">
        <is>
          <t>cfgAttendanceAdvisoryPct</t>
        </is>
      </c>
    </row>
    <row r="24">
      <c r="B24" s="3" t="inlineStr">
        <is>
          <t>Attendance Critical %</t>
        </is>
      </c>
      <c r="C24" s="39" t="n">
        <v>0.8</v>
      </c>
      <c r="D24" s="2" t="inlineStr">
        <is>
          <t>Tier 2 warning at this % of cap</t>
        </is>
      </c>
      <c r="E24" s="2" t="inlineStr">
        <is>
          <t>cfgAttendanceCriticalPct</t>
        </is>
      </c>
    </row>
    <row r="25">
      <c r="B25" s="3" t="inlineStr">
        <is>
          <t>Home Agency (gets all cadets)</t>
        </is>
      </c>
      <c r="C25" s="16" t="inlineStr">
        <is>
          <t>TPD</t>
        </is>
      </c>
      <c r="D25" s="2" t="inlineStr">
        <is>
          <t>Agency code whose email includes every cadet</t>
        </is>
      </c>
      <c r="E25" s="2" t="inlineStr">
        <is>
          <t>cfgHomeAgency</t>
        </is>
      </c>
    </row>
    <row r="26">
      <c r="B26" s="3" t="inlineStr">
        <is>
          <t>Current Exam # (for emails)</t>
        </is>
      </c>
      <c r="C26" s="16" t="n">
        <v>1</v>
      </c>
      <c r="D26" s="2" t="inlineStr">
        <is>
          <t>Sequence # of the exam to email</t>
        </is>
      </c>
      <c r="E26" s="2" t="inlineStr">
        <is>
          <t>cfgCurrentExamNum</t>
        </is>
      </c>
      <c r="F26" s="20">
        <f>IFERROR(MAX(_xlfn._xlws.FILTER(nrES_Seq,(nrES_Rec&lt;&gt;"")*(nrES_Seq&lt;&gt;""))),0)</f>
        <v/>
      </c>
      <c r="G26" s="2">
        <f>IF($F$26=0,"No exam scores posted yet",IF($C$26&gt;$F$26,"CHECK - set to Test "&amp;$C$26&amp;" but data only has Test "&amp;$F$26,IF($F$26&gt;$C$26,"CHECK - data shows Test "&amp;$F$26,"OK")))</f>
        <v/>
      </c>
    </row>
    <row r="27">
      <c r="B27" s="3" t="inlineStr">
        <is>
          <t>Current Spelling # (for emails)</t>
        </is>
      </c>
      <c r="C27" s="16" t="n">
        <v>1</v>
      </c>
      <c r="D27" s="2" t="inlineStr">
        <is>
          <t>Highest spelling test # administered</t>
        </is>
      </c>
      <c r="E27" s="2" t="inlineStr">
        <is>
          <t>cfgCurrentSpellingNum</t>
        </is>
      </c>
      <c r="F27" s="20">
        <f>MAX(SUMPRODUCT(MAX((nrSpellCounts&gt;0)*COLUMN(nrSpellCounts)))-COLUMN(Spelling!$D$1)+1,0)</f>
        <v/>
      </c>
      <c r="G27" s="2">
        <f>IF($C$27&lt;cfgCurrentExamNum,"CHECK - spelling will be OMITTED this run",IF($F$27&gt;$C$27,"CHECK - data shows Spelling "&amp;$F$27,"OK"))</f>
        <v/>
      </c>
    </row>
    <row r="28">
      <c r="B28" s="3" t="inlineStr">
        <is>
          <t>Writing Due Time</t>
        </is>
      </c>
      <c r="C28" s="16" t="inlineStr">
        <is>
          <t>1700</t>
        </is>
      </c>
      <c r="D28" s="2" t="inlineStr">
        <is>
          <t>Due time shown on handouts</t>
        </is>
      </c>
      <c r="E28" s="2" t="inlineStr">
        <is>
          <t>cfgWritingDueTime</t>
        </is>
      </c>
      <c r="F28" s="20">
        <f>IFERROR(TEXT(TIMEVALUE(LEFT(TEXT($C$28,"0000"),2)&amp;":"&amp;RIGHT(TEXT($C$28,"0000"),2)),"h:mm AM/PM"),"(unreadable)")</f>
        <v/>
      </c>
      <c r="G28" s="2">
        <f>IF($F$28="(unreadable)","CHECK - enter a 24-hour time as 4 digits (e.g. 1700). This is the due time printed on the Writing handout.","OK - shown on the WritingHandout Due column header")</f>
        <v/>
      </c>
    </row>
    <row r="29">
      <c r="B29" s="3" t="inlineStr">
        <is>
          <t>PT Final Min Points</t>
        </is>
      </c>
      <c r="C29" s="16" t="n">
        <v>0</v>
      </c>
      <c r="D29" s="2" t="inlineStr">
        <is>
          <t>Minimum points to pass final PT (set when rubric arrives)</t>
        </is>
      </c>
      <c r="E29" s="2" t="inlineStr">
        <is>
          <t>cfgPTFinalMinPoints</t>
        </is>
      </c>
    </row>
    <row r="30">
      <c r="B30" s="3" t="inlineStr">
        <is>
          <t>Flag: consecutive exam fails</t>
        </is>
      </c>
      <c r="C30" s="16" t="n">
        <v>2</v>
      </c>
      <c r="D30" s="2" t="inlineStr">
        <is>
          <t>Consecutive graded-exam scores below passing</t>
        </is>
      </c>
      <c r="E30" s="2" t="inlineStr">
        <is>
          <t>cfgFlagConsecFails</t>
        </is>
      </c>
    </row>
    <row r="31">
      <c r="B31" s="3" t="inlineStr">
        <is>
          <t>Flag: grade drop (points)</t>
        </is>
      </c>
      <c r="C31" s="16" t="n">
        <v>10</v>
      </c>
      <c r="D31" s="2" t="inlineStr">
        <is>
          <t>Drop in recorded score vs cadet's prior exam</t>
        </is>
      </c>
      <c r="E31" s="2" t="inlineStr">
        <is>
          <t>cfgFlagGradeDrop</t>
        </is>
      </c>
    </row>
    <row r="32">
      <c r="B32" s="3" t="inlineStr">
        <is>
          <t>Flag: category margin</t>
        </is>
      </c>
      <c r="C32" s="16" t="n">
        <v>5</v>
      </c>
      <c r="D32" s="2" t="inlineStr">
        <is>
          <t>Category avg within this many points of 70</t>
        </is>
      </c>
      <c r="E32" s="2" t="inlineStr">
        <is>
          <t>cfgFlagCategoryMargin</t>
        </is>
      </c>
    </row>
    <row r="33">
      <c r="B33" s="3" t="inlineStr">
        <is>
          <t>Flag: attendance % of cap</t>
        </is>
      </c>
      <c r="C33" s="39" t="n">
        <v>0.6</v>
      </c>
      <c r="D33" s="2" t="inlineStr">
        <is>
          <t>Classroom or PT usage at/over this % of cap</t>
        </is>
      </c>
      <c r="E33" s="2" t="inlineStr">
        <is>
          <t>cfgFlagAttendancePct</t>
        </is>
      </c>
    </row>
    <row r="34">
      <c r="B34" s="3" t="inlineStr">
        <is>
          <t>Flag: open negative incidents</t>
        </is>
      </c>
      <c r="C34" s="16" t="n">
        <v>2</v>
      </c>
      <c r="D34" s="2" t="inlineStr">
        <is>
          <t>Open negative incidents at/above this count</t>
        </is>
      </c>
      <c r="E34" s="2" t="inlineStr">
        <is>
          <t>cfgFlagOpenIncidents</t>
        </is>
      </c>
    </row>
    <row r="35">
      <c r="B35" s="3" t="inlineStr">
        <is>
          <t>Flag: overdue writing</t>
        </is>
      </c>
      <c r="C35" s="16" t="n">
        <v>1</v>
      </c>
      <c r="D35" s="2" t="inlineStr">
        <is>
          <t>Overdue writing assignments at/above this count</t>
        </is>
      </c>
      <c r="E35" s="2" t="inlineStr">
        <is>
          <t>cfgFlagOverdueWriting</t>
        </is>
      </c>
    </row>
    <row r="36">
      <c r="B36" s="3" t="inlineStr">
        <is>
          <t>Classroom Cap (minutes)</t>
        </is>
      </c>
      <c r="C36" s="41">
        <f>ROUND(cfgTotalScheduledMinutes*cfgClassroomCapPct,0)</f>
        <v/>
      </c>
      <c r="D36" s="2" t="inlineStr">
        <is>
          <t>CALCULATED</t>
        </is>
      </c>
      <c r="E36" s="2" t="inlineStr">
        <is>
          <t>cfgClassroomCapMinutes</t>
        </is>
      </c>
    </row>
    <row r="37">
      <c r="B37" s="3" t="inlineStr">
        <is>
          <t>Weights total (must = 100%)</t>
        </is>
      </c>
      <c r="C37" s="42">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(enter the approved chart when received; engine uses it as soon as points are present)</t>
        </is>
      </c>
      <c r="C41" s="8" t="n"/>
      <c r="D41" s="8" t="n"/>
      <c r="E41" s="8" t="n"/>
      <c r="F41" s="8" t="n"/>
      <c r="G41" s="8" t="n"/>
      <c r="H41" s="8" t="n"/>
      <c r="I41" s="8" t="n"/>
    </row>
    <row r="42" ht="26" customHeight="1">
      <c r="B42" s="12" t="inlineStr">
        <is>
          <t>Event</t>
        </is>
      </c>
      <c r="C42" s="12" t="inlineStr">
        <is>
          <t>Standard (baseline)</t>
        </is>
      </c>
      <c r="D42" s="12" t="inlineStr">
        <is>
          <t>Level 1 pts</t>
        </is>
      </c>
      <c r="E42" s="12" t="inlineStr">
        <is>
          <t>Level 2 pts</t>
        </is>
      </c>
      <c r="F42" s="12" t="inlineStr">
        <is>
          <t>Level 3 pts</t>
        </is>
      </c>
      <c r="G42" s="12" t="inlineStr">
        <is>
          <t>Level 4 pts</t>
        </is>
      </c>
      <c r="H42" s="12" t="inlineStr">
        <is>
          <t>Level 5 pts</t>
        </is>
      </c>
      <c r="I42" s="12" t="inlineStr">
        <is>
          <t>Level thresholds (notes)</t>
        </is>
      </c>
    </row>
    <row r="43">
      <c r="B43" s="3" t="inlineStr">
        <is>
          <t>Bench Press</t>
        </is>
      </c>
      <c r="C43" s="2" t="inlineStr">
        <is>
          <t>62% of body weight (1 rep)</t>
        </is>
      </c>
      <c r="D43" s="22" t="n"/>
      <c r="E43" s="22" t="n"/>
      <c r="F43" s="22" t="n"/>
      <c r="G43" s="22" t="n"/>
      <c r="H43" s="22" t="n"/>
      <c r="I43" s="22" t="n"/>
    </row>
    <row r="44">
      <c r="B44" s="3" t="inlineStr">
        <is>
          <t>Vertical Jump</t>
        </is>
      </c>
      <c r="C44" s="2" t="inlineStr">
        <is>
          <t>14.5 inches</t>
        </is>
      </c>
      <c r="D44" s="22" t="n"/>
      <c r="E44" s="22" t="n"/>
      <c r="F44" s="22" t="n"/>
      <c r="G44" s="22" t="n"/>
      <c r="H44" s="22" t="n"/>
      <c r="I44" s="22" t="n"/>
    </row>
    <row r="45">
      <c r="B45" s="3" t="inlineStr">
        <is>
          <t>Push-ups (1 min)</t>
        </is>
      </c>
      <c r="C45" s="2" t="inlineStr">
        <is>
          <t>18 reps</t>
        </is>
      </c>
      <c r="D45" s="22" t="n"/>
      <c r="E45" s="22" t="n"/>
      <c r="F45" s="22" t="n"/>
      <c r="G45" s="22" t="n"/>
      <c r="H45" s="22" t="n"/>
      <c r="I45" s="22" t="n"/>
    </row>
    <row r="46">
      <c r="B46" s="3" t="inlineStr">
        <is>
          <t>Sit-ups (1 min)</t>
        </is>
      </c>
      <c r="C46" s="2" t="inlineStr">
        <is>
          <t>16 reps</t>
        </is>
      </c>
      <c r="D46" s="22" t="n"/>
      <c r="E46" s="22" t="n"/>
      <c r="F46" s="22" t="n"/>
      <c r="G46" s="22" t="n"/>
      <c r="H46" s="22" t="n"/>
      <c r="I46" s="22" t="n"/>
    </row>
    <row r="47">
      <c r="B47" s="3" t="inlineStr">
        <is>
          <t>Illinois Agility</t>
        </is>
      </c>
      <c r="C47" s="2" t="inlineStr">
        <is>
          <t>under 22.0 seconds</t>
        </is>
      </c>
      <c r="D47" s="22" t="n"/>
      <c r="E47" s="22" t="n"/>
      <c r="F47" s="22" t="n"/>
      <c r="G47" s="22" t="n"/>
      <c r="H47" s="22" t="n"/>
      <c r="I47" s="22" t="n"/>
    </row>
    <row r="48">
      <c r="B48" s="3" t="inlineStr">
        <is>
          <t>1.5 Mile Run</t>
        </is>
      </c>
      <c r="C48" s="2" t="inlineStr">
        <is>
          <t>18:48 or less</t>
        </is>
      </c>
      <c r="D48" s="22" t="n"/>
      <c r="E48" s="22" t="n"/>
      <c r="F48" s="22" t="n"/>
      <c r="G48" s="22" t="n"/>
      <c r="H48" s="22" t="n"/>
      <c r="I48" s="22" t="n"/>
    </row>
    <row r="49">
      <c r="B49" s="3" t="inlineStr">
        <is>
          <t>300 Meter Run</t>
        </is>
      </c>
      <c r="C49" s="2" t="inlineStr">
        <is>
          <t>76 seconds or less</t>
        </is>
      </c>
      <c r="D49" s="22" t="n"/>
      <c r="E49" s="22" t="n"/>
      <c r="F49" s="22" t="n"/>
      <c r="G49" s="22" t="n"/>
      <c r="H49" s="22" t="n"/>
      <c r="I49" s="22" t="n"/>
    </row>
  </sheetData>
  <mergeCells count="1">
    <mergeCell ref="B41:I41"/>
  </mergeCell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IssueType</t>
        </is>
      </c>
      <c r="S5" s="12" t="inlineStr">
        <is>
          <t>Counseling Type</t>
        </is>
      </c>
      <c r="T5" s="12" t="inlineStr">
        <is>
          <t>Medical Status</t>
        </is>
      </c>
      <c r="U5" s="12" t="inlineStr">
        <is>
          <t>PT Session</t>
        </is>
      </c>
      <c r="V5" s="12" t="inlineStr">
        <is>
          <t>Award</t>
        </is>
      </c>
      <c r="W5" s="12" t="inlineStr">
        <is>
          <t>Instructor Type</t>
        </is>
      </c>
      <c r="X5" s="12" t="inlineStr">
        <is>
          <t>Materials Status</t>
        </is>
      </c>
      <c r="Y5" s="12" t="inlineStr">
        <is>
          <t>Requirement Source</t>
        </is>
      </c>
      <c r="Z5" s="12" t="inlineStr">
        <is>
          <t>Review Type</t>
        </is>
      </c>
      <c r="AA5" s="12" t="inlineStr">
        <is>
          <t>Review Outcome</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Absence</t>
        </is>
      </c>
      <c r="S6" s="16" t="inlineStr">
        <is>
          <t>Verbal Counseling</t>
        </is>
      </c>
      <c r="T6" s="16" t="inlineStr">
        <is>
          <t>Cleared - Full Duty</t>
        </is>
      </c>
      <c r="U6" s="16" t="inlineStr">
        <is>
          <t>Baseline</t>
        </is>
      </c>
      <c r="V6" s="16" t="inlineStr">
        <is>
          <t>Valedictorian</t>
        </is>
      </c>
      <c r="W6" s="16" t="inlineStr">
        <is>
          <t>TCOLE Instructor</t>
        </is>
      </c>
      <c r="X6" s="16" t="inlineStr">
        <is>
          <t>On File</t>
        </is>
      </c>
      <c r="Y6" s="16" t="inlineStr">
        <is>
          <t>TCOLE Rule</t>
        </is>
      </c>
      <c r="Z6" s="16" t="inlineStr">
        <is>
          <t>Dismissal Review</t>
        </is>
      </c>
      <c r="AA6" s="16" t="inlineStr">
        <is>
          <t>Pending</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Failure to Train</t>
        </is>
      </c>
      <c r="S7" s="16" t="inlineStr">
        <is>
          <t>Written Counseling</t>
        </is>
      </c>
      <c r="T7" s="16" t="inlineStr">
        <is>
          <t>Restricted</t>
        </is>
      </c>
      <c r="U7" s="16" t="inlineStr">
        <is>
          <t>Midpoint</t>
        </is>
      </c>
      <c r="V7" s="16" t="inlineStr">
        <is>
          <t>Physical Fitness</t>
        </is>
      </c>
      <c r="W7" s="16" t="inlineStr">
        <is>
          <t>SME (Letter on File)</t>
        </is>
      </c>
      <c r="X7" s="16" t="inlineStr">
        <is>
          <t>Requested</t>
        </is>
      </c>
      <c r="Y7" s="16" t="inlineStr">
        <is>
          <t>Academy Policy</t>
        </is>
      </c>
      <c r="Z7" s="16" t="inlineStr">
        <is>
          <t>Academic Review</t>
        </is>
      </c>
      <c r="AA7" s="16" t="inlineStr">
        <is>
          <t>Retained</t>
        </is>
      </c>
    </row>
    <row r="8">
      <c r="C8" s="16" t="inlineStr">
        <is>
          <t>Graduated</t>
        </is>
      </c>
      <c r="D8" s="16" t="inlineStr">
        <is>
          <t>Spelling</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R8" s="16" t="inlineStr">
        <is>
          <t>Deficiency</t>
        </is>
      </c>
      <c r="S8" s="16" t="inlineStr">
        <is>
          <t>Tutoring</t>
        </is>
      </c>
      <c r="T8" s="16" t="inlineStr">
        <is>
          <t>Pending Eval</t>
        </is>
      </c>
      <c r="U8" s="16" t="inlineStr">
        <is>
          <t>Final</t>
        </is>
      </c>
      <c r="V8" s="16" t="inlineStr">
        <is>
          <t>Top Gun</t>
        </is>
      </c>
      <c r="W8" s="16" t="inlineStr">
        <is>
          <t>SME (Letter Needed)</t>
        </is>
      </c>
      <c r="X8" s="16" t="inlineStr">
        <is>
          <t>Missing</t>
        </is>
      </c>
      <c r="Z8" s="16" t="inlineStr">
        <is>
          <t>Conduct Review</t>
        </is>
      </c>
      <c r="AA8" s="16" t="inlineStr">
        <is>
          <t>Separated</t>
        </is>
      </c>
    </row>
    <row r="9">
      <c r="C9" s="16" t="inlineStr">
        <is>
          <t>On Leave</t>
        </is>
      </c>
      <c r="D9" s="16" t="inlineStr">
        <is>
          <t>Final</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R9" s="16" t="inlineStr">
        <is>
          <t>Conduct</t>
        </is>
      </c>
      <c r="S9" s="16" t="inlineStr">
        <is>
          <t>Remedial Training</t>
        </is>
      </c>
      <c r="T9" s="16" t="inlineStr">
        <is>
          <t>Expired</t>
        </is>
      </c>
      <c r="V9" s="16" t="inlineStr">
        <is>
          <t>Grit</t>
        </is>
      </c>
      <c r="W9" s="16" t="inlineStr">
        <is>
          <t>Guest/Outside</t>
        </is>
      </c>
      <c r="X9" s="16" t="inlineStr">
        <is>
          <t>N/A</t>
        </is>
      </c>
      <c r="AA9" s="16" t="inlineStr">
        <is>
          <t>Retained w/ Plan</t>
        </is>
      </c>
    </row>
    <row r="10">
      <c r="E10" s="16" t="inlineStr">
        <is>
          <t>Absent Full Day</t>
        </is>
      </c>
      <c r="F10" s="16" t="inlineStr">
        <is>
          <t>Military</t>
        </is>
      </c>
      <c r="M10" s="16" t="inlineStr">
        <is>
          <t>Critical</t>
        </is>
      </c>
      <c r="O10" s="16" t="inlineStr">
        <is>
          <t>Other</t>
        </is>
      </c>
      <c r="Q10" s="16" t="inlineStr">
        <is>
          <t>5</t>
        </is>
      </c>
      <c r="R10" s="16" t="inlineStr">
        <is>
          <t>Injury</t>
        </is>
      </c>
      <c r="S10" s="16" t="inlineStr">
        <is>
          <t>Agency Notification</t>
        </is>
      </c>
    </row>
    <row r="11">
      <c r="E11" s="16" t="inlineStr">
        <is>
          <t>Absent Partial Day</t>
        </is>
      </c>
      <c r="F11" s="16" t="inlineStr">
        <is>
          <t>Disciplinary</t>
        </is>
      </c>
      <c r="R11" s="16" t="inlineStr">
        <is>
          <t>Equipment</t>
        </is>
      </c>
      <c r="S11" s="16" t="inlineStr">
        <is>
          <t>Performance Plan</t>
        </is>
      </c>
    </row>
    <row r="12">
      <c r="E12" s="16" t="inlineStr">
        <is>
          <t>PT Missed</t>
        </is>
      </c>
      <c r="F12" s="16" t="inlineStr">
        <is>
          <t>Other</t>
        </is>
      </c>
      <c r="R12" s="16" t="inlineStr">
        <is>
          <t>Other</t>
        </is>
      </c>
      <c r="S12" s="16" t="inlineStr">
        <is>
          <t>Commendation</t>
        </is>
      </c>
    </row>
    <row r="13">
      <c r="E13" s="16" t="inlineStr">
        <is>
          <t>PT Modified</t>
        </is>
      </c>
      <c r="S13" s="16" t="inlineStr">
        <is>
          <t>Other</t>
        </is>
      </c>
    </row>
    <row r="14">
      <c r="E14" s="16" t="inlineStr">
        <is>
          <t>PT Refused</t>
        </is>
      </c>
    </row>
  </sheetData>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M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row>
    <row r="6">
      <c r="B6" s="16" t="inlineStr">
        <is>
          <t>Tyler Pride</t>
        </is>
      </c>
      <c r="C6" s="16" t="n"/>
      <c r="D6" s="16" t="n"/>
      <c r="E6" s="16" t="n"/>
      <c r="F6" s="16" t="n"/>
      <c r="G6" s="18" t="n"/>
      <c r="H6" s="16" t="n"/>
      <c r="I6" s="16" t="n"/>
      <c r="J6" s="16" t="n"/>
      <c r="K6" s="17">
        <f>IF($B6="","",IF($E6="Guest/Outside","N/A",IF(AND(OR($E6="TCOLE Instructor",AND(LEFT($E6,3)="SME",$H6="On File")),OR($I6="On File",$I6="N/A")),"Yes","No")))</f>
        <v/>
      </c>
      <c r="L6" s="17">
        <f>IF($B6="","",IF(SUMPRODUCT(--ISNUMBER(SEARCH($B6,nrSCH_Instr)))&gt;0,"Yes",""))</f>
        <v/>
      </c>
      <c r="M6" s="17">
        <f>IF($B6="","",IFERROR(_xlfn.LET(_xlpm.v,_xlfn.UNIQUE(_xlfn._xlws.FILTER(nrSCH_ChNum,ISNUMBER(SEARCH($B6,nrSCH_Instr))*(nrSCH_ChNum&lt;&gt;""))),_xlfn.TEXTJOIN(", ",TRUE,_xlfn.SORTBY(_xlpm.v,IFERROR(_xlpm.v+0,99999),1))),""))</f>
        <v/>
      </c>
    </row>
    <row r="7">
      <c r="B7" s="16" t="inlineStr">
        <is>
          <t>Trey Edwards</t>
        </is>
      </c>
      <c r="C7" s="16" t="n"/>
      <c r="D7" s="16" t="n"/>
      <c r="E7" s="16" t="n"/>
      <c r="F7" s="16" t="n"/>
      <c r="G7" s="18" t="n"/>
      <c r="H7" s="16" t="n"/>
      <c r="I7" s="16" t="n"/>
      <c r="J7" s="16" t="n"/>
      <c r="K7" s="17">
        <f>IF($B7="","",IF($E7="Guest/Outside","N/A",IF(AND(OR($E7="TCOLE Instructor",AND(LEFT($E7,3)="SME",$H7="On File")),OR($I7="On File",$I7="N/A")),"Yes","No")))</f>
        <v/>
      </c>
      <c r="L7" s="17">
        <f>IF($B7="","",IF(SUMPRODUCT(--ISNUMBER(SEARCH($B7,nrSCH_Instr)))&gt;0,"Yes",""))</f>
        <v/>
      </c>
      <c r="M7" s="17">
        <f>IF($B7="","",IFERROR(_xlfn.LET(_xlpm.v,_xlfn.UNIQUE(_xlfn._xlws.FILTER(nrSCH_ChNum,ISNUMBER(SEARCH($B7,nrSCH_Instr))*(nrSCH_ChNum&lt;&gt;""))),_xlfn.TEXTJOIN(", ",TRUE,_xlfn.SORTBY(_xlpm.v,IFERROR(_xlpm.v+0,99999),1))),""))</f>
        <v/>
      </c>
    </row>
    <row r="8">
      <c r="B8" s="16" t="inlineStr">
        <is>
          <t>Judson Moore</t>
        </is>
      </c>
      <c r="C8" s="16" t="n"/>
      <c r="D8" s="16" t="n"/>
      <c r="E8" s="16" t="n"/>
      <c r="F8" s="16" t="n"/>
      <c r="G8" s="18" t="n"/>
      <c r="H8" s="16" t="n"/>
      <c r="I8" s="16" t="n"/>
      <c r="J8" s="16" t="n"/>
      <c r="K8" s="17">
        <f>IF($B8="","",IF($E8="Guest/Outside","N/A",IF(AND(OR($E8="TCOLE Instructor",AND(LEFT($E8,3)="SME",$H8="On File")),OR($I8="On File",$I8="N/A")),"Yes","No")))</f>
        <v/>
      </c>
      <c r="L8" s="17">
        <f>IF($B8="","",IF(SUMPRODUCT(--ISNUMBER(SEARCH($B8,nrSCH_Instr)))&gt;0,"Yes",""))</f>
        <v/>
      </c>
      <c r="M8" s="17">
        <f>IF($B8="","",IFERROR(_xlfn.LET(_xlpm.v,_xlfn.UNIQUE(_xlfn._xlws.FILTER(nrSCH_ChNum,ISNUMBER(SEARCH($B8,nrSCH_Instr))*(nrSCH_ChNum&lt;&gt;""))),_xlfn.TEXTJOIN(", ",TRUE,_xlfn.SORTBY(_xlpm.v,IFERROR(_xlpm.v+0,99999),1))),""))</f>
        <v/>
      </c>
    </row>
    <row r="9">
      <c r="B9" s="16" t="inlineStr">
        <is>
          <t>Keven Fite</t>
        </is>
      </c>
      <c r="C9" s="16" t="n"/>
      <c r="D9" s="16" t="n"/>
      <c r="E9" s="16" t="n"/>
      <c r="F9" s="16" t="n"/>
      <c r="G9" s="18" t="n"/>
      <c r="H9" s="16" t="n"/>
      <c r="I9" s="16" t="n"/>
      <c r="J9" s="16" t="n"/>
      <c r="K9" s="17">
        <f>IF($B9="","",IF($E9="Guest/Outside","N/A",IF(AND(OR($E9="TCOLE Instructor",AND(LEFT($E9,3)="SME",$H9="On File")),OR($I9="On File",$I9="N/A")),"Yes","No")))</f>
        <v/>
      </c>
      <c r="L9" s="17">
        <f>IF($B9="","",IF(SUMPRODUCT(--ISNUMBER(SEARCH($B9,nrSCH_Instr)))&gt;0,"Yes",""))</f>
        <v/>
      </c>
      <c r="M9" s="17">
        <f>IF($B9="","",IFERROR(_xlfn.LET(_xlpm.v,_xlfn.UNIQUE(_xlfn._xlws.FILTER(nrSCH_ChNum,ISNUMBER(SEARCH($B9,nrSCH_Instr))*(nrSCH_ChNum&lt;&gt;""))),_xlfn.TEXTJOIN(", ",TRUE,_xlfn.SORTBY(_xlpm.v,IFERROR(_xlpm.v+0,99999),1))),""))</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File",$I10="N/A")),"Yes","No")))</f>
        <v/>
      </c>
      <c r="L10" s="17">
        <f>IF($B10="","",IF(SUMPRODUCT(--ISNUMBER(SEARCH($B10,nrSCH_Instr)))&gt;0,"Yes",""))</f>
        <v/>
      </c>
      <c r="M10" s="17">
        <f>IF($B10="","",IFERROR(_xlfn.LET(_xlpm.v,_xlfn.UNIQUE(_xlfn._xlws.FILTER(nrSCH_ChNum,ISNUMBER(SEARCH($B10,nrSCH_Instr))*(nrSCH_ChNum&lt;&gt;""))),_xlfn.TEXTJOIN(", ",TRUE,_xlfn.SORTBY(_xlpm.v,IFERROR(_xlpm.v+0,99999),1))),""))</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File",$I11="N/A")),"Yes","No")))</f>
        <v/>
      </c>
      <c r="L11" s="17">
        <f>IF($B11="","",IF(SUMPRODUCT(--ISNUMBER(SEARCH($B11,nrSCH_Instr)))&gt;0,"Yes",""))</f>
        <v/>
      </c>
      <c r="M11" s="17">
        <f>IF($B11="","",IFERROR(_xlfn.LET(_xlpm.v,_xlfn.UNIQUE(_xlfn._xlws.FILTER(nrSCH_ChNum,ISNUMBER(SEARCH($B11,nrSCH_Instr))*(nrSCH_ChNum&lt;&gt;""))),_xlfn.TEXTJOIN(", ",TRUE,_xlfn.SORTBY(_xlpm.v,IFERROR(_xlpm.v+0,99999),1))),""))</f>
        <v/>
      </c>
    </row>
    <row r="12">
      <c r="B12" s="16" t="inlineStr">
        <is>
          <t>Mike Malone</t>
        </is>
      </c>
      <c r="C12" s="16" t="n"/>
      <c r="D12" s="16" t="n"/>
      <c r="E12" s="16" t="n"/>
      <c r="F12" s="16" t="n"/>
      <c r="G12" s="18" t="n"/>
      <c r="H12" s="16" t="n"/>
      <c r="I12" s="16" t="n"/>
      <c r="J12" s="16" t="n"/>
      <c r="K12" s="17">
        <f>IF($B12="","",IF($E12="Guest/Outside","N/A",IF(AND(OR($E12="TCOLE Instructor",AND(LEFT($E12,3)="SME",$H12="On File")),OR($I12="On File",$I12="N/A")),"Yes","No")))</f>
        <v/>
      </c>
      <c r="L12" s="17">
        <f>IF($B12="","",IF(SUMPRODUCT(--ISNUMBER(SEARCH($B12,nrSCH_Instr)))&gt;0,"Yes",""))</f>
        <v/>
      </c>
      <c r="M12" s="17">
        <f>IF($B12="","",IFERROR(_xlfn.LET(_xlpm.v,_xlfn.UNIQUE(_xlfn._xlws.FILTER(nrSCH_ChNum,ISNUMBER(SEARCH($B12,nrSCH_Instr))*(nrSCH_ChNum&lt;&gt;""))),_xlfn.TEXTJOIN(", ",TRUE,_xlfn.SORTBY(_xlpm.v,IFERROR(_xlpm.v+0,99999),1))),""))</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File",$I13="N/A")),"Yes","No")))</f>
        <v/>
      </c>
      <c r="L13" s="17">
        <f>IF($B13="","",IF(SUMPRODUCT(--ISNUMBER(SEARCH($B13,nrSCH_Instr)))&gt;0,"Yes",""))</f>
        <v/>
      </c>
      <c r="M13" s="17">
        <f>IF($B13="","",IFERROR(_xlfn.LET(_xlpm.v,_xlfn.UNIQUE(_xlfn._xlws.FILTER(nrSCH_ChNum,ISNUMBER(SEARCH($B13,nrSCH_Instr))*(nrSCH_ChNum&lt;&gt;""))),_xlfn.TEXTJOIN(", ",TRUE,_xlfn.SORTBY(_xlpm.v,IFERROR(_xlpm.v+0,99999),1))),""))</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File",$I14="N/A")),"Yes","No")))</f>
        <v/>
      </c>
      <c r="L14" s="17">
        <f>IF($B14="","",IF(SUMPRODUCT(--ISNUMBER(SEARCH($B14,nrSCH_Instr)))&gt;0,"Yes",""))</f>
        <v/>
      </c>
      <c r="M14" s="17">
        <f>IF($B14="","",IFERROR(_xlfn.LET(_xlpm.v,_xlfn.UNIQUE(_xlfn._xlws.FILTER(nrSCH_ChNum,ISNUMBER(SEARCH($B14,nrSCH_Instr))*(nrSCH_ChNum&lt;&gt;""))),_xlfn.TEXTJOIN(", ",TRUE,_xlfn.SORTBY(_xlpm.v,IFERROR(_xlpm.v+0,99999),1))),""))</f>
        <v/>
      </c>
    </row>
    <row r="15">
      <c r="B15" s="16" t="inlineStr">
        <is>
          <t>April Molina</t>
        </is>
      </c>
      <c r="C15" s="16" t="n"/>
      <c r="D15" s="16" t="n"/>
      <c r="E15" s="16" t="n"/>
      <c r="F15" s="16" t="n"/>
      <c r="G15" s="18" t="n"/>
      <c r="H15" s="16" t="n"/>
      <c r="I15" s="16" t="n"/>
      <c r="J15" s="16" t="n"/>
      <c r="K15" s="17">
        <f>IF($B15="","",IF($E15="Guest/Outside","N/A",IF(AND(OR($E15="TCOLE Instructor",AND(LEFT($E15,3)="SME",$H15="On File")),OR($I15="On File",$I15="N/A")),"Yes","No")))</f>
        <v/>
      </c>
      <c r="L15" s="17">
        <f>IF($B15="","",IF(SUMPRODUCT(--ISNUMBER(SEARCH($B15,nrSCH_Instr)))&gt;0,"Yes",""))</f>
        <v/>
      </c>
      <c r="M15" s="17">
        <f>IF($B15="","",IFERROR(_xlfn.LET(_xlpm.v,_xlfn.UNIQUE(_xlfn._xlws.FILTER(nrSCH_ChNum,ISNUMBER(SEARCH($B15,nrSCH_Instr))*(nrSCH_ChNum&lt;&gt;""))),_xlfn.TEXTJOIN(", ",TRUE,_xlfn.SORTBY(_xlpm.v,IFERROR(_xlpm.v+0,99999),1))),""))</f>
        <v/>
      </c>
    </row>
    <row r="16">
      <c r="B16" s="16" t="inlineStr">
        <is>
          <t>James Goodman</t>
        </is>
      </c>
      <c r="C16" s="16" t="n"/>
      <c r="D16" s="16" t="n"/>
      <c r="E16" s="16" t="n"/>
      <c r="F16" s="16" t="n"/>
      <c r="G16" s="18" t="n"/>
      <c r="H16" s="16" t="n"/>
      <c r="I16" s="16" t="n"/>
      <c r="J16" s="16" t="n"/>
      <c r="K16" s="17">
        <f>IF($B16="","",IF($E16="Guest/Outside","N/A",IF(AND(OR($E16="TCOLE Instructor",AND(LEFT($E16,3)="SME",$H16="On File")),OR($I16="On File",$I16="N/A")),"Yes","No")))</f>
        <v/>
      </c>
      <c r="L16" s="17">
        <f>IF($B16="","",IF(SUMPRODUCT(--ISNUMBER(SEARCH($B16,nrSCH_Instr)))&gt;0,"Yes",""))</f>
        <v/>
      </c>
      <c r="M16" s="17">
        <f>IF($B16="","",IFERROR(_xlfn.LET(_xlpm.v,_xlfn.UNIQUE(_xlfn._xlws.FILTER(nrSCH_ChNum,ISNUMBER(SEARCH($B16,nrSCH_Instr))*(nrSCH_ChNum&lt;&gt;""))),_xlfn.TEXTJOIN(", ",TRUE,_xlfn.SORTBY(_xlpm.v,IFERROR(_xlpm.v+0,99999),1))),""))</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File",$I17="N/A")),"Yes","No")))</f>
        <v/>
      </c>
      <c r="L17" s="17">
        <f>IF($B17="","",IF(SUMPRODUCT(--ISNUMBER(SEARCH($B17,nrSCH_Instr)))&gt;0,"Yes",""))</f>
        <v/>
      </c>
      <c r="M17" s="17">
        <f>IF($B17="","",IFERROR(_xlfn.LET(_xlpm.v,_xlfn.UNIQUE(_xlfn._xlws.FILTER(nrSCH_ChNum,ISNUMBER(SEARCH($B17,nrSCH_Instr))*(nrSCH_ChNum&lt;&gt;""))),_xlfn.TEXTJOIN(", ",TRUE,_xlfn.SORTBY(_xlpm.v,IFERROR(_xlpm.v+0,99999),1))),""))</f>
        <v/>
      </c>
    </row>
    <row r="18">
      <c r="B18" s="16" t="inlineStr">
        <is>
          <t>Ethan Johnson</t>
        </is>
      </c>
      <c r="C18" s="16" t="n"/>
      <c r="D18" s="16" t="n"/>
      <c r="E18" s="16" t="n"/>
      <c r="F18" s="16" t="n"/>
      <c r="G18" s="18" t="n"/>
      <c r="H18" s="16" t="n"/>
      <c r="I18" s="16" t="n"/>
      <c r="J18" s="16" t="n"/>
      <c r="K18" s="17">
        <f>IF($B18="","",IF($E18="Guest/Outside","N/A",IF(AND(OR($E18="TCOLE Instructor",AND(LEFT($E18,3)="SME",$H18="On File")),OR($I18="On File",$I18="N/A")),"Yes","No")))</f>
        <v/>
      </c>
      <c r="L18" s="17">
        <f>IF($B18="","",IF(SUMPRODUCT(--ISNUMBER(SEARCH($B18,nrSCH_Instr)))&gt;0,"Yes",""))</f>
        <v/>
      </c>
      <c r="M18" s="17">
        <f>IF($B18="","",IFERROR(_xlfn.LET(_xlpm.v,_xlfn.UNIQUE(_xlfn._xlws.FILTER(nrSCH_ChNum,ISNUMBER(SEARCH($B18,nrSCH_Instr))*(nrSCH_ChNum&lt;&gt;""))),_xlfn.TEXTJOIN(", ",TRUE,_xlfn.SORTBY(_xlpm.v,IFERROR(_xlpm.v+0,99999),1))),""))</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File",$I19="N/A")),"Yes","No")))</f>
        <v/>
      </c>
      <c r="L19" s="17">
        <f>IF($B19="","",IF(SUMPRODUCT(--ISNUMBER(SEARCH($B19,nrSCH_Instr)))&gt;0,"Yes",""))</f>
        <v/>
      </c>
      <c r="M19" s="17">
        <f>IF($B19="","",IFERROR(_xlfn.LET(_xlpm.v,_xlfn.UNIQUE(_xlfn._xlws.FILTER(nrSCH_ChNum,ISNUMBER(SEARCH($B19,nrSCH_Instr))*(nrSCH_ChNum&lt;&gt;""))),_xlfn.TEXTJOIN(", ",TRUE,_xlfn.SORTBY(_xlpm.v,IFERROR(_xlpm.v+0,99999),1))),""))</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File",$I20="N/A")),"Yes","No")))</f>
        <v/>
      </c>
      <c r="L20" s="17">
        <f>IF($B20="","",IF(SUMPRODUCT(--ISNUMBER(SEARCH($B20,nrSCH_Instr)))&gt;0,"Yes",""))</f>
        <v/>
      </c>
      <c r="M20" s="17">
        <f>IF($B20="","",IFERROR(_xlfn.LET(_xlpm.v,_xlfn.UNIQUE(_xlfn._xlws.FILTER(nrSCH_ChNum,ISNUMBER(SEARCH($B20,nrSCH_Instr))*(nrSCH_ChNum&lt;&gt;""))),_xlfn.TEXTJOIN(", ",TRUE,_xlfn.SORTBY(_xlpm.v,IFERROR(_xlpm.v+0,99999),1))),""))</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File",$I21="N/A")),"Yes","No")))</f>
        <v/>
      </c>
      <c r="L21" s="17">
        <f>IF($B21="","",IF(SUMPRODUCT(--ISNUMBER(SEARCH($B21,nrSCH_Instr)))&gt;0,"Yes",""))</f>
        <v/>
      </c>
      <c r="M21" s="17">
        <f>IF($B21="","",IFERROR(_xlfn.LET(_xlpm.v,_xlfn.UNIQUE(_xlfn._xlws.FILTER(nrSCH_ChNum,ISNUMBER(SEARCH($B21,nrSCH_Instr))*(nrSCH_ChNum&lt;&gt;""))),_xlfn.TEXTJOIN(", ",TRUE,_xlfn.SORTBY(_xlpm.v,IFERROR(_xlpm.v+0,99999),1))),""))</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File",$I22="N/A")),"Yes","No")))</f>
        <v/>
      </c>
      <c r="L22" s="17">
        <f>IF($B22="","",IF(SUMPRODUCT(--ISNUMBER(SEARCH($B22,nrSCH_Instr)))&gt;0,"Yes",""))</f>
        <v/>
      </c>
      <c r="M22" s="17">
        <f>IF($B22="","",IFERROR(_xlfn.LET(_xlpm.v,_xlfn.UNIQUE(_xlfn._xlws.FILTER(nrSCH_ChNum,ISNUMBER(SEARCH($B22,nrSCH_Instr))*(nrSCH_ChNum&lt;&gt;""))),_xlfn.TEXTJOIN(", ",TRUE,_xlfn.SORTBY(_xlpm.v,IFERROR(_xlpm.v+0,99999),1))),""))</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File",$I23="N/A")),"Yes","No")))</f>
        <v/>
      </c>
      <c r="L23" s="17">
        <f>IF($B23="","",IF(SUMPRODUCT(--ISNUMBER(SEARCH($B23,nrSCH_Instr)))&gt;0,"Yes",""))</f>
        <v/>
      </c>
      <c r="M23" s="17">
        <f>IF($B23="","",IFERROR(_xlfn.LET(_xlpm.v,_xlfn.UNIQUE(_xlfn._xlws.FILTER(nrSCH_ChNum,ISNUMBER(SEARCH($B23,nrSCH_Instr))*(nrSCH_ChNum&lt;&gt;""))),_xlfn.TEXTJOIN(", ",TRUE,_xlfn.SORTBY(_xlpm.v,IFERROR(_xlpm.v+0,99999),1))),""))</f>
        <v/>
      </c>
    </row>
    <row r="24">
      <c r="B24" s="16" t="inlineStr">
        <is>
          <t>Andy Erbaugh</t>
        </is>
      </c>
      <c r="C24" s="16" t="n"/>
      <c r="D24" s="16" t="n"/>
      <c r="E24" s="16" t="n"/>
      <c r="F24" s="16" t="n"/>
      <c r="G24" s="18" t="n"/>
      <c r="H24" s="16" t="n"/>
      <c r="I24" s="16" t="n"/>
      <c r="J24" s="16" t="n"/>
      <c r="K24" s="17">
        <f>IF($B24="","",IF($E24="Guest/Outside","N/A",IF(AND(OR($E24="TCOLE Instructor",AND(LEFT($E24,3)="SME",$H24="On File")),OR($I24="On File",$I24="N/A")),"Yes","No")))</f>
        <v/>
      </c>
      <c r="L24" s="17">
        <f>IF($B24="","",IF(SUMPRODUCT(--ISNUMBER(SEARCH($B24,nrSCH_Instr)))&gt;0,"Yes",""))</f>
        <v/>
      </c>
      <c r="M24" s="17">
        <f>IF($B24="","",IFERROR(_xlfn.LET(_xlpm.v,_xlfn.UNIQUE(_xlfn._xlws.FILTER(nrSCH_ChNum,ISNUMBER(SEARCH($B24,nrSCH_Instr))*(nrSCH_ChNum&lt;&gt;""))),_xlfn.TEXTJOIN(", ",TRUE,_xlfn.SORTBY(_xlpm.v,IFERROR(_xlpm.v+0,99999),1))),""))</f>
        <v/>
      </c>
    </row>
    <row r="25">
      <c r="B25" s="16" t="inlineStr">
        <is>
          <t>JH Burge</t>
        </is>
      </c>
      <c r="C25" s="16" t="n"/>
      <c r="D25" s="16" t="n"/>
      <c r="E25" s="16" t="n"/>
      <c r="F25" s="16" t="n"/>
      <c r="G25" s="18" t="n"/>
      <c r="H25" s="16" t="n"/>
      <c r="I25" s="16" t="n"/>
      <c r="J25" s="16" t="n"/>
      <c r="K25" s="17">
        <f>IF($B25="","",IF($E25="Guest/Outside","N/A",IF(AND(OR($E25="TCOLE Instructor",AND(LEFT($E25,3)="SME",$H25="On File")),OR($I25="On File",$I25="N/A")),"Yes","No")))</f>
        <v/>
      </c>
      <c r="L25" s="17">
        <f>IF($B25="","",IF(SUMPRODUCT(--ISNUMBER(SEARCH($B25,nrSCH_Instr)))&gt;0,"Yes",""))</f>
        <v/>
      </c>
      <c r="M25" s="17">
        <f>IF($B25="","",IFERROR(_xlfn.LET(_xlpm.v,_xlfn.UNIQUE(_xlfn._xlws.FILTER(nrSCH_ChNum,ISNUMBER(SEARCH($B25,nrSCH_Instr))*(nrSCH_ChNum&lt;&gt;""))),_xlfn.TEXTJOIN(", ",TRUE,_xlfn.SORTBY(_xlpm.v,IFERROR(_xlpm.v+0,99999),1))),""))</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File",$I26="N/A")),"Yes","No")))</f>
        <v/>
      </c>
      <c r="L26" s="17">
        <f>IF($B26="","",IF(SUMPRODUCT(--ISNUMBER(SEARCH($B26,nrSCH_Instr)))&gt;0,"Yes",""))</f>
        <v/>
      </c>
      <c r="M26" s="17">
        <f>IF($B26="","",IFERROR(_xlfn.LET(_xlpm.v,_xlfn.UNIQUE(_xlfn._xlws.FILTER(nrSCH_ChNum,ISNUMBER(SEARCH($B26,nrSCH_Instr))*(nrSCH_ChNum&lt;&gt;""))),_xlfn.TEXTJOIN(", ",TRUE,_xlfn.SORTBY(_xlpm.v,IFERROR(_xlpm.v+0,99999),1))),""))</f>
        <v/>
      </c>
    </row>
    <row r="27">
      <c r="B27" s="16" t="inlineStr">
        <is>
          <t>Jim Holt</t>
        </is>
      </c>
      <c r="C27" s="16" t="n"/>
      <c r="D27" s="16" t="n"/>
      <c r="E27" s="16" t="n"/>
      <c r="F27" s="16" t="n"/>
      <c r="G27" s="18" t="n"/>
      <c r="H27" s="16" t="n"/>
      <c r="I27" s="16" t="n"/>
      <c r="J27" s="16" t="n"/>
      <c r="K27" s="17">
        <f>IF($B27="","",IF($E27="Guest/Outside","N/A",IF(AND(OR($E27="TCOLE Instructor",AND(LEFT($E27,3)="SME",$H27="On File")),OR($I27="On File",$I27="N/A")),"Yes","No")))</f>
        <v/>
      </c>
      <c r="L27" s="17">
        <f>IF($B27="","",IF(SUMPRODUCT(--ISNUMBER(SEARCH($B27,nrSCH_Instr)))&gt;0,"Yes",""))</f>
        <v/>
      </c>
      <c r="M27" s="17">
        <f>IF($B27="","",IFERROR(_xlfn.LET(_xlpm.v,_xlfn.UNIQUE(_xlfn._xlws.FILTER(nrSCH_ChNum,ISNUMBER(SEARCH($B27,nrSCH_Instr))*(nrSCH_ChNum&lt;&gt;""))),_xlfn.TEXTJOIN(", ",TRUE,_xlfn.SORTBY(_xlpm.v,IFERROR(_xlpm.v+0,99999),1))),""))</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File",$I28="N/A")),"Yes","No")))</f>
        <v/>
      </c>
      <c r="L28" s="17">
        <f>IF($B28="","",IF(SUMPRODUCT(--ISNUMBER(SEARCH($B28,nrSCH_Instr)))&gt;0,"Yes",""))</f>
        <v/>
      </c>
      <c r="M28" s="17">
        <f>IF($B28="","",IFERROR(_xlfn.LET(_xlpm.v,_xlfn.UNIQUE(_xlfn._xlws.FILTER(nrSCH_ChNum,ISNUMBER(SEARCH($B28,nrSCH_Instr))*(nrSCH_ChNum&lt;&gt;""))),_xlfn.TEXTJOIN(", ",TRUE,_xlfn.SORTBY(_xlpm.v,IFERROR(_xlpm.v+0,99999),1))),""))</f>
        <v/>
      </c>
    </row>
    <row r="29">
      <c r="B29" s="16" t="inlineStr">
        <is>
          <t>Luke Shafer</t>
        </is>
      </c>
      <c r="C29" s="16" t="n"/>
      <c r="D29" s="16" t="n"/>
      <c r="E29" s="16" t="n"/>
      <c r="F29" s="16" t="n"/>
      <c r="G29" s="18" t="n"/>
      <c r="H29" s="16" t="n"/>
      <c r="I29" s="16" t="n"/>
      <c r="J29" s="16" t="n"/>
      <c r="K29" s="17">
        <f>IF($B29="","",IF($E29="Guest/Outside","N/A",IF(AND(OR($E29="TCOLE Instructor",AND(LEFT($E29,3)="SME",$H29="On File")),OR($I29="On File",$I29="N/A")),"Yes","No")))</f>
        <v/>
      </c>
      <c r="L29" s="17">
        <f>IF($B29="","",IF(SUMPRODUCT(--ISNUMBER(SEARCH($B29,nrSCH_Instr)))&gt;0,"Yes",""))</f>
        <v/>
      </c>
      <c r="M29" s="17">
        <f>IF($B29="","",IFERROR(_xlfn.LET(_xlpm.v,_xlfn.UNIQUE(_xlfn._xlws.FILTER(nrSCH_ChNum,ISNUMBER(SEARCH($B29,nrSCH_Instr))*(nrSCH_ChNum&lt;&gt;""))),_xlfn.TEXTJOIN(", ",TRUE,_xlfn.SORTBY(_xlpm.v,IFERROR(_xlpm.v+0,99999),1))),""))</f>
        <v/>
      </c>
    </row>
    <row r="30">
      <c r="B30" s="16" t="inlineStr">
        <is>
          <t>Luis Aparicio</t>
        </is>
      </c>
      <c r="C30" s="16" t="n"/>
      <c r="D30" s="16" t="n"/>
      <c r="E30" s="16" t="n"/>
      <c r="F30" s="16" t="n"/>
      <c r="G30" s="18" t="n"/>
      <c r="H30" s="16" t="n"/>
      <c r="I30" s="16" t="n"/>
      <c r="J30" s="16" t="n"/>
      <c r="K30" s="17">
        <f>IF($B30="","",IF($E30="Guest/Outside","N/A",IF(AND(OR($E30="TCOLE Instructor",AND(LEFT($E30,3)="SME",$H30="On File")),OR($I30="On File",$I30="N/A")),"Yes","No")))</f>
        <v/>
      </c>
      <c r="L30" s="17">
        <f>IF($B30="","",IF(SUMPRODUCT(--ISNUMBER(SEARCH($B30,nrSCH_Instr)))&gt;0,"Yes",""))</f>
        <v/>
      </c>
      <c r="M30" s="17">
        <f>IF($B30="","",IFERROR(_xlfn.LET(_xlpm.v,_xlfn.UNIQUE(_xlfn._xlws.FILTER(nrSCH_ChNum,ISNUMBER(SEARCH($B30,nrSCH_Instr))*(nrSCH_ChNum&lt;&gt;""))),_xlfn.TEXTJOIN(", ",TRUE,_xlfn.SORTBY(_xlpm.v,IFERROR(_xlpm.v+0,99999),1))),""))</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File",$I31="N/A")),"Yes","No")))</f>
        <v/>
      </c>
      <c r="L31" s="17">
        <f>IF($B31="","",IF(SUMPRODUCT(--ISNUMBER(SEARCH($B31,nrSCH_Instr)))&gt;0,"Yes",""))</f>
        <v/>
      </c>
      <c r="M31" s="17">
        <f>IF($B31="","",IFERROR(_xlfn.LET(_xlpm.v,_xlfn.UNIQUE(_xlfn._xlws.FILTER(nrSCH_ChNum,ISNUMBER(SEARCH($B31,nrSCH_Instr))*(nrSCH_ChNum&lt;&gt;""))),_xlfn.TEXTJOIN(", ",TRUE,_xlfn.SORTBY(_xlpm.v,IFERROR(_xlpm.v+0,99999),1))),""))</f>
        <v/>
      </c>
    </row>
    <row r="32">
      <c r="B32" s="16" t="inlineStr">
        <is>
          <t>James Reeves</t>
        </is>
      </c>
      <c r="C32" s="16" t="n"/>
      <c r="D32" s="16" t="n"/>
      <c r="E32" s="16" t="n"/>
      <c r="F32" s="16" t="n"/>
      <c r="G32" s="18" t="n"/>
      <c r="H32" s="16" t="n"/>
      <c r="I32" s="16" t="n"/>
      <c r="J32" s="16" t="n"/>
      <c r="K32" s="17">
        <f>IF($B32="","",IF($E32="Guest/Outside","N/A",IF(AND(OR($E32="TCOLE Instructor",AND(LEFT($E32,3)="SME",$H32="On File")),OR($I32="On File",$I32="N/A")),"Yes","No")))</f>
        <v/>
      </c>
      <c r="L32" s="17">
        <f>IF($B32="","",IF(SUMPRODUCT(--ISNUMBER(SEARCH($B32,nrSCH_Instr)))&gt;0,"Yes",""))</f>
        <v/>
      </c>
      <c r="M32" s="17">
        <f>IF($B32="","",IFERROR(_xlfn.LET(_xlpm.v,_xlfn.UNIQUE(_xlfn._xlws.FILTER(nrSCH_ChNum,ISNUMBER(SEARCH($B32,nrSCH_Instr))*(nrSCH_ChNum&lt;&gt;""))),_xlfn.TEXTJOIN(", ",TRUE,_xlfn.SORTBY(_xlpm.v,IFERROR(_xlpm.v+0,99999),1))),""))</f>
        <v/>
      </c>
    </row>
    <row r="33">
      <c r="B33" s="16" t="inlineStr">
        <is>
          <t>Jon Phillips</t>
        </is>
      </c>
      <c r="C33" s="16" t="n"/>
      <c r="D33" s="16" t="n"/>
      <c r="E33" s="16" t="n"/>
      <c r="F33" s="16" t="n"/>
      <c r="G33" s="18" t="n"/>
      <c r="H33" s="16" t="n"/>
      <c r="I33" s="16" t="n"/>
      <c r="J33" s="16" t="n"/>
      <c r="K33" s="17">
        <f>IF($B33="","",IF($E33="Guest/Outside","N/A",IF(AND(OR($E33="TCOLE Instructor",AND(LEFT($E33,3)="SME",$H33="On File")),OR($I33="On File",$I33="N/A")),"Yes","No")))</f>
        <v/>
      </c>
      <c r="L33" s="17">
        <f>IF($B33="","",IF(SUMPRODUCT(--ISNUMBER(SEARCH($B33,nrSCH_Instr)))&gt;0,"Yes",""))</f>
        <v/>
      </c>
      <c r="M33" s="17">
        <f>IF($B33="","",IFERROR(_xlfn.LET(_xlpm.v,_xlfn.UNIQUE(_xlfn._xlws.FILTER(nrSCH_ChNum,ISNUMBER(SEARCH($B33,nrSCH_Instr))*(nrSCH_ChNum&lt;&gt;""))),_xlfn.TEXTJOIN(", ",TRUE,_xlfn.SORTBY(_xlpm.v,IFERROR(_xlpm.v+0,99999),1))),""))</f>
        <v/>
      </c>
    </row>
    <row r="34">
      <c r="B34" s="16" t="inlineStr">
        <is>
          <t>Matthew Dahl</t>
        </is>
      </c>
      <c r="C34" s="16" t="n"/>
      <c r="D34" s="16" t="n"/>
      <c r="E34" s="16" t="n"/>
      <c r="F34" s="16" t="n"/>
      <c r="G34" s="18" t="n"/>
      <c r="H34" s="16" t="n"/>
      <c r="I34" s="16" t="n"/>
      <c r="J34" s="16" t="n"/>
      <c r="K34" s="17">
        <f>IF($B34="","",IF($E34="Guest/Outside","N/A",IF(AND(OR($E34="TCOLE Instructor",AND(LEFT($E34,3)="SME",$H34="On File")),OR($I34="On File",$I34="N/A")),"Yes","No")))</f>
        <v/>
      </c>
      <c r="L34" s="17">
        <f>IF($B34="","",IF(SUMPRODUCT(--ISNUMBER(SEARCH($B34,nrSCH_Instr)))&gt;0,"Yes",""))</f>
        <v/>
      </c>
      <c r="M34" s="17">
        <f>IF($B34="","",IFERROR(_xlfn.LET(_xlpm.v,_xlfn.UNIQUE(_xlfn._xlws.FILTER(nrSCH_ChNum,ISNUMBER(SEARCH($B34,nrSCH_Instr))*(nrSCH_ChNum&lt;&gt;""))),_xlfn.TEXTJOIN(", ",TRUE,_xlfn.SORTBY(_xlpm.v,IFERROR(_xlpm.v+0,99999),1))),""))</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File",$I35="N/A")),"Yes","No")))</f>
        <v/>
      </c>
      <c r="L35" s="17">
        <f>IF($B35="","",IF(SUMPRODUCT(--ISNUMBER(SEARCH($B35,nrSCH_Instr)))&gt;0,"Yes",""))</f>
        <v/>
      </c>
      <c r="M35" s="17">
        <f>IF($B35="","",IFERROR(_xlfn.LET(_xlpm.v,_xlfn.UNIQUE(_xlfn._xlws.FILTER(nrSCH_ChNum,ISNUMBER(SEARCH($B35,nrSCH_Instr))*(nrSCH_ChNum&lt;&gt;""))),_xlfn.TEXTJOIN(", ",TRUE,_xlfn.SORTBY(_xlpm.v,IFERROR(_xlpm.v+0,99999),1))),""))</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File",$I36="N/A")),"Yes","No")))</f>
        <v/>
      </c>
      <c r="L36" s="17">
        <f>IF($B36="","",IF(SUMPRODUCT(--ISNUMBER(SEARCH($B36,nrSCH_Instr)))&gt;0,"Yes",""))</f>
        <v/>
      </c>
      <c r="M36" s="17">
        <f>IF($B36="","",IFERROR(_xlfn.LET(_xlpm.v,_xlfn.UNIQUE(_xlfn._xlws.FILTER(nrSCH_ChNum,ISNUMBER(SEARCH($B36,nrSCH_Instr))*(nrSCH_ChNum&lt;&gt;""))),_xlfn.TEXTJOIN(", ",TRUE,_xlfn.SORTBY(_xlpm.v,IFERROR(_xlpm.v+0,99999),1))),""))</f>
        <v/>
      </c>
    </row>
    <row r="37">
      <c r="B37" s="16" t="inlineStr">
        <is>
          <t>James Freeman</t>
        </is>
      </c>
      <c r="C37" s="16" t="n"/>
      <c r="D37" s="16" t="n"/>
      <c r="E37" s="16" t="n"/>
      <c r="F37" s="16" t="n"/>
      <c r="G37" s="18" t="n"/>
      <c r="H37" s="16" t="n"/>
      <c r="I37" s="16" t="n"/>
      <c r="J37" s="16" t="n"/>
      <c r="K37" s="17">
        <f>IF($B37="","",IF($E37="Guest/Outside","N/A",IF(AND(OR($E37="TCOLE Instructor",AND(LEFT($E37,3)="SME",$H37="On File")),OR($I37="On File",$I37="N/A")),"Yes","No")))</f>
        <v/>
      </c>
      <c r="L37" s="17">
        <f>IF($B37="","",IF(SUMPRODUCT(--ISNUMBER(SEARCH($B37,nrSCH_Instr)))&gt;0,"Yes",""))</f>
        <v/>
      </c>
      <c r="M37" s="17">
        <f>IF($B37="","",IFERROR(_xlfn.LET(_xlpm.v,_xlfn.UNIQUE(_xlfn._xlws.FILTER(nrSCH_ChNum,ISNUMBER(SEARCH($B37,nrSCH_Instr))*(nrSCH_ChNum&lt;&gt;""))),_xlfn.TEXTJOIN(", ",TRUE,_xlfn.SORTBY(_xlpm.v,IFERROR(_xlpm.v+0,99999),1))),""))</f>
        <v/>
      </c>
    </row>
    <row r="38">
      <c r="B38" s="16" t="inlineStr">
        <is>
          <t>Kyle Liggitt</t>
        </is>
      </c>
      <c r="C38" s="16" t="n"/>
      <c r="D38" s="16" t="n"/>
      <c r="E38" s="16" t="n"/>
      <c r="F38" s="16" t="n"/>
      <c r="G38" s="18" t="n"/>
      <c r="H38" s="16" t="n"/>
      <c r="I38" s="16" t="n"/>
      <c r="J38" s="16" t="n"/>
      <c r="K38" s="17">
        <f>IF($B38="","",IF($E38="Guest/Outside","N/A",IF(AND(OR($E38="TCOLE Instructor",AND(LEFT($E38,3)="SME",$H38="On File")),OR($I38="On File",$I38="N/A")),"Yes","No")))</f>
        <v/>
      </c>
      <c r="L38" s="17">
        <f>IF($B38="","",IF(SUMPRODUCT(--ISNUMBER(SEARCH($B38,nrSCH_Instr)))&gt;0,"Yes",""))</f>
        <v/>
      </c>
      <c r="M38" s="17">
        <f>IF($B38="","",IFERROR(_xlfn.LET(_xlpm.v,_xlfn.UNIQUE(_xlfn._xlws.FILTER(nrSCH_ChNum,ISNUMBER(SEARCH($B38,nrSCH_Instr))*(nrSCH_ChNum&lt;&gt;""))),_xlfn.TEXTJOIN(", ",TRUE,_xlfn.SORTBY(_xlpm.v,IFERROR(_xlpm.v+0,99999),1))),""))</f>
        <v/>
      </c>
    </row>
    <row r="39">
      <c r="B39" s="16" t="inlineStr">
        <is>
          <t>Ryan Caldwell</t>
        </is>
      </c>
      <c r="C39" s="16" t="n"/>
      <c r="D39" s="16" t="n"/>
      <c r="E39" s="16" t="n"/>
      <c r="F39" s="16" t="n"/>
      <c r="G39" s="18" t="n"/>
      <c r="H39" s="16" t="n"/>
      <c r="I39" s="16" t="n"/>
      <c r="J39" s="16" t="n"/>
      <c r="K39" s="17">
        <f>IF($B39="","",IF($E39="Guest/Outside","N/A",IF(AND(OR($E39="TCOLE Instructor",AND(LEFT($E39,3)="SME",$H39="On File")),OR($I39="On File",$I39="N/A")),"Yes","No")))</f>
        <v/>
      </c>
      <c r="L39" s="17">
        <f>IF($B39="","",IF(SUMPRODUCT(--ISNUMBER(SEARCH($B39,nrSCH_Instr)))&gt;0,"Yes",""))</f>
        <v/>
      </c>
      <c r="M39" s="17">
        <f>IF($B39="","",IFERROR(_xlfn.LET(_xlpm.v,_xlfn.UNIQUE(_xlfn._xlws.FILTER(nrSCH_ChNum,ISNUMBER(SEARCH($B39,nrSCH_Instr))*(nrSCH_ChNum&lt;&gt;""))),_xlfn.TEXTJOIN(", ",TRUE,_xlfn.SORTBY(_xlpm.v,IFERROR(_xlpm.v+0,99999),1))),""))</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File",$I40="N/A")),"Yes","No")))</f>
        <v/>
      </c>
      <c r="L40" s="17">
        <f>IF($B40="","",IF(SUMPRODUCT(--ISNUMBER(SEARCH($B40,nrSCH_Instr)))&gt;0,"Yes",""))</f>
        <v/>
      </c>
      <c r="M40" s="17">
        <f>IF($B40="","",IFERROR(_xlfn.LET(_xlpm.v,_xlfn.UNIQUE(_xlfn._xlws.FILTER(nrSCH_ChNum,ISNUMBER(SEARCH($B40,nrSCH_Instr))*(nrSCH_ChNum&lt;&gt;""))),_xlfn.TEXTJOIN(", ",TRUE,_xlfn.SORTBY(_xlpm.v,IFERROR(_xlpm.v+0,99999),1))),""))</f>
        <v/>
      </c>
    </row>
    <row r="41">
      <c r="B41" s="16" t="inlineStr">
        <is>
          <t>Chuck Boyce</t>
        </is>
      </c>
      <c r="C41" s="16" t="n"/>
      <c r="D41" s="16" t="n"/>
      <c r="E41" s="16" t="n"/>
      <c r="F41" s="16" t="n"/>
      <c r="G41" s="18" t="n"/>
      <c r="H41" s="16" t="n"/>
      <c r="I41" s="16" t="n"/>
      <c r="J41" s="16" t="n"/>
      <c r="K41" s="17">
        <f>IF($B41="","",IF($E41="Guest/Outside","N/A",IF(AND(OR($E41="TCOLE Instructor",AND(LEFT($E41,3)="SME",$H41="On File")),OR($I41="On File",$I41="N/A")),"Yes","No")))</f>
        <v/>
      </c>
      <c r="L41" s="17">
        <f>IF($B41="","",IF(SUMPRODUCT(--ISNUMBER(SEARCH($B41,nrSCH_Instr)))&gt;0,"Yes",""))</f>
        <v/>
      </c>
      <c r="M41" s="17">
        <f>IF($B41="","",IFERROR(_xlfn.LET(_xlpm.v,_xlfn.UNIQUE(_xlfn._xlws.FILTER(nrSCH_ChNum,ISNUMBER(SEARCH($B41,nrSCH_Instr))*(nrSCH_ChNum&lt;&gt;""))),_xlfn.TEXTJOIN(", ",TRUE,_xlfn.SORTBY(_xlpm.v,IFERROR(_xlpm.v+0,99999),1))),""))</f>
        <v/>
      </c>
    </row>
    <row r="42">
      <c r="B42" s="16" t="inlineStr">
        <is>
          <t>Adam Riggle</t>
        </is>
      </c>
      <c r="C42" s="16" t="n"/>
      <c r="D42" s="16" t="n"/>
      <c r="E42" s="16" t="n"/>
      <c r="F42" s="16" t="n"/>
      <c r="G42" s="18" t="n"/>
      <c r="H42" s="16" t="n"/>
      <c r="I42" s="16" t="n"/>
      <c r="J42" s="16" t="n"/>
      <c r="K42" s="17">
        <f>IF($B42="","",IF($E42="Guest/Outside","N/A",IF(AND(OR($E42="TCOLE Instructor",AND(LEFT($E42,3)="SME",$H42="On File")),OR($I42="On File",$I42="N/A")),"Yes","No")))</f>
        <v/>
      </c>
      <c r="L42" s="17">
        <f>IF($B42="","",IF(SUMPRODUCT(--ISNUMBER(SEARCH($B42,nrSCH_Instr)))&gt;0,"Yes",""))</f>
        <v/>
      </c>
      <c r="M42" s="17">
        <f>IF($B42="","",IFERROR(_xlfn.LET(_xlpm.v,_xlfn.UNIQUE(_xlfn._xlws.FILTER(nrSCH_ChNum,ISNUMBER(SEARCH($B42,nrSCH_Instr))*(nrSCH_ChNum&lt;&gt;""))),_xlfn.TEXTJOIN(", ",TRUE,_xlfn.SORTBY(_xlpm.v,IFERROR(_xlpm.v+0,99999),1))),""))</f>
        <v/>
      </c>
    </row>
    <row r="43">
      <c r="B43" s="16" t="inlineStr">
        <is>
          <t>Adam Tarrant</t>
        </is>
      </c>
      <c r="C43" s="16" t="n"/>
      <c r="D43" s="16" t="n"/>
      <c r="E43" s="16" t="n"/>
      <c r="F43" s="16" t="n"/>
      <c r="G43" s="18" t="n"/>
      <c r="H43" s="16" t="n"/>
      <c r="I43" s="16" t="n"/>
      <c r="J43" s="16" t="n"/>
      <c r="K43" s="17">
        <f>IF($B43="","",IF($E43="Guest/Outside","N/A",IF(AND(OR($E43="TCOLE Instructor",AND(LEFT($E43,3)="SME",$H43="On File")),OR($I43="On File",$I43="N/A")),"Yes","No")))</f>
        <v/>
      </c>
      <c r="L43" s="17">
        <f>IF($B43="","",IF(SUMPRODUCT(--ISNUMBER(SEARCH($B43,nrSCH_Instr)))&gt;0,"Yes",""))</f>
        <v/>
      </c>
      <c r="M43" s="17">
        <f>IF($B43="","",IFERROR(_xlfn.LET(_xlpm.v,_xlfn.UNIQUE(_xlfn._xlws.FILTER(nrSCH_ChNum,ISNUMBER(SEARCH($B43,nrSCH_Instr))*(nrSCH_ChNum&lt;&gt;""))),_xlfn.TEXTJOIN(", ",TRUE,_xlfn.SORTBY(_xlpm.v,IFERROR(_xlpm.v+0,99999),1))),""))</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File",$I44="N/A")),"Yes","No")))</f>
        <v/>
      </c>
      <c r="L44" s="17">
        <f>IF($B44="","",IF(SUMPRODUCT(--ISNUMBER(SEARCH($B44,nrSCH_Instr)))&gt;0,"Yes",""))</f>
        <v/>
      </c>
      <c r="M44" s="17">
        <f>IF($B44="","",IFERROR(_xlfn.LET(_xlpm.v,_xlfn.UNIQUE(_xlfn._xlws.FILTER(nrSCH_ChNum,ISNUMBER(SEARCH($B44,nrSCH_Instr))*(nrSCH_ChNum&lt;&gt;""))),_xlfn.TEXTJOIN(", ",TRUE,_xlfn.SORTBY(_xlpm.v,IFERROR(_xlpm.v+0,99999),1))),""))</f>
        <v/>
      </c>
    </row>
    <row r="45">
      <c r="B45" s="16" t="inlineStr">
        <is>
          <t>Josh Allen</t>
        </is>
      </c>
      <c r="C45" s="16" t="n"/>
      <c r="D45" s="16" t="n"/>
      <c r="E45" s="16" t="n"/>
      <c r="F45" s="16" t="n"/>
      <c r="G45" s="18" t="n"/>
      <c r="H45" s="16" t="n"/>
      <c r="I45" s="16" t="n"/>
      <c r="J45" s="16" t="n"/>
      <c r="K45" s="17">
        <f>IF($B45="","",IF($E45="Guest/Outside","N/A",IF(AND(OR($E45="TCOLE Instructor",AND(LEFT($E45,3)="SME",$H45="On File")),OR($I45="On File",$I45="N/A")),"Yes","No")))</f>
        <v/>
      </c>
      <c r="L45" s="17">
        <f>IF($B45="","",IF(SUMPRODUCT(--ISNUMBER(SEARCH($B45,nrSCH_Instr)))&gt;0,"Yes",""))</f>
        <v/>
      </c>
      <c r="M45" s="17">
        <f>IF($B45="","",IFERROR(_xlfn.LET(_xlpm.v,_xlfn.UNIQUE(_xlfn._xlws.FILTER(nrSCH_ChNum,ISNUMBER(SEARCH($B45,nrSCH_Instr))*(nrSCH_ChNum&lt;&gt;""))),_xlfn.TEXTJOIN(", ",TRUE,_xlfn.SORTBY(_xlpm.v,IFERROR(_xlpm.v+0,99999),1))),""))</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File",$I46="N/A")),"Yes","No")))</f>
        <v/>
      </c>
      <c r="L46" s="17">
        <f>IF($B46="","",IF(SUMPRODUCT(--ISNUMBER(SEARCH($B46,nrSCH_Instr)))&gt;0,"Yes",""))</f>
        <v/>
      </c>
      <c r="M46" s="17">
        <f>IF($B46="","",IFERROR(_xlfn.LET(_xlpm.v,_xlfn.UNIQUE(_xlfn._xlws.FILTER(nrSCH_ChNum,ISNUMBER(SEARCH($B46,nrSCH_Instr))*(nrSCH_ChNum&lt;&gt;""))),_xlfn.TEXTJOIN(", ",TRUE,_xlfn.SORTBY(_xlpm.v,IFERROR(_xlpm.v+0,99999),1))),""))</f>
        <v/>
      </c>
    </row>
    <row r="47">
      <c r="B47" s="16" t="inlineStr">
        <is>
          <t>Jimmy Turner</t>
        </is>
      </c>
      <c r="C47" s="16" t="n"/>
      <c r="D47" s="16" t="n"/>
      <c r="E47" s="16" t="n"/>
      <c r="F47" s="16" t="n"/>
      <c r="G47" s="18" t="n"/>
      <c r="H47" s="16" t="n"/>
      <c r="I47" s="16" t="n"/>
      <c r="J47" s="16" t="n"/>
      <c r="K47" s="17">
        <f>IF($B47="","",IF($E47="Guest/Outside","N/A",IF(AND(OR($E47="TCOLE Instructor",AND(LEFT($E47,3)="SME",$H47="On File")),OR($I47="On File",$I47="N/A")),"Yes","No")))</f>
        <v/>
      </c>
      <c r="L47" s="17">
        <f>IF($B47="","",IF(SUMPRODUCT(--ISNUMBER(SEARCH($B47,nrSCH_Instr)))&gt;0,"Yes",""))</f>
        <v/>
      </c>
      <c r="M47" s="17">
        <f>IF($B47="","",IFERROR(_xlfn.LET(_xlpm.v,_xlfn.UNIQUE(_xlfn._xlws.FILTER(nrSCH_ChNum,ISNUMBER(SEARCH($B47,nrSCH_Instr))*(nrSCH_ChNum&lt;&gt;""))),_xlfn.TEXTJOIN(", ",TRUE,_xlfn.SORTBY(_xlpm.v,IFERROR(_xlpm.v+0,99999),1))),""))</f>
        <v/>
      </c>
    </row>
    <row r="48">
      <c r="B48" s="16" t="inlineStr">
        <is>
          <t>Ken Gardner</t>
        </is>
      </c>
      <c r="C48" s="16" t="n"/>
      <c r="D48" s="16" t="n"/>
      <c r="E48" s="16" t="n"/>
      <c r="F48" s="16" t="n"/>
      <c r="G48" s="18" t="n"/>
      <c r="H48" s="16" t="n"/>
      <c r="I48" s="16" t="n"/>
      <c r="J48" s="16" t="n"/>
      <c r="K48" s="17">
        <f>IF($B48="","",IF($E48="Guest/Outside","N/A",IF(AND(OR($E48="TCOLE Instructor",AND(LEFT($E48,3)="SME",$H48="On File")),OR($I48="On File",$I48="N/A")),"Yes","No")))</f>
        <v/>
      </c>
      <c r="L48" s="17">
        <f>IF($B48="","",IF(SUMPRODUCT(--ISNUMBER(SEARCH($B48,nrSCH_Instr)))&gt;0,"Yes",""))</f>
        <v/>
      </c>
      <c r="M48" s="17">
        <f>IF($B48="","",IFERROR(_xlfn.LET(_xlpm.v,_xlfn.UNIQUE(_xlfn._xlws.FILTER(nrSCH_ChNum,ISNUMBER(SEARCH($B48,nrSCH_Instr))*(nrSCH_ChNum&lt;&gt;""))),_xlfn.TEXTJOIN(", ",TRUE,_xlfn.SORTBY(_xlpm.v,IFERROR(_xlpm.v+0,99999),1))),""))</f>
        <v/>
      </c>
    </row>
    <row r="49">
      <c r="B49" s="16" t="inlineStr">
        <is>
          <t>Will Sinclair</t>
        </is>
      </c>
      <c r="C49" s="16" t="n"/>
      <c r="D49" s="16" t="n"/>
      <c r="E49" s="16" t="n"/>
      <c r="F49" s="16" t="n"/>
      <c r="G49" s="18" t="n"/>
      <c r="H49" s="16" t="n"/>
      <c r="I49" s="16" t="n"/>
      <c r="J49" s="16" t="n"/>
      <c r="K49" s="17">
        <f>IF($B49="","",IF($E49="Guest/Outside","N/A",IF(AND(OR($E49="TCOLE Instructor",AND(LEFT($E49,3)="SME",$H49="On File")),OR($I49="On File",$I49="N/A")),"Yes","No")))</f>
        <v/>
      </c>
      <c r="L49" s="17">
        <f>IF($B49="","",IF(SUMPRODUCT(--ISNUMBER(SEARCH($B49,nrSCH_Instr)))&gt;0,"Yes",""))</f>
        <v/>
      </c>
      <c r="M49" s="17">
        <f>IF($B49="","",IFERROR(_xlfn.LET(_xlpm.v,_xlfn.UNIQUE(_xlfn._xlws.FILTER(nrSCH_ChNum,ISNUMBER(SEARCH($B49,nrSCH_Instr))*(nrSCH_ChNum&lt;&gt;""))),_xlfn.TEXTJOIN(", ",TRUE,_xlfn.SORTBY(_xlpm.v,IFERROR(_xlpm.v+0,99999),1))),""))</f>
        <v/>
      </c>
    </row>
    <row r="50">
      <c r="B50" s="16" t="inlineStr">
        <is>
          <t>Eddie Zapata</t>
        </is>
      </c>
      <c r="C50" s="16" t="n"/>
      <c r="D50" s="16" t="n"/>
      <c r="E50" s="16" t="n"/>
      <c r="F50" s="16" t="n"/>
      <c r="G50" s="18" t="n"/>
      <c r="H50" s="16" t="n"/>
      <c r="I50" s="16" t="n"/>
      <c r="J50" s="16" t="n"/>
      <c r="K50" s="17">
        <f>IF($B50="","",IF($E50="Guest/Outside","N/A",IF(AND(OR($E50="TCOLE Instructor",AND(LEFT($E50,3)="SME",$H50="On File")),OR($I50="On File",$I50="N/A")),"Yes","No")))</f>
        <v/>
      </c>
      <c r="L50" s="17">
        <f>IF($B50="","",IF(SUMPRODUCT(--ISNUMBER(SEARCH($B50,nrSCH_Instr)))&gt;0,"Yes",""))</f>
        <v/>
      </c>
      <c r="M50" s="17">
        <f>IF($B50="","",IFERROR(_xlfn.LET(_xlpm.v,_xlfn.UNIQUE(_xlfn._xlws.FILTER(nrSCH_ChNum,ISNUMBER(SEARCH($B50,nrSCH_Instr))*(nrSCH_ChNum&lt;&gt;""))),_xlfn.TEXTJOIN(", ",TRUE,_xlfn.SORTBY(_xlpm.v,IFERROR(_xlpm.v+0,99999),1))),""))</f>
        <v/>
      </c>
    </row>
    <row r="51">
      <c r="B51" s="16" t="inlineStr">
        <is>
          <t>Jordan Hill</t>
        </is>
      </c>
      <c r="C51" s="16" t="n"/>
      <c r="D51" s="16" t="n"/>
      <c r="E51" s="16" t="n"/>
      <c r="F51" s="16" t="n"/>
      <c r="G51" s="18" t="n"/>
      <c r="H51" s="16" t="n"/>
      <c r="I51" s="16" t="n"/>
      <c r="J51" s="16" t="n"/>
      <c r="K51" s="17">
        <f>IF($B51="","",IF($E51="Guest/Outside","N/A",IF(AND(OR($E51="TCOLE Instructor",AND(LEFT($E51,3)="SME",$H51="On File")),OR($I51="On File",$I51="N/A")),"Yes","No")))</f>
        <v/>
      </c>
      <c r="L51" s="17">
        <f>IF($B51="","",IF(SUMPRODUCT(--ISNUMBER(SEARCH($B51,nrSCH_Instr)))&gt;0,"Yes",""))</f>
        <v/>
      </c>
      <c r="M51" s="17">
        <f>IF($B51="","",IFERROR(_xlfn.LET(_xlpm.v,_xlfn.UNIQUE(_xlfn._xlws.FILTER(nrSCH_ChNum,ISNUMBER(SEARCH($B51,nrSCH_Instr))*(nrSCH_ChNum&lt;&gt;""))),_xlfn.TEXTJOIN(", ",TRUE,_xlfn.SORTBY(_xlpm.v,IFERROR(_xlpm.v+0,99999),1))),""))</f>
        <v/>
      </c>
    </row>
    <row r="52">
      <c r="B52" s="16" t="inlineStr">
        <is>
          <t>Chris Mackey</t>
        </is>
      </c>
      <c r="C52" s="16" t="n"/>
      <c r="D52" s="16" t="n"/>
      <c r="E52" s="16" t="n"/>
      <c r="F52" s="16" t="n"/>
      <c r="G52" s="18" t="n"/>
      <c r="H52" s="16" t="n"/>
      <c r="I52" s="16" t="n"/>
      <c r="J52" s="16" t="n"/>
      <c r="K52" s="17">
        <f>IF($B52="","",IF($E52="Guest/Outside","N/A",IF(AND(OR($E52="TCOLE Instructor",AND(LEFT($E52,3)="SME",$H52="On File")),OR($I52="On File",$I52="N/A")),"Yes","No")))</f>
        <v/>
      </c>
      <c r="L52" s="17">
        <f>IF($B52="","",IF(SUMPRODUCT(--ISNUMBER(SEARCH($B52,nrSCH_Instr)))&gt;0,"Yes",""))</f>
        <v/>
      </c>
      <c r="M52" s="17">
        <f>IF($B52="","",IFERROR(_xlfn.LET(_xlpm.v,_xlfn.UNIQUE(_xlfn._xlws.FILTER(nrSCH_ChNum,ISNUMBER(SEARCH($B52,nrSCH_Instr))*(nrSCH_ChNum&lt;&gt;""))),_xlfn.TEXTJOIN(", ",TRUE,_xlfn.SORTBY(_xlpm.v,IFERROR(_xlpm.v+0,99999),1))),""))</f>
        <v/>
      </c>
    </row>
    <row r="53">
      <c r="B53" s="16" t="inlineStr">
        <is>
          <t>Braden Barns</t>
        </is>
      </c>
      <c r="C53" s="16" t="n"/>
      <c r="D53" s="16" t="n"/>
      <c r="E53" s="16" t="n"/>
      <c r="F53" s="16" t="n"/>
      <c r="G53" s="18" t="n"/>
      <c r="H53" s="16" t="n"/>
      <c r="I53" s="16" t="n"/>
      <c r="J53" s="16" t="n"/>
      <c r="K53" s="17">
        <f>IF($B53="","",IF($E53="Guest/Outside","N/A",IF(AND(OR($E53="TCOLE Instructor",AND(LEFT($E53,3)="SME",$H53="On File")),OR($I53="On File",$I53="N/A")),"Yes","No")))</f>
        <v/>
      </c>
      <c r="L53" s="17">
        <f>IF($B53="","",IF(SUMPRODUCT(--ISNUMBER(SEARCH($B53,nrSCH_Instr)))&gt;0,"Yes",""))</f>
        <v/>
      </c>
      <c r="M53" s="17">
        <f>IF($B53="","",IFERROR(_xlfn.LET(_xlpm.v,_xlfn.UNIQUE(_xlfn._xlws.FILTER(nrSCH_ChNum,ISNUMBER(SEARCH($B53,nrSCH_Instr))*(nrSCH_ChNum&lt;&gt;""))),_xlfn.TEXTJOIN(", ",TRUE,_xlfn.SORTBY(_xlpm.v,IFERROR(_xlpm.v+0,99999),1))),""))</f>
        <v/>
      </c>
    </row>
    <row r="54">
      <c r="B54" s="16" t="inlineStr">
        <is>
          <t>John Hebert</t>
        </is>
      </c>
      <c r="C54" s="16" t="n"/>
      <c r="D54" s="16" t="n"/>
      <c r="E54" s="16" t="n"/>
      <c r="F54" s="16" t="n"/>
      <c r="G54" s="18" t="n"/>
      <c r="H54" s="16" t="n"/>
      <c r="I54" s="16" t="n"/>
      <c r="J54" s="16" t="n"/>
      <c r="K54" s="17">
        <f>IF($B54="","",IF($E54="Guest/Outside","N/A",IF(AND(OR($E54="TCOLE Instructor",AND(LEFT($E54,3)="SME",$H54="On File")),OR($I54="On File",$I54="N/A")),"Yes","No")))</f>
        <v/>
      </c>
      <c r="L54" s="17">
        <f>IF($B54="","",IF(SUMPRODUCT(--ISNUMBER(SEARCH($B54,nrSCH_Instr)))&gt;0,"Yes",""))</f>
        <v/>
      </c>
      <c r="M54" s="17">
        <f>IF($B54="","",IFERROR(_xlfn.LET(_xlpm.v,_xlfn.UNIQUE(_xlfn._xlws.FILTER(nrSCH_ChNum,ISNUMBER(SEARCH($B54,nrSCH_Instr))*(nrSCH_ChNum&lt;&gt;""))),_xlfn.TEXTJOIN(", ",TRUE,_xlfn.SORTBY(_xlpm.v,IFERROR(_xlpm.v+0,99999),1))),""))</f>
        <v/>
      </c>
    </row>
    <row r="55">
      <c r="B55" s="16" t="inlineStr">
        <is>
          <t>DJ Schick</t>
        </is>
      </c>
      <c r="C55" s="16" t="n"/>
      <c r="D55" s="16" t="n"/>
      <c r="E55" s="16" t="n"/>
      <c r="F55" s="16" t="n"/>
      <c r="G55" s="18" t="n"/>
      <c r="H55" s="16" t="n"/>
      <c r="I55" s="16" t="n"/>
      <c r="J55" s="16" t="n"/>
      <c r="K55" s="17">
        <f>IF($B55="","",IF($E55="Guest/Outside","N/A",IF(AND(OR($E55="TCOLE Instructor",AND(LEFT($E55,3)="SME",$H55="On File")),OR($I55="On File",$I55="N/A")),"Yes","No")))</f>
        <v/>
      </c>
      <c r="L55" s="17">
        <f>IF($B55="","",IF(SUMPRODUCT(--ISNUMBER(SEARCH($B55,nrSCH_Instr)))&gt;0,"Yes",""))</f>
        <v/>
      </c>
      <c r="M55" s="17">
        <f>IF($B55="","",IFERROR(_xlfn.LET(_xlpm.v,_xlfn.UNIQUE(_xlfn._xlws.FILTER(nrSCH_ChNum,ISNUMBER(SEARCH($B55,nrSCH_Instr))*(nrSCH_ChNum&lt;&gt;""))),_xlfn.TEXTJOIN(", ",TRUE,_xlfn.SORTBY(_xlpm.v,IFERROR(_xlpm.v+0,99999),1))),""))</f>
        <v/>
      </c>
    </row>
    <row r="56">
      <c r="B56" s="16" t="inlineStr">
        <is>
          <t>Brandon Lott</t>
        </is>
      </c>
      <c r="C56" s="16" t="n"/>
      <c r="D56" s="16" t="n"/>
      <c r="E56" s="16" t="n"/>
      <c r="F56" s="16" t="n"/>
      <c r="G56" s="18" t="n"/>
      <c r="H56" s="16" t="n"/>
      <c r="I56" s="16" t="n"/>
      <c r="J56" s="16" t="n"/>
      <c r="K56" s="17">
        <f>IF($B56="","",IF($E56="Guest/Outside","N/A",IF(AND(OR($E56="TCOLE Instructor",AND(LEFT($E56,3)="SME",$H56="On File")),OR($I56="On File",$I56="N/A")),"Yes","No")))</f>
        <v/>
      </c>
      <c r="L56" s="17">
        <f>IF($B56="","",IF(SUMPRODUCT(--ISNUMBER(SEARCH($B56,nrSCH_Instr)))&gt;0,"Yes",""))</f>
        <v/>
      </c>
      <c r="M56" s="17">
        <f>IF($B56="","",IFERROR(_xlfn.LET(_xlpm.v,_xlfn.UNIQUE(_xlfn._xlws.FILTER(nrSCH_ChNum,ISNUMBER(SEARCH($B56,nrSCH_Instr))*(nrSCH_ChNum&lt;&gt;""))),_xlfn.TEXTJOIN(", ",TRUE,_xlfn.SORTBY(_xlpm.v,IFERROR(_xlpm.v+0,99999),1))),""))</f>
        <v/>
      </c>
    </row>
    <row r="57">
      <c r="B57" s="16" t="inlineStr">
        <is>
          <t>Ryan Tack</t>
        </is>
      </c>
      <c r="C57" s="16" t="n"/>
      <c r="D57" s="16" t="n"/>
      <c r="E57" s="16" t="n"/>
      <c r="F57" s="16" t="n"/>
      <c r="G57" s="18" t="n"/>
      <c r="H57" s="16" t="n"/>
      <c r="I57" s="16" t="n"/>
      <c r="J57" s="16" t="n"/>
      <c r="K57" s="17">
        <f>IF($B57="","",IF($E57="Guest/Outside","N/A",IF(AND(OR($E57="TCOLE Instructor",AND(LEFT($E57,3)="SME",$H57="On File")),OR($I57="On File",$I57="N/A")),"Yes","No")))</f>
        <v/>
      </c>
      <c r="L57" s="17">
        <f>IF($B57="","",IF(SUMPRODUCT(--ISNUMBER(SEARCH($B57,nrSCH_Instr)))&gt;0,"Yes",""))</f>
        <v/>
      </c>
      <c r="M57" s="17">
        <f>IF($B57="","",IFERROR(_xlfn.LET(_xlpm.v,_xlfn.UNIQUE(_xlfn._xlws.FILTER(nrSCH_ChNum,ISNUMBER(SEARCH($B57,nrSCH_Instr))*(nrSCH_ChNum&lt;&gt;""))),_xlfn.TEXTJOIN(", ",TRUE,_xlfn.SORTBY(_xlpm.v,IFERROR(_xlpm.v+0,99999),1))),""))</f>
        <v/>
      </c>
    </row>
    <row r="58">
      <c r="B58" s="16" t="inlineStr">
        <is>
          <t>Amanda Cook</t>
        </is>
      </c>
      <c r="C58" s="16" t="n"/>
      <c r="D58" s="16" t="n"/>
      <c r="E58" s="16" t="n"/>
      <c r="F58" s="16" t="n"/>
      <c r="G58" s="18" t="n"/>
      <c r="H58" s="16" t="n"/>
      <c r="I58" s="16" t="n"/>
      <c r="J58" s="16" t="n"/>
      <c r="K58" s="17">
        <f>IF($B58="","",IF($E58="Guest/Outside","N/A",IF(AND(OR($E58="TCOLE Instructor",AND(LEFT($E58,3)="SME",$H58="On File")),OR($I58="On File",$I58="N/A")),"Yes","No")))</f>
        <v/>
      </c>
      <c r="L58" s="17">
        <f>IF($B58="","",IF(SUMPRODUCT(--ISNUMBER(SEARCH($B58,nrSCH_Instr)))&gt;0,"Yes",""))</f>
        <v/>
      </c>
      <c r="M58" s="17">
        <f>IF($B58="","",IFERROR(_xlfn.LET(_xlpm.v,_xlfn.UNIQUE(_xlfn._xlws.FILTER(nrSCH_ChNum,ISNUMBER(SEARCH($B58,nrSCH_Instr))*(nrSCH_ChNum&lt;&gt;""))),_xlfn.TEXTJOIN(", ",TRUE,_xlfn.SORTBY(_xlpm.v,IFERROR(_xlpm.v+0,99999),1))),""))</f>
        <v/>
      </c>
    </row>
    <row r="59">
      <c r="B59" s="16" t="inlineStr">
        <is>
          <t>Teressa Dell</t>
        </is>
      </c>
      <c r="C59" s="16" t="n"/>
      <c r="D59" s="16" t="n"/>
      <c r="E59" s="16" t="n"/>
      <c r="F59" s="16" t="n"/>
      <c r="G59" s="18" t="n"/>
      <c r="H59" s="16" t="n"/>
      <c r="I59" s="16" t="n"/>
      <c r="J59" s="16" t="n"/>
      <c r="K59" s="17">
        <f>IF($B59="","",IF($E59="Guest/Outside","N/A",IF(AND(OR($E59="TCOLE Instructor",AND(LEFT($E59,3)="SME",$H59="On File")),OR($I59="On File",$I59="N/A")),"Yes","No")))</f>
        <v/>
      </c>
      <c r="L59" s="17">
        <f>IF($B59="","",IF(SUMPRODUCT(--ISNUMBER(SEARCH($B59,nrSCH_Instr)))&gt;0,"Yes",""))</f>
        <v/>
      </c>
      <c r="M59" s="17">
        <f>IF($B59="","",IFERROR(_xlfn.LET(_xlpm.v,_xlfn.UNIQUE(_xlfn._xlws.FILTER(nrSCH_ChNum,ISNUMBER(SEARCH($B59,nrSCH_Instr))*(nrSCH_ChNum&lt;&gt;""))),_xlfn.TEXTJOIN(", ",TRUE,_xlfn.SORTBY(_xlpm.v,IFERROR(_xlpm.v+0,99999),1))),""))</f>
        <v/>
      </c>
    </row>
    <row r="60">
      <c r="B60" s="16" t="inlineStr">
        <is>
          <t>Steve Black</t>
        </is>
      </c>
      <c r="C60" s="16" t="n"/>
      <c r="D60" s="16" t="n"/>
      <c r="E60" s="16" t="n"/>
      <c r="F60" s="16" t="n"/>
      <c r="G60" s="18" t="n"/>
      <c r="H60" s="16" t="n"/>
      <c r="I60" s="16" t="n"/>
      <c r="J60" s="16" t="n"/>
      <c r="K60" s="17">
        <f>IF($B60="","",IF($E60="Guest/Outside","N/A",IF(AND(OR($E60="TCOLE Instructor",AND(LEFT($E60,3)="SME",$H60="On File")),OR($I60="On File",$I60="N/A")),"Yes","No")))</f>
        <v/>
      </c>
      <c r="L60" s="17">
        <f>IF($B60="","",IF(SUMPRODUCT(--ISNUMBER(SEARCH($B60,nrSCH_Instr)))&gt;0,"Yes",""))</f>
        <v/>
      </c>
      <c r="M60" s="17">
        <f>IF($B60="","",IFERROR(_xlfn.LET(_xlpm.v,_xlfn.UNIQUE(_xlfn._xlws.FILTER(nrSCH_ChNum,ISNUMBER(SEARCH($B60,nrSCH_Instr))*(nrSCH_ChNum&lt;&gt;""))),_xlfn.TEXTJOIN(", ",TRUE,_xlfn.SORTBY(_xlpm.v,IFERROR(_xlpm.v+0,99999),1))),""))</f>
        <v/>
      </c>
    </row>
    <row r="61">
      <c r="B61" s="16" t="inlineStr">
        <is>
          <t>Chad Homer</t>
        </is>
      </c>
      <c r="C61" s="16" t="n"/>
      <c r="D61" s="16" t="n"/>
      <c r="E61" s="16" t="n"/>
      <c r="F61" s="16" t="n"/>
      <c r="G61" s="18" t="n"/>
      <c r="H61" s="16" t="n"/>
      <c r="I61" s="16" t="n"/>
      <c r="J61" s="16" t="n"/>
      <c r="K61" s="17">
        <f>IF($B61="","",IF($E61="Guest/Outside","N/A",IF(AND(OR($E61="TCOLE Instructor",AND(LEFT($E61,3)="SME",$H61="On File")),OR($I61="On File",$I61="N/A")),"Yes","No")))</f>
        <v/>
      </c>
      <c r="L61" s="17">
        <f>IF($B61="","",IF(SUMPRODUCT(--ISNUMBER(SEARCH($B61,nrSCH_Instr)))&gt;0,"Yes",""))</f>
        <v/>
      </c>
      <c r="M61" s="17">
        <f>IF($B61="","",IFERROR(_xlfn.LET(_xlpm.v,_xlfn.UNIQUE(_xlfn._xlws.FILTER(nrSCH_ChNum,ISNUMBER(SEARCH($B61,nrSCH_Instr))*(nrSCH_ChNum&lt;&gt;""))),_xlfn.TEXTJOIN(", ",TRUE,_xlfn.SORTBY(_xlpm.v,IFERROR(_xlpm.v+0,99999),1))),""))</f>
        <v/>
      </c>
    </row>
    <row r="62">
      <c r="B62" s="16" t="inlineStr">
        <is>
          <t>Mike Saxion</t>
        </is>
      </c>
      <c r="C62" s="16" t="n"/>
      <c r="D62" s="16" t="n"/>
      <c r="E62" s="16" t="n"/>
      <c r="F62" s="16" t="n"/>
      <c r="G62" s="18" t="n"/>
      <c r="H62" s="16" t="n"/>
      <c r="I62" s="16" t="n"/>
      <c r="J62" s="16" t="n"/>
      <c r="K62" s="17">
        <f>IF($B62="","",IF($E62="Guest/Outside","N/A",IF(AND(OR($E62="TCOLE Instructor",AND(LEFT($E62,3)="SME",$H62="On File")),OR($I62="On File",$I62="N/A")),"Yes","No")))</f>
        <v/>
      </c>
      <c r="L62" s="17">
        <f>IF($B62="","",IF(SUMPRODUCT(--ISNUMBER(SEARCH($B62,nrSCH_Instr)))&gt;0,"Yes",""))</f>
        <v/>
      </c>
      <c r="M62" s="17">
        <f>IF($B62="","",IFERROR(_xlfn.LET(_xlpm.v,_xlfn.UNIQUE(_xlfn._xlws.FILTER(nrSCH_ChNum,ISNUMBER(SEARCH($B62,nrSCH_Instr))*(nrSCH_ChNum&lt;&gt;""))),_xlfn.TEXTJOIN(", ",TRUE,_xlfn.SORTBY(_xlpm.v,IFERROR(_xlpm.v+0,99999),1))),""))</f>
        <v/>
      </c>
    </row>
    <row r="63">
      <c r="B63" s="16" t="inlineStr">
        <is>
          <t>Justin Utley</t>
        </is>
      </c>
      <c r="C63" s="16" t="n"/>
      <c r="D63" s="16" t="n"/>
      <c r="E63" s="16" t="n"/>
      <c r="F63" s="16" t="n"/>
      <c r="G63" s="18" t="n"/>
      <c r="H63" s="16" t="n"/>
      <c r="I63" s="16" t="n"/>
      <c r="J63" s="16" t="n"/>
      <c r="K63" s="17">
        <f>IF($B63="","",IF($E63="Guest/Outside","N/A",IF(AND(OR($E63="TCOLE Instructor",AND(LEFT($E63,3)="SME",$H63="On File")),OR($I63="On File",$I63="N/A")),"Yes","No")))</f>
        <v/>
      </c>
      <c r="L63" s="17">
        <f>IF($B63="","",IF(SUMPRODUCT(--ISNUMBER(SEARCH($B63,nrSCH_Instr)))&gt;0,"Yes",""))</f>
        <v/>
      </c>
      <c r="M63" s="17">
        <f>IF($B63="","",IFERROR(_xlfn.LET(_xlpm.v,_xlfn.UNIQUE(_xlfn._xlws.FILTER(nrSCH_ChNum,ISNUMBER(SEARCH($B63,nrSCH_Instr))*(nrSCH_ChNum&lt;&gt;""))),_xlfn.TEXTJOIN(", ",TRUE,_xlfn.SORTBY(_xlpm.v,IFERROR(_xlpm.v+0,99999),1))),""))</f>
        <v/>
      </c>
    </row>
    <row r="64">
      <c r="B64" s="16" t="inlineStr">
        <is>
          <t>Jason Burton</t>
        </is>
      </c>
      <c r="C64" s="16" t="n"/>
      <c r="D64" s="16" t="n"/>
      <c r="E64" s="16" t="n"/>
      <c r="F64" s="16" t="n"/>
      <c r="G64" s="18" t="n"/>
      <c r="H64" s="16" t="n"/>
      <c r="I64" s="16" t="n"/>
      <c r="J64" s="16" t="n"/>
      <c r="K64" s="17">
        <f>IF($B64="","",IF($E64="Guest/Outside","N/A",IF(AND(OR($E64="TCOLE Instructor",AND(LEFT($E64,3)="SME",$H64="On File")),OR($I64="On File",$I64="N/A")),"Yes","No")))</f>
        <v/>
      </c>
      <c r="L64" s="17">
        <f>IF($B64="","",IF(SUMPRODUCT(--ISNUMBER(SEARCH($B64,nrSCH_Instr)))&gt;0,"Yes",""))</f>
        <v/>
      </c>
      <c r="M64" s="17">
        <f>IF($B64="","",IFERROR(_xlfn.LET(_xlpm.v,_xlfn.UNIQUE(_xlfn._xlws.FILTER(nrSCH_ChNum,ISNUMBER(SEARCH($B64,nrSCH_Instr))*(nrSCH_ChNum&lt;&gt;""))),_xlfn.TEXTJOIN(", ",TRUE,_xlfn.SORTBY(_xlpm.v,IFERROR(_xlpm.v+0,99999),1))),""))</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File",$I65="N/A")),"Yes","No")))</f>
        <v/>
      </c>
      <c r="L65" s="17">
        <f>IF($B65="","",IF(SUMPRODUCT(--ISNUMBER(SEARCH($B65,nrSCH_Instr)))&gt;0,"Yes",""))</f>
        <v/>
      </c>
      <c r="M65" s="17">
        <f>IF($B65="","",IFERROR(_xlfn.LET(_xlpm.v,_xlfn.UNIQUE(_xlfn._xlws.FILTER(nrSCH_ChNum,ISNUMBER(SEARCH($B65,nrSCH_Instr))*(nrSCH_ChNum&lt;&gt;""))),_xlfn.TEXTJOIN(", ",TRUE,_xlfn.SORTBY(_xlpm.v,IFERROR(_xlpm.v+0,99999),1))),""))</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File",$I66="N/A")),"Yes","No")))</f>
        <v/>
      </c>
      <c r="L66" s="17">
        <f>IF($B66="","",IF(SUMPRODUCT(--ISNUMBER(SEARCH($B66,nrSCH_Instr)))&gt;0,"Yes",""))</f>
        <v/>
      </c>
      <c r="M66" s="17">
        <f>IF($B66="","",IFERROR(_xlfn.LET(_xlpm.v,_xlfn.UNIQUE(_xlfn._xlws.FILTER(nrSCH_ChNum,ISNUMBER(SEARCH($B66,nrSCH_Instr))*(nrSCH_ChNum&lt;&gt;""))),_xlfn.TEXTJOIN(", ",TRUE,_xlfn.SORTBY(_xlpm.v,IFERROR(_xlpm.v+0,99999),1))),""))</f>
        <v/>
      </c>
    </row>
    <row r="67">
      <c r="B67" s="16" t="inlineStr">
        <is>
          <t>Pedro Maya</t>
        </is>
      </c>
      <c r="C67" s="16" t="n"/>
      <c r="D67" s="16" t="n"/>
      <c r="E67" s="16" t="n"/>
      <c r="F67" s="16" t="n"/>
      <c r="G67" s="18" t="n"/>
      <c r="H67" s="16" t="n"/>
      <c r="I67" s="16" t="n"/>
      <c r="J67" s="16" t="n"/>
      <c r="K67" s="17">
        <f>IF($B67="","",IF($E67="Guest/Outside","N/A",IF(AND(OR($E67="TCOLE Instructor",AND(LEFT($E67,3)="SME",$H67="On File")),OR($I67="On File",$I67="N/A")),"Yes","No")))</f>
        <v/>
      </c>
      <c r="L67" s="17">
        <f>IF($B67="","",IF(SUMPRODUCT(--ISNUMBER(SEARCH($B67,nrSCH_Instr)))&gt;0,"Yes",""))</f>
        <v/>
      </c>
      <c r="M67" s="17">
        <f>IF($B67="","",IFERROR(_xlfn.LET(_xlpm.v,_xlfn.UNIQUE(_xlfn._xlws.FILTER(nrSCH_ChNum,ISNUMBER(SEARCH($B67,nrSCH_Instr))*(nrSCH_ChNum&lt;&gt;""))),_xlfn.TEXTJOIN(", ",TRUE,_xlfn.SORTBY(_xlpm.v,IFERROR(_xlpm.v+0,99999),1))),""))</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File",$I68="N/A")),"Yes","No")))</f>
        <v/>
      </c>
      <c r="L68" s="17">
        <f>IF($B68="","",IF(SUMPRODUCT(--ISNUMBER(SEARCH($B68,nrSCH_Instr)))&gt;0,"Yes",""))</f>
        <v/>
      </c>
      <c r="M68" s="17">
        <f>IF($B68="","",IFERROR(_xlfn.LET(_xlpm.v,_xlfn.UNIQUE(_xlfn._xlws.FILTER(nrSCH_ChNum,ISNUMBER(SEARCH($B68,nrSCH_Instr))*(nrSCH_ChNum&lt;&gt;""))),_xlfn.TEXTJOIN(", ",TRUE,_xlfn.SORTBY(_xlpm.v,IFERROR(_xlpm.v+0,99999),1))),""))</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File",$I69="N/A")),"Yes","No")))</f>
        <v/>
      </c>
      <c r="L69" s="17">
        <f>IF($B69="","",IF(SUMPRODUCT(--ISNUMBER(SEARCH($B69,nrSCH_Instr)))&gt;0,"Yes",""))</f>
        <v/>
      </c>
      <c r="M69" s="17">
        <f>IF($B69="","",IFERROR(_xlfn.LET(_xlpm.v,_xlfn.UNIQUE(_xlfn._xlws.FILTER(nrSCH_ChNum,ISNUMBER(SEARCH($B69,nrSCH_Instr))*(nrSCH_ChNum&lt;&gt;""))),_xlfn.TEXTJOIN(", ",TRUE,_xlfn.SORTBY(_xlpm.v,IFERROR(_xlpm.v+0,99999),1))),""))</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File",$I70="N/A")),"Yes","No")))</f>
        <v/>
      </c>
      <c r="L70" s="17">
        <f>IF($B70="","",IF(SUMPRODUCT(--ISNUMBER(SEARCH($B70,nrSCH_Instr)))&gt;0,"Yes",""))</f>
        <v/>
      </c>
      <c r="M70" s="17">
        <f>IF($B70="","",IFERROR(_xlfn.LET(_xlpm.v,_xlfn.UNIQUE(_xlfn._xlws.FILTER(nrSCH_ChNum,ISNUMBER(SEARCH($B70,nrSCH_Instr))*(nrSCH_ChNum&lt;&gt;""))),_xlfn.TEXTJOIN(", ",TRUE,_xlfn.SORTBY(_xlpm.v,IFERROR(_xlpm.v+0,99999),1))),""))</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File",$I71="N/A")),"Yes","No")))</f>
        <v/>
      </c>
      <c r="L71" s="17">
        <f>IF($B71="","",IF(SUMPRODUCT(--ISNUMBER(SEARCH($B71,nrSCH_Instr)))&gt;0,"Yes",""))</f>
        <v/>
      </c>
      <c r="M71" s="17">
        <f>IF($B71="","",IFERROR(_xlfn.LET(_xlpm.v,_xlfn.UNIQUE(_xlfn._xlws.FILTER(nrSCH_ChNum,ISNUMBER(SEARCH($B71,nrSCH_Instr))*(nrSCH_ChNum&lt;&gt;""))),_xlfn.TEXTJOIN(", ",TRUE,_xlfn.SORTBY(_xlpm.v,IFERROR(_xlpm.v+0,99999),1))),""))</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File",$I72="N/A")),"Yes","No")))</f>
        <v/>
      </c>
      <c r="L72" s="17">
        <f>IF($B72="","",IF(SUMPRODUCT(--ISNUMBER(SEARCH($B72,nrSCH_Instr)))&gt;0,"Yes",""))</f>
        <v/>
      </c>
      <c r="M72" s="17">
        <f>IF($B72="","",IFERROR(_xlfn.LET(_xlpm.v,_xlfn.UNIQUE(_xlfn._xlws.FILTER(nrSCH_ChNum,ISNUMBER(SEARCH($B72,nrSCH_Instr))*(nrSCH_ChNum&lt;&gt;""))),_xlfn.TEXTJOIN(", ",TRUE,_xlfn.SORTBY(_xlpm.v,IFERROR(_xlpm.v+0,99999),1))),""))</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File",$I73="N/A")),"Yes","No")))</f>
        <v/>
      </c>
      <c r="L73" s="17">
        <f>IF($B73="","",IF(SUMPRODUCT(--ISNUMBER(SEARCH($B73,nrSCH_Instr)))&gt;0,"Yes",""))</f>
        <v/>
      </c>
      <c r="M73" s="17">
        <f>IF($B73="","",IFERROR(_xlfn.LET(_xlpm.v,_xlfn.UNIQUE(_xlfn._xlws.FILTER(nrSCH_ChNum,ISNUMBER(SEARCH($B73,nrSCH_Instr))*(nrSCH_ChNum&lt;&gt;""))),_xlfn.TEXTJOIN(", ",TRUE,_xlfn.SORTBY(_xlpm.v,IFERROR(_xlpm.v+0,99999),1))),""))</f>
        <v/>
      </c>
    </row>
    <row r="74">
      <c r="B74" s="16" t="n"/>
      <c r="C74" s="16" t="n"/>
      <c r="D74" s="16" t="n"/>
      <c r="E74" s="16" t="n"/>
      <c r="F74" s="16" t="n"/>
      <c r="G74" s="18" t="n"/>
      <c r="H74" s="16" t="n"/>
      <c r="I74" s="16" t="n"/>
      <c r="J74" s="16" t="n"/>
      <c r="K74" s="17">
        <f>IF($B74="","",IF($E74="Guest/Outside","N/A",IF(AND(OR($E74="TCOLE Instructor",AND(LEFT($E74,3)="SME",$H74="On File")),OR($I74="On File",$I74="N/A")),"Yes","No")))</f>
        <v/>
      </c>
      <c r="L74" s="17">
        <f>IF($B74="","",IF(SUMPRODUCT(--ISNUMBER(SEARCH($B74,nrSCH_Instr)))&gt;0,"Yes",""))</f>
        <v/>
      </c>
      <c r="M74" s="17">
        <f>IF($B74="","",IFERROR(_xlfn.LET(_xlpm.v,_xlfn.UNIQUE(_xlfn._xlws.FILTER(nrSCH_ChNum,ISNUMBER(SEARCH($B74,nrSCH_Instr))*(nrSCH_ChNum&lt;&gt;""))),_xlfn.TEXTJOIN(", ",TRUE,_xlfn.SORTBY(_xlpm.v,IFERROR(_xlpm.v+0,99999),1))),""))</f>
        <v/>
      </c>
    </row>
    <row r="75">
      <c r="B75" s="16" t="n"/>
      <c r="C75" s="16" t="n"/>
      <c r="D75" s="16" t="n"/>
      <c r="E75" s="16" t="n"/>
      <c r="F75" s="16" t="n"/>
      <c r="G75" s="18" t="n"/>
      <c r="H75" s="16" t="n"/>
      <c r="I75" s="16" t="n"/>
      <c r="J75" s="16" t="n"/>
      <c r="K75" s="17">
        <f>IF($B75="","",IF($E75="Guest/Outside","N/A",IF(AND(OR($E75="TCOLE Instructor",AND(LEFT($E75,3)="SME",$H75="On File")),OR($I75="On File",$I75="N/A")),"Yes","No")))</f>
        <v/>
      </c>
      <c r="L75" s="17">
        <f>IF($B75="","",IF(SUMPRODUCT(--ISNUMBER(SEARCH($B75,nrSCH_Instr)))&gt;0,"Yes",""))</f>
        <v/>
      </c>
      <c r="M75" s="17">
        <f>IF($B75="","",IFERROR(_xlfn.LET(_xlpm.v,_xlfn.UNIQUE(_xlfn._xlws.FILTER(nrSCH_ChNum,ISNUMBER(SEARCH($B75,nrSCH_Instr))*(nrSCH_ChNum&lt;&gt;""))),_xlfn.TEXTJOIN(", ",TRUE,_xlfn.SORTBY(_xlpm.v,IFERROR(_xlpm.v+0,99999),1))),""))</f>
        <v/>
      </c>
    </row>
    <row r="76">
      <c r="B76" s="16" t="n"/>
      <c r="C76" s="16" t="n"/>
      <c r="D76" s="16" t="n"/>
      <c r="E76" s="16" t="n"/>
      <c r="F76" s="16" t="n"/>
      <c r="G76" s="18" t="n"/>
      <c r="H76" s="16" t="n"/>
      <c r="I76" s="16" t="n"/>
      <c r="J76" s="16" t="n"/>
      <c r="K76" s="17">
        <f>IF($B76="","",IF($E76="Guest/Outside","N/A",IF(AND(OR($E76="TCOLE Instructor",AND(LEFT($E76,3)="SME",$H76="On File")),OR($I76="On File",$I76="N/A")),"Yes","No")))</f>
        <v/>
      </c>
      <c r="L76" s="17">
        <f>IF($B76="","",IF(SUMPRODUCT(--ISNUMBER(SEARCH($B76,nrSCH_Instr)))&gt;0,"Yes",""))</f>
        <v/>
      </c>
      <c r="M76" s="17">
        <f>IF($B76="","",IFERROR(_xlfn.LET(_xlpm.v,_xlfn.UNIQUE(_xlfn._xlws.FILTER(nrSCH_ChNum,ISNUMBER(SEARCH($B76,nrSCH_Instr))*(nrSCH_ChNum&lt;&gt;""))),_xlfn.TEXTJOIN(", ",TRUE,_xlfn.SORTBY(_xlpm.v,IFERROR(_xlpm.v+0,99999),1))),""))</f>
        <v/>
      </c>
    </row>
    <row r="77">
      <c r="B77" s="16" t="n"/>
      <c r="C77" s="16" t="n"/>
      <c r="D77" s="16" t="n"/>
      <c r="E77" s="16" t="n"/>
      <c r="F77" s="16" t="n"/>
      <c r="G77" s="18" t="n"/>
      <c r="H77" s="16" t="n"/>
      <c r="I77" s="16" t="n"/>
      <c r="J77" s="16" t="n"/>
      <c r="K77" s="17">
        <f>IF($B77="","",IF($E77="Guest/Outside","N/A",IF(AND(OR($E77="TCOLE Instructor",AND(LEFT($E77,3)="SME",$H77="On File")),OR($I77="On File",$I77="N/A")),"Yes","No")))</f>
        <v/>
      </c>
      <c r="L77" s="17">
        <f>IF($B77="","",IF(SUMPRODUCT(--ISNUMBER(SEARCH($B77,nrSCH_Instr)))&gt;0,"Yes",""))</f>
        <v/>
      </c>
      <c r="M77" s="17">
        <f>IF($B77="","",IFERROR(_xlfn.LET(_xlpm.v,_xlfn.UNIQUE(_xlfn._xlws.FILTER(nrSCH_ChNum,ISNUMBER(SEARCH($B77,nrSCH_Instr))*(nrSCH_ChNum&lt;&gt;""))),_xlfn.TEXTJOIN(", ",TRUE,_xlfn.SORTBY(_xlpm.v,IFERROR(_xlpm.v+0,99999),1))),""))</f>
        <v/>
      </c>
    </row>
    <row r="78">
      <c r="B78" s="16" t="n"/>
      <c r="C78" s="16" t="n"/>
      <c r="D78" s="16" t="n"/>
      <c r="E78" s="16" t="n"/>
      <c r="F78" s="16" t="n"/>
      <c r="G78" s="18" t="n"/>
      <c r="H78" s="16" t="n"/>
      <c r="I78" s="16" t="n"/>
      <c r="J78" s="16" t="n"/>
      <c r="K78" s="17">
        <f>IF($B78="","",IF($E78="Guest/Outside","N/A",IF(AND(OR($E78="TCOLE Instructor",AND(LEFT($E78,3)="SME",$H78="On File")),OR($I78="On File",$I78="N/A")),"Yes","No")))</f>
        <v/>
      </c>
      <c r="L78" s="17">
        <f>IF($B78="","",IF(SUMPRODUCT(--ISNUMBER(SEARCH($B78,nrSCH_Instr)))&gt;0,"Yes",""))</f>
        <v/>
      </c>
      <c r="M78" s="17">
        <f>IF($B78="","",IFERROR(_xlfn.LET(_xlpm.v,_xlfn.UNIQUE(_xlfn._xlws.FILTER(nrSCH_ChNum,ISNUMBER(SEARCH($B78,nrSCH_Instr))*(nrSCH_ChNum&lt;&gt;""))),_xlfn.TEXTJOIN(", ",TRUE,_xlfn.SORTBY(_xlpm.v,IFERROR(_xlpm.v+0,99999),1))),""))</f>
        <v/>
      </c>
    </row>
    <row r="79">
      <c r="B79" s="16" t="n"/>
      <c r="C79" s="16" t="n"/>
      <c r="D79" s="16" t="n"/>
      <c r="E79" s="16" t="n"/>
      <c r="F79" s="16" t="n"/>
      <c r="G79" s="18" t="n"/>
      <c r="H79" s="16" t="n"/>
      <c r="I79" s="16" t="n"/>
      <c r="J79" s="16" t="n"/>
      <c r="K79" s="17">
        <f>IF($B79="","",IF($E79="Guest/Outside","N/A",IF(AND(OR($E79="TCOLE Instructor",AND(LEFT($E79,3)="SME",$H79="On File")),OR($I79="On File",$I79="N/A")),"Yes","No")))</f>
        <v/>
      </c>
      <c r="L79" s="17">
        <f>IF($B79="","",IF(SUMPRODUCT(--ISNUMBER(SEARCH($B79,nrSCH_Instr)))&gt;0,"Yes",""))</f>
        <v/>
      </c>
      <c r="M79" s="17">
        <f>IF($B79="","",IFERROR(_xlfn.LET(_xlpm.v,_xlfn.UNIQUE(_xlfn._xlws.FILTER(nrSCH_ChNum,ISNUMBER(SEARCH($B79,nrSCH_Instr))*(nrSCH_ChNum&lt;&gt;""))),_xlfn.TEXTJOIN(", ",TRUE,_xlfn.SORTBY(_xlpm.v,IFERROR(_xlpm.v+0,99999),1))),""))</f>
        <v/>
      </c>
    </row>
    <row r="80">
      <c r="B80" s="16" t="n"/>
      <c r="C80" s="16" t="n"/>
      <c r="D80" s="16" t="n"/>
      <c r="E80" s="16" t="n"/>
      <c r="F80" s="16" t="n"/>
      <c r="G80" s="18" t="n"/>
      <c r="H80" s="16" t="n"/>
      <c r="I80" s="16" t="n"/>
      <c r="J80" s="16" t="n"/>
      <c r="K80" s="17">
        <f>IF($B80="","",IF($E80="Guest/Outside","N/A",IF(AND(OR($E80="TCOLE Instructor",AND(LEFT($E80,3)="SME",$H80="On File")),OR($I80="On File",$I80="N/A")),"Yes","No")))</f>
        <v/>
      </c>
      <c r="L80" s="17">
        <f>IF($B80="","",IF(SUMPRODUCT(--ISNUMBER(SEARCH($B80,nrSCH_Instr)))&gt;0,"Yes",""))</f>
        <v/>
      </c>
      <c r="M80" s="17">
        <f>IF($B80="","",IFERROR(_xlfn.LET(_xlpm.v,_xlfn.UNIQUE(_xlfn._xlws.FILTER(nrSCH_ChNum,ISNUMBER(SEARCH($B80,nrSCH_Instr))*(nrSCH_ChNum&lt;&gt;""))),_xlfn.TEXTJOIN(", ",TRUE,_xlfn.SORTBY(_xlpm.v,IFERROR(_xlpm.v+0,99999),1))),""))</f>
        <v/>
      </c>
    </row>
    <row r="81">
      <c r="B81" s="16" t="n"/>
      <c r="C81" s="16" t="n"/>
      <c r="D81" s="16" t="n"/>
      <c r="E81" s="16" t="n"/>
      <c r="F81" s="16" t="n"/>
      <c r="G81" s="18" t="n"/>
      <c r="H81" s="16" t="n"/>
      <c r="I81" s="16" t="n"/>
      <c r="J81" s="16" t="n"/>
      <c r="K81" s="17">
        <f>IF($B81="","",IF($E81="Guest/Outside","N/A",IF(AND(OR($E81="TCOLE Instructor",AND(LEFT($E81,3)="SME",$H81="On File")),OR($I81="On File",$I81="N/A")),"Yes","No")))</f>
        <v/>
      </c>
      <c r="L81" s="17">
        <f>IF($B81="","",IF(SUMPRODUCT(--ISNUMBER(SEARCH($B81,nrSCH_Instr)))&gt;0,"Yes",""))</f>
        <v/>
      </c>
      <c r="M81" s="17">
        <f>IF($B81="","",IFERROR(_xlfn.LET(_xlpm.v,_xlfn.UNIQUE(_xlfn._xlws.FILTER(nrSCH_ChNum,ISNUMBER(SEARCH($B81,nrSCH_Instr))*(nrSCH_ChNum&lt;&gt;""))),_xlfn.TEXTJOIN(", ",TRUE,_xlfn.SORTBY(_xlpm.v,IFERROR(_xlpm.v+0,99999),1))),""))</f>
        <v/>
      </c>
    </row>
    <row r="82">
      <c r="B82" s="16" t="n"/>
      <c r="C82" s="16" t="n"/>
      <c r="D82" s="16" t="n"/>
      <c r="E82" s="16" t="n"/>
      <c r="F82" s="16" t="n"/>
      <c r="G82" s="18" t="n"/>
      <c r="H82" s="16" t="n"/>
      <c r="I82" s="16" t="n"/>
      <c r="J82" s="16" t="n"/>
      <c r="K82" s="17">
        <f>IF($B82="","",IF($E82="Guest/Outside","N/A",IF(AND(OR($E82="TCOLE Instructor",AND(LEFT($E82,3)="SME",$H82="On File")),OR($I82="On File",$I82="N/A")),"Yes","No")))</f>
        <v/>
      </c>
      <c r="L82" s="17">
        <f>IF($B82="","",IF(SUMPRODUCT(--ISNUMBER(SEARCH($B82,nrSCH_Instr)))&gt;0,"Yes",""))</f>
        <v/>
      </c>
      <c r="M82" s="17">
        <f>IF($B82="","",IFERROR(_xlfn.LET(_xlpm.v,_xlfn.UNIQUE(_xlfn._xlws.FILTER(nrSCH_ChNum,ISNUMBER(SEARCH($B82,nrSCH_Instr))*(nrSCH_ChNum&lt;&gt;""))),_xlfn.TEXTJOIN(", ",TRUE,_xlfn.SORTBY(_xlpm.v,IFERROR(_xlpm.v+0,99999),1))),""))</f>
        <v/>
      </c>
    </row>
    <row r="83">
      <c r="B83" s="16" t="n"/>
      <c r="C83" s="16" t="n"/>
      <c r="D83" s="16" t="n"/>
      <c r="E83" s="16" t="n"/>
      <c r="F83" s="16" t="n"/>
      <c r="G83" s="18" t="n"/>
      <c r="H83" s="16" t="n"/>
      <c r="I83" s="16" t="n"/>
      <c r="J83" s="16" t="n"/>
      <c r="K83" s="17">
        <f>IF($B83="","",IF($E83="Guest/Outside","N/A",IF(AND(OR($E83="TCOLE Instructor",AND(LEFT($E83,3)="SME",$H83="On File")),OR($I83="On File",$I83="N/A")),"Yes","No")))</f>
        <v/>
      </c>
      <c r="L83" s="17">
        <f>IF($B83="","",IF(SUMPRODUCT(--ISNUMBER(SEARCH($B83,nrSCH_Instr)))&gt;0,"Yes",""))</f>
        <v/>
      </c>
      <c r="M83" s="17">
        <f>IF($B83="","",IFERROR(_xlfn.LET(_xlpm.v,_xlfn.UNIQUE(_xlfn._xlws.FILTER(nrSCH_ChNum,ISNUMBER(SEARCH($B83,nrSCH_Instr))*(nrSCH_ChNum&lt;&gt;""))),_xlfn.TEXTJOIN(", ",TRUE,_xlfn.SORTBY(_xlpm.v,IFERROR(_xlpm.v+0,99999),1))),""))</f>
        <v/>
      </c>
    </row>
    <row r="84">
      <c r="B84" s="16" t="n"/>
      <c r="C84" s="16" t="n"/>
      <c r="D84" s="16" t="n"/>
      <c r="E84" s="16" t="n"/>
      <c r="F84" s="16" t="n"/>
      <c r="G84" s="18" t="n"/>
      <c r="H84" s="16" t="n"/>
      <c r="I84" s="16" t="n"/>
      <c r="J84" s="16" t="n"/>
      <c r="K84" s="17">
        <f>IF($B84="","",IF($E84="Guest/Outside","N/A",IF(AND(OR($E84="TCOLE Instructor",AND(LEFT($E84,3)="SME",$H84="On File")),OR($I84="On File",$I84="N/A")),"Yes","No")))</f>
        <v/>
      </c>
      <c r="L84" s="17">
        <f>IF($B84="","",IF(SUMPRODUCT(--ISNUMBER(SEARCH($B84,nrSCH_Instr)))&gt;0,"Yes",""))</f>
        <v/>
      </c>
      <c r="M84" s="17">
        <f>IF($B84="","",IFERROR(_xlfn.LET(_xlpm.v,_xlfn.UNIQUE(_xlfn._xlws.FILTER(nrSCH_ChNum,ISNUMBER(SEARCH($B84,nrSCH_Instr))*(nrSCH_ChNum&lt;&gt;""))),_xlfn.TEXTJOIN(", ",TRUE,_xlfn.SORTBY(_xlpm.v,IFERROR(_xlpm.v+0,99999),1))),""))</f>
        <v/>
      </c>
    </row>
    <row r="85">
      <c r="B85" s="16" t="n"/>
      <c r="C85" s="16" t="n"/>
      <c r="D85" s="16" t="n"/>
      <c r="E85" s="16" t="n"/>
      <c r="F85" s="16" t="n"/>
      <c r="G85" s="18" t="n"/>
      <c r="H85" s="16" t="n"/>
      <c r="I85" s="16" t="n"/>
      <c r="J85" s="16" t="n"/>
      <c r="K85" s="17">
        <f>IF($B85="","",IF($E85="Guest/Outside","N/A",IF(AND(OR($E85="TCOLE Instructor",AND(LEFT($E85,3)="SME",$H85="On File")),OR($I85="On File",$I85="N/A")),"Yes","No")))</f>
        <v/>
      </c>
      <c r="L85" s="17">
        <f>IF($B85="","",IF(SUMPRODUCT(--ISNUMBER(SEARCH($B85,nrSCH_Instr)))&gt;0,"Yes",""))</f>
        <v/>
      </c>
      <c r="M85" s="17">
        <f>IF($B85="","",IFERROR(_xlfn.LET(_xlpm.v,_xlfn.UNIQUE(_xlfn._xlws.FILTER(nrSCH_ChNum,ISNUMBER(SEARCH($B85,nrSCH_Instr))*(nrSCH_ChNum&lt;&gt;""))),_xlfn.TEXTJOIN(", ",TRUE,_xlfn.SORTBY(_xlpm.v,IFERROR(_xlpm.v+0,99999),1))),""))</f>
        <v/>
      </c>
    </row>
    <row r="86">
      <c r="B86" s="16" t="n"/>
      <c r="C86" s="16" t="n"/>
      <c r="D86" s="16" t="n"/>
      <c r="E86" s="16" t="n"/>
      <c r="F86" s="16" t="n"/>
      <c r="G86" s="18" t="n"/>
      <c r="H86" s="16" t="n"/>
      <c r="I86" s="16" t="n"/>
      <c r="J86" s="16" t="n"/>
      <c r="K86" s="17">
        <f>IF($B86="","",IF($E86="Guest/Outside","N/A",IF(AND(OR($E86="TCOLE Instructor",AND(LEFT($E86,3)="SME",$H86="On File")),OR($I86="On File",$I86="N/A")),"Yes","No")))</f>
        <v/>
      </c>
      <c r="L86" s="17">
        <f>IF($B86="","",IF(SUMPRODUCT(--ISNUMBER(SEARCH($B86,nrSCH_Instr)))&gt;0,"Yes",""))</f>
        <v/>
      </c>
      <c r="M86" s="17">
        <f>IF($B86="","",IFERROR(_xlfn.LET(_xlpm.v,_xlfn.UNIQUE(_xlfn._xlws.FILTER(nrSCH_ChNum,ISNUMBER(SEARCH($B86,nrSCH_Instr))*(nrSCH_ChNum&lt;&gt;""))),_xlfn.TEXTJOIN(", ",TRUE,_xlfn.SORTBY(_xlpm.v,IFERROR(_xlpm.v+0,99999),1))),""))</f>
        <v/>
      </c>
    </row>
    <row r="87">
      <c r="B87" s="16" t="n"/>
      <c r="C87" s="16" t="n"/>
      <c r="D87" s="16" t="n"/>
      <c r="E87" s="16" t="n"/>
      <c r="F87" s="16" t="n"/>
      <c r="G87" s="18" t="n"/>
      <c r="H87" s="16" t="n"/>
      <c r="I87" s="16" t="n"/>
      <c r="J87" s="16" t="n"/>
      <c r="K87" s="17">
        <f>IF($B87="","",IF($E87="Guest/Outside","N/A",IF(AND(OR($E87="TCOLE Instructor",AND(LEFT($E87,3)="SME",$H87="On File")),OR($I87="On File",$I87="N/A")),"Yes","No")))</f>
        <v/>
      </c>
      <c r="L87" s="17">
        <f>IF($B87="","",IF(SUMPRODUCT(--ISNUMBER(SEARCH($B87,nrSCH_Instr)))&gt;0,"Yes",""))</f>
        <v/>
      </c>
      <c r="M87" s="17">
        <f>IF($B87="","",IFERROR(_xlfn.LET(_xlpm.v,_xlfn.UNIQUE(_xlfn._xlws.FILTER(nrSCH_ChNum,ISNUMBER(SEARCH($B87,nrSCH_Instr))*(nrSCH_ChNum&lt;&gt;""))),_xlfn.TEXTJOIN(", ",TRUE,_xlfn.SORTBY(_xlpm.v,IFERROR(_xlpm.v+0,99999),1))),""))</f>
        <v/>
      </c>
    </row>
    <row r="88">
      <c r="B88" s="16" t="n"/>
      <c r="C88" s="16" t="n"/>
      <c r="D88" s="16" t="n"/>
      <c r="E88" s="16" t="n"/>
      <c r="F88" s="16" t="n"/>
      <c r="G88" s="18" t="n"/>
      <c r="H88" s="16" t="n"/>
      <c r="I88" s="16" t="n"/>
      <c r="J88" s="16" t="n"/>
      <c r="K88" s="17">
        <f>IF($B88="","",IF($E88="Guest/Outside","N/A",IF(AND(OR($E88="TCOLE Instructor",AND(LEFT($E88,3)="SME",$H88="On File")),OR($I88="On File",$I88="N/A")),"Yes","No")))</f>
        <v/>
      </c>
      <c r="L88" s="17">
        <f>IF($B88="","",IF(SUMPRODUCT(--ISNUMBER(SEARCH($B88,nrSCH_Instr)))&gt;0,"Yes",""))</f>
        <v/>
      </c>
      <c r="M88" s="17">
        <f>IF($B88="","",IFERROR(_xlfn.LET(_xlpm.v,_xlfn.UNIQUE(_xlfn._xlws.FILTER(nrSCH_ChNum,ISNUMBER(SEARCH($B88,nrSCH_Instr))*(nrSCH_ChNum&lt;&gt;""))),_xlfn.TEXTJOIN(", ",TRUE,_xlfn.SORTBY(_xlpm.v,IFERROR(_xlpm.v+0,99999),1))),""))</f>
        <v/>
      </c>
    </row>
    <row r="89">
      <c r="B89" s="16" t="n"/>
      <c r="C89" s="16" t="n"/>
      <c r="D89" s="16" t="n"/>
      <c r="E89" s="16" t="n"/>
      <c r="F89" s="16" t="n"/>
      <c r="G89" s="18" t="n"/>
      <c r="H89" s="16" t="n"/>
      <c r="I89" s="16" t="n"/>
      <c r="J89" s="16" t="n"/>
      <c r="K89" s="17">
        <f>IF($B89="","",IF($E89="Guest/Outside","N/A",IF(AND(OR($E89="TCOLE Instructor",AND(LEFT($E89,3)="SME",$H89="On File")),OR($I89="On File",$I89="N/A")),"Yes","No")))</f>
        <v/>
      </c>
      <c r="L89" s="17">
        <f>IF($B89="","",IF(SUMPRODUCT(--ISNUMBER(SEARCH($B89,nrSCH_Instr)))&gt;0,"Yes",""))</f>
        <v/>
      </c>
      <c r="M89" s="17">
        <f>IF($B89="","",IFERROR(_xlfn.LET(_xlpm.v,_xlfn.UNIQUE(_xlfn._xlws.FILTER(nrSCH_ChNum,ISNUMBER(SEARCH($B89,nrSCH_Instr))*(nrSCH_ChNum&lt;&gt;""))),_xlfn.TEXTJOIN(", ",TRUE,_xlfn.SORTBY(_xlpm.v,IFERROR(_xlpm.v+0,99999),1))),""))</f>
        <v/>
      </c>
    </row>
    <row r="90">
      <c r="B90" s="16" t="n"/>
      <c r="C90" s="16" t="n"/>
      <c r="D90" s="16" t="n"/>
      <c r="E90" s="16" t="n"/>
      <c r="F90" s="16" t="n"/>
      <c r="G90" s="18" t="n"/>
      <c r="H90" s="16" t="n"/>
      <c r="I90" s="16" t="n"/>
      <c r="J90" s="16" t="n"/>
      <c r="K90" s="17">
        <f>IF($B90="","",IF($E90="Guest/Outside","N/A",IF(AND(OR($E90="TCOLE Instructor",AND(LEFT($E90,3)="SME",$H90="On File")),OR($I90="On File",$I90="N/A")),"Yes","No")))</f>
        <v/>
      </c>
      <c r="L90" s="17">
        <f>IF($B90="","",IF(SUMPRODUCT(--ISNUMBER(SEARCH($B90,nrSCH_Instr)))&gt;0,"Yes",""))</f>
        <v/>
      </c>
      <c r="M90" s="17">
        <f>IF($B90="","",IFERROR(_xlfn.LET(_xlpm.v,_xlfn.UNIQUE(_xlfn._xlws.FILTER(nrSCH_ChNum,ISNUMBER(SEARCH($B90,nrSCH_Instr))*(nrSCH_ChNum&lt;&gt;""))),_xlfn.TEXTJOIN(", ",TRUE,_xlfn.SORTBY(_xlpm.v,IFERROR(_xlpm.v+0,99999),1))),""))</f>
        <v/>
      </c>
    </row>
    <row r="91">
      <c r="B91" s="16" t="n"/>
      <c r="C91" s="16" t="n"/>
      <c r="D91" s="16" t="n"/>
      <c r="E91" s="16" t="n"/>
      <c r="F91" s="16" t="n"/>
      <c r="G91" s="18" t="n"/>
      <c r="H91" s="16" t="n"/>
      <c r="I91" s="16" t="n"/>
      <c r="J91" s="16" t="n"/>
      <c r="K91" s="17">
        <f>IF($B91="","",IF($E91="Guest/Outside","N/A",IF(AND(OR($E91="TCOLE Instructor",AND(LEFT($E91,3)="SME",$H91="On File")),OR($I91="On File",$I91="N/A")),"Yes","No")))</f>
        <v/>
      </c>
      <c r="L91" s="17">
        <f>IF($B91="","",IF(SUMPRODUCT(--ISNUMBER(SEARCH($B91,nrSCH_Instr)))&gt;0,"Yes",""))</f>
        <v/>
      </c>
      <c r="M91" s="17">
        <f>IF($B91="","",IFERROR(_xlfn.LET(_xlpm.v,_xlfn.UNIQUE(_xlfn._xlws.FILTER(nrSCH_ChNum,ISNUMBER(SEARCH($B91,nrSCH_Instr))*(nrSCH_ChNum&lt;&gt;""))),_xlfn.TEXTJOIN(", ",TRUE,_xlfn.SORTBY(_xlpm.v,IFERROR(_xlpm.v+0,99999),1))),""))</f>
        <v/>
      </c>
    </row>
    <row r="92">
      <c r="B92" s="16" t="n"/>
      <c r="C92" s="16" t="n"/>
      <c r="D92" s="16" t="n"/>
      <c r="E92" s="16" t="n"/>
      <c r="F92" s="16" t="n"/>
      <c r="G92" s="18" t="n"/>
      <c r="H92" s="16" t="n"/>
      <c r="I92" s="16" t="n"/>
      <c r="J92" s="16" t="n"/>
      <c r="K92" s="17">
        <f>IF($B92="","",IF($E92="Guest/Outside","N/A",IF(AND(OR($E92="TCOLE Instructor",AND(LEFT($E92,3)="SME",$H92="On File")),OR($I92="On File",$I92="N/A")),"Yes","No")))</f>
        <v/>
      </c>
      <c r="L92" s="17">
        <f>IF($B92="","",IF(SUMPRODUCT(--ISNUMBER(SEARCH($B92,nrSCH_Instr)))&gt;0,"Yes",""))</f>
        <v/>
      </c>
      <c r="M92" s="17">
        <f>IF($B92="","",IFERROR(_xlfn.LET(_xlpm.v,_xlfn.UNIQUE(_xlfn._xlws.FILTER(nrSCH_ChNum,ISNUMBER(SEARCH($B92,nrSCH_Instr))*(nrSCH_ChNum&lt;&gt;""))),_xlfn.TEXTJOIN(", ",TRUE,_xlfn.SORTBY(_xlpm.v,IFERROR(_xlpm.v+0,99999),1))),""))</f>
        <v/>
      </c>
    </row>
    <row r="93">
      <c r="B93" s="16" t="n"/>
      <c r="C93" s="16" t="n"/>
      <c r="D93" s="16" t="n"/>
      <c r="E93" s="16" t="n"/>
      <c r="F93" s="16" t="n"/>
      <c r="G93" s="18" t="n"/>
      <c r="H93" s="16" t="n"/>
      <c r="I93" s="16" t="n"/>
      <c r="J93" s="16" t="n"/>
      <c r="K93" s="17">
        <f>IF($B93="","",IF($E93="Guest/Outside","N/A",IF(AND(OR($E93="TCOLE Instructor",AND(LEFT($E93,3)="SME",$H93="On File")),OR($I93="On File",$I93="N/A")),"Yes","No")))</f>
        <v/>
      </c>
      <c r="L93" s="17">
        <f>IF($B93="","",IF(SUMPRODUCT(--ISNUMBER(SEARCH($B93,nrSCH_Instr)))&gt;0,"Yes",""))</f>
        <v/>
      </c>
      <c r="M93" s="17">
        <f>IF($B93="","",IFERROR(_xlfn.LET(_xlpm.v,_xlfn.UNIQUE(_xlfn._xlws.FILTER(nrSCH_ChNum,ISNUMBER(SEARCH($B93,nrSCH_Instr))*(nrSCH_ChNum&lt;&gt;""))),_xlfn.TEXTJOIN(", ",TRUE,_xlfn.SORTBY(_xlpm.v,IFERROR(_xlpm.v+0,99999),1))),""))</f>
        <v/>
      </c>
    </row>
    <row r="94">
      <c r="B94" s="16" t="n"/>
      <c r="C94" s="16" t="n"/>
      <c r="D94" s="16" t="n"/>
      <c r="E94" s="16" t="n"/>
      <c r="F94" s="16" t="n"/>
      <c r="G94" s="18" t="n"/>
      <c r="H94" s="16" t="n"/>
      <c r="I94" s="16" t="n"/>
      <c r="J94" s="16" t="n"/>
      <c r="K94" s="17">
        <f>IF($B94="","",IF($E94="Guest/Outside","N/A",IF(AND(OR($E94="TCOLE Instructor",AND(LEFT($E94,3)="SME",$H94="On File")),OR($I94="On File",$I94="N/A")),"Yes","No")))</f>
        <v/>
      </c>
      <c r="L94" s="17">
        <f>IF($B94="","",IF(SUMPRODUCT(--ISNUMBER(SEARCH($B94,nrSCH_Instr)))&gt;0,"Yes",""))</f>
        <v/>
      </c>
      <c r="M94" s="17">
        <f>IF($B94="","",IFERROR(_xlfn.LET(_xlpm.v,_xlfn.UNIQUE(_xlfn._xlws.FILTER(nrSCH_ChNum,ISNUMBER(SEARCH($B94,nrSCH_Instr))*(nrSCH_ChNum&lt;&gt;""))),_xlfn.TEXTJOIN(", ",TRUE,_xlfn.SORTBY(_xlpm.v,IFERROR(_xlpm.v+0,99999),1))),""))</f>
        <v/>
      </c>
    </row>
    <row r="95">
      <c r="B95" s="16" t="n"/>
      <c r="C95" s="16" t="n"/>
      <c r="D95" s="16" t="n"/>
      <c r="E95" s="16" t="n"/>
      <c r="F95" s="16" t="n"/>
      <c r="G95" s="18" t="n"/>
      <c r="H95" s="16" t="n"/>
      <c r="I95" s="16" t="n"/>
      <c r="J95" s="16" t="n"/>
      <c r="K95" s="17">
        <f>IF($B95="","",IF($E95="Guest/Outside","N/A",IF(AND(OR($E95="TCOLE Instructor",AND(LEFT($E95,3)="SME",$H95="On File")),OR($I95="On File",$I95="N/A")),"Yes","No")))</f>
        <v/>
      </c>
      <c r="L95" s="17">
        <f>IF($B95="","",IF(SUMPRODUCT(--ISNUMBER(SEARCH($B95,nrSCH_Instr)))&gt;0,"Yes",""))</f>
        <v/>
      </c>
      <c r="M95" s="17">
        <f>IF($B95="","",IFERROR(_xlfn.LET(_xlpm.v,_xlfn.UNIQUE(_xlfn._xlws.FILTER(nrSCH_ChNum,ISNUMBER(SEARCH($B95,nrSCH_Instr))*(nrSCH_ChNum&lt;&gt;""))),_xlfn.TEXTJOIN(", ",TRUE,_xlfn.SORTBY(_xlpm.v,IFERROR(_xlpm.v+0,99999),1))),""))</f>
        <v/>
      </c>
    </row>
  </sheetData>
  <conditionalFormatting sqref="K6:K95">
    <cfRule type="cellIs" priority="1" operator="equal" dxfId="2">
      <formula>"Yes"</formula>
    </cfRule>
    <cfRule type="cellIs" priority="2" operator="equal" dxfId="0">
      <formula>"No"</formula>
    </cfRule>
  </conditionalFormatting>
  <conditionalFormatting sqref="L6:L95">
    <cfRule type="expression" priority="3" dxfId="0">
      <formula>AND($L6="Yes",$K6="No")</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W8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Traffic Code</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Crash Investigation</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TIM</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Criminal Investigations - General Investigations</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Auto Theft</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Crime Scene</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Booking Operations</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Interview Techniques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Case Management</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Media Relations</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Review</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Digital Forensics</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PT - Base Level Evaluation</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 - Ju Jitsu</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Final</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"The Murph"</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Final Test</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State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Final Re-Test (If Needed)</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Graduation</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sheetData>
  <dataValidations count="2">
    <dataValidation sqref="C6:L80" showDropDown="0" showInputMessage="0" showErrorMessage="1" allowBlank="1" type="list">
      <formula1>=nrInstrNames</formula1>
    </dataValidation>
    <dataValidation sqref="M6:V80" showDropDown="0" showInputMessage="0" showErrorMessage="0" allowBlank="1" type="list">
      <formula1>=INDEX($C$6:$L$80,MATCH($B6,$B$6:$B$80,0),0)</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U70"/>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43" t="inlineStr">
        <is>
          <t>0</t>
        </is>
      </c>
      <c r="D6" s="16" t="inlineStr">
        <is>
          <t>Administrative/Departmental Overview</t>
        </is>
      </c>
      <c r="E6" s="16" t="n">
        <v>0</v>
      </c>
      <c r="F6" s="16" t="n">
        <v>0</v>
      </c>
      <c r="G6" s="17">
        <f>IF($D6="","",ROUND(SUMIFS(nrSCH_Hrs,nrSCH_ChNum,$C6),2))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43" t="inlineStr">
        <is>
          <t>1</t>
        </is>
      </c>
      <c r="D7" s="16" t="inlineStr">
        <is>
          <t>Professionalism and Ethics</t>
        </is>
      </c>
      <c r="E7" s="16" t="n">
        <v>12</v>
      </c>
      <c r="F7" s="16" t="n">
        <v>12</v>
      </c>
      <c r="G7" s="17">
        <f>IF($D7="","",ROUND(SUMIFS(nrSCH_Hrs,nrSCH_ChNum,$C7),2))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43" t="inlineStr">
        <is>
          <t>2</t>
        </is>
      </c>
      <c r="D8" s="16" t="inlineStr">
        <is>
          <t>Professional Policing</t>
        </is>
      </c>
      <c r="E8" s="16" t="n">
        <v>12</v>
      </c>
      <c r="F8" s="16" t="n">
        <v>12</v>
      </c>
      <c r="G8" s="17">
        <f>IF($D8="","",ROUND(SUMIFS(nrSCH_Hrs,nrSCH_ChNum,$C8),2))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43" t="inlineStr">
        <is>
          <t>3</t>
        </is>
      </c>
      <c r="D9" s="16" t="inlineStr">
        <is>
          <t>Fitness, Wellness, and Stress Management</t>
        </is>
      </c>
      <c r="E9" s="16" t="n">
        <v>16</v>
      </c>
      <c r="F9" s="16" t="n">
        <v>16</v>
      </c>
      <c r="G9" s="17">
        <f>IF($D9="","",ROUND(SUMIFS(nrSCH_Hrs,nrSCH_ChNum,$C9),2))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43" t="inlineStr">
        <is>
          <t>4</t>
        </is>
      </c>
      <c r="D10" s="16" t="inlineStr">
        <is>
          <t>TCOLE Rules</t>
        </is>
      </c>
      <c r="E10" s="16" t="n">
        <v>4</v>
      </c>
      <c r="F10" s="16" t="n">
        <v>4</v>
      </c>
      <c r="G10" s="17">
        <f>IF($D10="","",ROUND(SUMIFS(nrSCH_Hrs,nrSCH_ChNum,$C10),2))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43" t="inlineStr">
        <is>
          <t>5</t>
        </is>
      </c>
      <c r="D11" s="16" t="inlineStr">
        <is>
          <t>Multiculturalism and Human Relations</t>
        </is>
      </c>
      <c r="E11" s="16" t="n">
        <v>8</v>
      </c>
      <c r="F11" s="16" t="n">
        <v>8</v>
      </c>
      <c r="G11" s="17">
        <f>IF($D11="","",ROUND(SUMIFS(nrSCH_Hrs,nrSCH_ChNum,$C11),2))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43" t="inlineStr">
        <is>
          <t>6</t>
        </is>
      </c>
      <c r="D12" s="16" t="inlineStr">
        <is>
          <t>Racial Profiling</t>
        </is>
      </c>
      <c r="E12" s="16" t="n">
        <v>4</v>
      </c>
      <c r="F12" s="16" t="n">
        <v>4</v>
      </c>
      <c r="G12" s="17">
        <f>IF($D12="","",ROUND(SUMIFS(nrSCH_Hrs,nrSCH_ChNum,$C12),2))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43" t="inlineStr">
        <is>
          <t>7</t>
        </is>
      </c>
      <c r="D13" s="16" t="inlineStr">
        <is>
          <t>US, Texas Constitution and Rights</t>
        </is>
      </c>
      <c r="E13" s="16" t="n">
        <v>10</v>
      </c>
      <c r="F13" s="16" t="n">
        <v>10</v>
      </c>
      <c r="G13" s="17">
        <f>IF($D13="","",ROUND(SUMIFS(nrSCH_Hrs,nrSCH_ChNum,$C13),2))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43" t="inlineStr">
        <is>
          <t>8</t>
        </is>
      </c>
      <c r="D14" s="16" t="inlineStr">
        <is>
          <t>Penal Code</t>
        </is>
      </c>
      <c r="E14" s="16" t="n">
        <v>50</v>
      </c>
      <c r="F14" s="16" t="n">
        <v>60</v>
      </c>
      <c r="G14" s="17">
        <f>IF($D14="","",ROUND(SUMIFS(nrSCH_Hrs,nrSCH_ChNum,$C14),2))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43" t="inlineStr">
        <is>
          <t>9</t>
        </is>
      </c>
      <c r="D15" s="16" t="inlineStr">
        <is>
          <t>Code of Criminal Procedure</t>
        </is>
      </c>
      <c r="E15" s="16" t="n">
        <v>12</v>
      </c>
      <c r="F15" s="16" t="n">
        <v>12</v>
      </c>
      <c r="G15" s="17">
        <f>IF($D15="","",ROUND(SUMIFS(nrSCH_Hrs,nrSCH_ChNum,$C15),2))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43" t="inlineStr">
        <is>
          <t>10</t>
        </is>
      </c>
      <c r="D16" s="16" t="inlineStr">
        <is>
          <t>Arrest, Search, and Seizure</t>
        </is>
      </c>
      <c r="E16" s="16" t="n">
        <v>40</v>
      </c>
      <c r="F16" s="16" t="n">
        <v>46</v>
      </c>
      <c r="G16" s="17">
        <f>IF($D16="","",ROUND(SUMIFS(nrSCH_Hrs,nrSCH_ChNum,$C16),2))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43" t="inlineStr">
        <is>
          <t>11</t>
        </is>
      </c>
      <c r="D17" s="16" t="inlineStr">
        <is>
          <t>Asset Forfeiture</t>
        </is>
      </c>
      <c r="E17" s="16" t="n">
        <v>4</v>
      </c>
      <c r="F17" s="16" t="n">
        <v>5</v>
      </c>
      <c r="G17" s="17">
        <f>IF($D17="","",ROUND(SUMIFS(nrSCH_Hrs,nrSCH_ChNum,$C17),2))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43" t="inlineStr">
        <is>
          <t>12</t>
        </is>
      </c>
      <c r="D18" s="16" t="inlineStr">
        <is>
          <t>Identity Crimes</t>
        </is>
      </c>
      <c r="E18" s="16" t="n">
        <v>4</v>
      </c>
      <c r="F18" s="16" t="n">
        <v>4</v>
      </c>
      <c r="G18" s="17">
        <f>IF($D18="","",ROUND(SUMIFS(nrSCH_Hrs,nrSCH_ChNum,$C18),2))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43" t="inlineStr">
        <is>
          <t>13</t>
        </is>
      </c>
      <c r="D19" s="16" t="inlineStr">
        <is>
          <t>Consular Notification</t>
        </is>
      </c>
      <c r="E19" s="16" t="n">
        <v>1</v>
      </c>
      <c r="F19" s="16" t="n">
        <v>1</v>
      </c>
      <c r="G19" s="17">
        <f>IF($D19="","",ROUND(SUMIFS(nrSCH_Hrs,nrSCH_ChNum,$C19),2))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43" t="inlineStr">
        <is>
          <t>14</t>
        </is>
      </c>
      <c r="D20" s="16" t="inlineStr">
        <is>
          <t>Civil Process</t>
        </is>
      </c>
      <c r="E20" s="16" t="n">
        <v>4</v>
      </c>
      <c r="F20" s="16" t="n">
        <v>4</v>
      </c>
      <c r="G20" s="17">
        <f>IF($D20="","",ROUND(SUMIFS(nrSCH_Hrs,nrSCH_ChNum,$C20),2))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43" t="inlineStr">
        <is>
          <t>15</t>
        </is>
      </c>
      <c r="D21" s="16" t="inlineStr">
        <is>
          <t>Health and Safety Code and Controlled Substance Act</t>
        </is>
      </c>
      <c r="E21" s="16" t="n">
        <v>12</v>
      </c>
      <c r="F21" s="16" t="n">
        <v>12</v>
      </c>
      <c r="G21" s="17">
        <f>IF($D21="","",ROUND(SUMIFS(nrSCH_Hrs,nrSCH_ChNum,$C21),2))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43" t="inlineStr">
        <is>
          <t>16</t>
        </is>
      </c>
      <c r="D22" s="16" t="inlineStr">
        <is>
          <t>Alcoholic Beverage Code</t>
        </is>
      </c>
      <c r="E22" s="16" t="n">
        <v>4</v>
      </c>
      <c r="F22" s="16" t="n">
        <v>5</v>
      </c>
      <c r="G22" s="17">
        <f>IF($D22="","",ROUND(SUMIFS(nrSCH_Hrs,nrSCH_ChNum,$C22),2))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43" t="inlineStr">
        <is>
          <t>17</t>
        </is>
      </c>
      <c r="D23" s="16" t="inlineStr">
        <is>
          <t>Sexual Assault and Family Violence</t>
        </is>
      </c>
      <c r="E23" s="16" t="n">
        <v>12</v>
      </c>
      <c r="F23" s="16" t="n">
        <v>12</v>
      </c>
      <c r="G23" s="17">
        <f>IF($D23="","",ROUND(SUMIFS(nrSCH_Hrs,nrSCH_ChNum,$C23),2))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43" t="inlineStr">
        <is>
          <t>18</t>
        </is>
      </c>
      <c r="D24" s="16" t="inlineStr">
        <is>
          <t>Missing and Exploited Children</t>
        </is>
      </c>
      <c r="E24" s="16" t="n">
        <v>8</v>
      </c>
      <c r="F24" s="16" t="n">
        <v>8</v>
      </c>
      <c r="G24" s="17">
        <f>IF($D24="","",ROUND(SUMIFS(nrSCH_Hrs,nrSCH_ChNum,$C24),2))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43" t="inlineStr">
        <is>
          <t>19</t>
        </is>
      </c>
      <c r="D25" s="16" t="inlineStr">
        <is>
          <t>Child Safety Check Alert List</t>
        </is>
      </c>
      <c r="E25" s="16" t="n">
        <v>1</v>
      </c>
      <c r="F25" s="16" t="n">
        <v>1</v>
      </c>
      <c r="G25" s="17">
        <f>IF($D25="","",ROUND(SUMIFS(nrSCH_Hrs,nrSCH_ChNum,$C25),2))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43" t="inlineStr">
        <is>
          <t>20</t>
        </is>
      </c>
      <c r="D26" s="16" t="inlineStr">
        <is>
          <t>Victims of Crime</t>
        </is>
      </c>
      <c r="E26" s="16" t="n">
        <v>10</v>
      </c>
      <c r="F26" s="16" t="n">
        <v>11</v>
      </c>
      <c r="G26" s="17">
        <f>IF($D26="","",ROUND(SUMIFS(nrSCH_Hrs,nrSCH_ChNum,$C26),2))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43" t="inlineStr">
        <is>
          <t>21</t>
        </is>
      </c>
      <c r="D27" s="16" t="inlineStr">
        <is>
          <t>Human Trafficking</t>
        </is>
      </c>
      <c r="E27" s="16" t="n">
        <v>4</v>
      </c>
      <c r="F27" s="16" t="n">
        <v>4</v>
      </c>
      <c r="G27" s="17">
        <f>IF($D27="","",ROUND(SUMIFS(nrSCH_Hrs,nrSCH_ChNum,$C27),2))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43" t="inlineStr">
        <is>
          <t>22</t>
        </is>
      </c>
      <c r="D28" s="16" t="inlineStr">
        <is>
          <t>Traffic Code / Crash Investigation / TIM</t>
        </is>
      </c>
      <c r="E28" s="16" t="n">
        <v>74</v>
      </c>
      <c r="F28" s="16" t="n">
        <v>74</v>
      </c>
      <c r="G28" s="17">
        <f>IF($D28="","",ROUND(SUMIFS(nrSCH_Hrs,nrSCH_ChNum,$C28),2))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43" t="inlineStr">
        <is>
          <t>23</t>
        </is>
      </c>
      <c r="D29" s="16" t="inlineStr">
        <is>
          <t>Intoxicated Driver (SFST)</t>
        </is>
      </c>
      <c r="E29" s="16" t="n">
        <v>24</v>
      </c>
      <c r="F29" s="16" t="n">
        <v>34</v>
      </c>
      <c r="G29" s="17">
        <f>IF($D29="","",ROUND(SUMIFS(nrSCH_Hrs,nrSCH_ChNum,$C29),2))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43" t="inlineStr">
        <is>
          <t>24</t>
        </is>
      </c>
      <c r="D30" s="16" t="inlineStr">
        <is>
          <t>Written Communication</t>
        </is>
      </c>
      <c r="E30" s="16" t="n">
        <v>16</v>
      </c>
      <c r="F30" s="16" t="n">
        <v>16</v>
      </c>
      <c r="G30" s="17">
        <f>IF($D30="","",ROUND(SUMIFS(nrSCH_Hrs,nrSCH_ChNum,$C30),2))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43" t="inlineStr">
        <is>
          <t>25</t>
        </is>
      </c>
      <c r="D31" s="16" t="inlineStr">
        <is>
          <t>Verbal Communication/Public Interaction</t>
        </is>
      </c>
      <c r="E31" s="16" t="n">
        <v>16</v>
      </c>
      <c r="F31" s="16" t="n">
        <v>16</v>
      </c>
      <c r="G31" s="17">
        <f>IF($D31="","",ROUND(SUMIFS(nrSCH_Hrs,nrSCH_ChNum,$C31),2))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43" t="inlineStr">
        <is>
          <t>26</t>
        </is>
      </c>
      <c r="D32" s="16" t="inlineStr">
        <is>
          <t>Spanish</t>
        </is>
      </c>
      <c r="E32" s="16" t="n">
        <v>16</v>
      </c>
      <c r="F32" s="16" t="n">
        <v>16</v>
      </c>
      <c r="G32" s="17">
        <f>IF($D32="","",ROUND(SUMIFS(nrSCH_Hrs,nrSCH_ChNum,$C32),2))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43" t="inlineStr">
        <is>
          <t>27</t>
        </is>
      </c>
      <c r="D33" s="16" t="inlineStr">
        <is>
          <t>De-escalation Strategies</t>
        </is>
      </c>
      <c r="E33" s="16" t="n">
        <v>8</v>
      </c>
      <c r="F33" s="16" t="n">
        <v>16</v>
      </c>
      <c r="G33" s="17">
        <f>IF($D33="","",ROUND(SUMIFS(nrSCH_Hrs,nrSCH_ChNum,$C33),2))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43" t="inlineStr">
        <is>
          <t>28</t>
        </is>
      </c>
      <c r="D34" s="16" t="inlineStr">
        <is>
          <t>Force Options Theory</t>
        </is>
      </c>
      <c r="E34" s="16" t="n">
        <v>28</v>
      </c>
      <c r="F34" s="16" t="n">
        <v>28</v>
      </c>
      <c r="G34" s="17">
        <f>IF($D34="","",ROUND(SUMIFS(nrSCH_Hrs,nrSCH_ChNum,$C34),2))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43" t="inlineStr">
        <is>
          <t>29</t>
        </is>
      </c>
      <c r="D35" s="16" t="inlineStr">
        <is>
          <t>Crisis Intervention Training</t>
        </is>
      </c>
      <c r="E35" s="16" t="n">
        <v>40</v>
      </c>
      <c r="F35" s="16" t="n">
        <v>40</v>
      </c>
      <c r="G35" s="17">
        <f>IF($D35="","",ROUND(SUMIFS(nrSCH_Hrs,nrSCH_ChNum,$C35),2))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43" t="inlineStr">
        <is>
          <t>30</t>
        </is>
      </c>
      <c r="D36" s="16" t="inlineStr">
        <is>
          <t>Traumatic Brain Injury</t>
        </is>
      </c>
      <c r="E36" s="16" t="n">
        <v>2</v>
      </c>
      <c r="F36" s="16" t="n">
        <v>2</v>
      </c>
      <c r="G36" s="17">
        <f>IF($D36="","",ROUND(SUMIFS(nrSCH_Hrs,nrSCH_ChNum,$C36),2))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43" t="inlineStr">
        <is>
          <t>31</t>
        </is>
      </c>
      <c r="D37" s="16" t="inlineStr">
        <is>
          <t>Arrest and Control</t>
        </is>
      </c>
      <c r="E37" s="16" t="n">
        <v>40</v>
      </c>
      <c r="F37" s="16" t="n">
        <v>48</v>
      </c>
      <c r="G37" s="17">
        <f>IF($D37="","",ROUND(SUMIFS(nrSCH_Hrs,nrSCH_ChNum,$C37),2))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43" t="inlineStr">
        <is>
          <t>32</t>
        </is>
      </c>
      <c r="D38" s="16" t="inlineStr">
        <is>
          <t>Criminal Investigations</t>
        </is>
      </c>
      <c r="E38" s="16" t="n">
        <v>40</v>
      </c>
      <c r="F38" s="16" t="n">
        <v>48</v>
      </c>
      <c r="G38" s="17">
        <f>IF($D38="","",ROUND(SUMIFS(nrSCH_Hrs,nrSCH_ChNum,$C38),2))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43" t="inlineStr">
        <is>
          <t>33</t>
        </is>
      </c>
      <c r="D39" s="16" t="inlineStr">
        <is>
          <t>Juvenile Offenders</t>
        </is>
      </c>
      <c r="E39" s="16" t="n">
        <v>10</v>
      </c>
      <c r="F39" s="16" t="n">
        <v>11</v>
      </c>
      <c r="G39" s="17">
        <f>IF($D39="","",ROUND(SUMIFS(nrSCH_Hrs,nrSCH_ChNum,$C39),2))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43" t="inlineStr">
        <is>
          <t>34</t>
        </is>
      </c>
      <c r="D40" s="16" t="inlineStr">
        <is>
          <t>Professional Police Driving</t>
        </is>
      </c>
      <c r="E40" s="16" t="n">
        <v>32</v>
      </c>
      <c r="F40" s="16" t="n">
        <v>51</v>
      </c>
      <c r="G40" s="17">
        <f>IF($D40="","",ROUND(SUMIFS(nrSCH_Hrs,nrSCH_ChNum,$C40),2))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43" t="inlineStr">
        <is>
          <t>35</t>
        </is>
      </c>
      <c r="D41" s="16" t="inlineStr">
        <is>
          <t>Patrol Skills/Traffic Stops</t>
        </is>
      </c>
      <c r="E41" s="16" t="n">
        <v>46</v>
      </c>
      <c r="F41" s="16" t="n">
        <v>62</v>
      </c>
      <c r="G41" s="17">
        <f>IF($D41="","",ROUND(SUMIFS(nrSCH_Hrs,nrSCH_ChNum,$C41),2))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43" t="inlineStr">
        <is>
          <t>36</t>
        </is>
      </c>
      <c r="D42" s="16" t="inlineStr">
        <is>
          <t>Radio Communications /Amber-Silver Alert / TCIC-TLETS</t>
        </is>
      </c>
      <c r="E42" s="16" t="n">
        <v>16</v>
      </c>
      <c r="F42" s="16" t="n">
        <v>16</v>
      </c>
      <c r="G42" s="17">
        <f>IF($D42="","",ROUND(SUMIFS(nrSCH_Hrs,nrSCH_ChNum,$C42),2))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43" t="inlineStr">
        <is>
          <t>37</t>
        </is>
      </c>
      <c r="D43" s="16" t="inlineStr">
        <is>
          <t>Civilian Interaction Training</t>
        </is>
      </c>
      <c r="E43" s="16" t="n">
        <v>2</v>
      </c>
      <c r="F43" s="16" t="n">
        <v>2</v>
      </c>
      <c r="G43" s="17">
        <f>IF($D43="","",ROUND(SUMIFS(nrSCH_Hrs,nrSCH_ChNum,$C43),2))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43" t="inlineStr">
        <is>
          <t>38</t>
        </is>
      </c>
      <c r="D44" s="16" t="inlineStr">
        <is>
          <t>Interacting with Deaf and Hard of Hearing</t>
        </is>
      </c>
      <c r="E44" s="16" t="n">
        <v>4</v>
      </c>
      <c r="F44" s="16" t="n">
        <v>4</v>
      </c>
      <c r="G44" s="17">
        <f>IF($D44="","",ROUND(SUMIFS(nrSCH_Hrs,nrSCH_ChNum,$C44),2))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43" t="inlineStr">
        <is>
          <t>39</t>
        </is>
      </c>
      <c r="D45" s="16" t="inlineStr">
        <is>
          <t>Canine Encounters</t>
        </is>
      </c>
      <c r="E45" s="16" t="n">
        <v>4</v>
      </c>
      <c r="F45" s="16" t="n">
        <v>4</v>
      </c>
      <c r="G45" s="17">
        <f>IF($D45="","",ROUND(SUMIFS(nrSCH_Hrs,nrSCH_ChNum,$C45),2))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43" t="inlineStr">
        <is>
          <t>40</t>
        </is>
      </c>
      <c r="D46" s="16" t="inlineStr">
        <is>
          <t>Emergency Medical Assistance</t>
        </is>
      </c>
      <c r="E46" s="16" t="n">
        <v>16</v>
      </c>
      <c r="F46" s="16" t="n">
        <v>16</v>
      </c>
      <c r="G46" s="17">
        <f>IF($D46="","",ROUND(SUMIFS(nrSCH_Hrs,nrSCH_ChNum,$C46),2))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43" t="inlineStr">
        <is>
          <t>41</t>
        </is>
      </c>
      <c r="D47" s="16" t="inlineStr">
        <is>
          <t>Firearms</t>
        </is>
      </c>
      <c r="E47" s="16" t="n">
        <v>48</v>
      </c>
      <c r="F47" s="16" t="n">
        <v>48</v>
      </c>
      <c r="G47" s="17">
        <f>IF($D47="","",ROUND(SUMIFS(nrSCH_Hrs,nrSCH_ChNum,$C47),2))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43" t="inlineStr">
        <is>
          <t>42</t>
        </is>
      </c>
      <c r="D48" s="16" t="inlineStr">
        <is>
          <t>HazMat Awareness / ICS</t>
        </is>
      </c>
      <c r="E48" s="16" t="n">
        <v>4</v>
      </c>
      <c r="F48" s="16" t="n">
        <v>4</v>
      </c>
      <c r="G48" s="17">
        <f>IF($D48="","",ROUND(SUMIFS(nrSCH_Hrs,nrSCH_ChNum,$C48),2))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43" t="inlineStr">
        <is>
          <t>43</t>
        </is>
      </c>
      <c r="D49" s="16" t="inlineStr">
        <is>
          <t>ALERRT Level 1</t>
        </is>
      </c>
      <c r="E49" s="16" t="n">
        <v>16</v>
      </c>
      <c r="F49" s="16" t="n">
        <v>16</v>
      </c>
      <c r="G49" s="17">
        <f>IF($D49="","",ROUND(SUMIFS(nrSCH_Hrs,nrSCH_ChNum,$C49),2))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row r="51">
      <c r="D51" s="3" t="inlineStr">
        <is>
          <t>Totals:</t>
        </is>
      </c>
      <c r="E51" s="20">
        <f>SUM(E6:E49)</f>
        <v/>
      </c>
      <c r="F51" s="20">
        <f>SUM(F6:F49)</f>
        <v/>
      </c>
      <c r="G51" s="20">
        <f>SUM(G6:G49)</f>
        <v/>
      </c>
    </row>
    <row r="52">
      <c r="D52" s="3" t="inlineStr">
        <is>
          <t>Required TCOLE hours (exact):</t>
        </is>
      </c>
      <c r="E52" s="20" t="n">
        <v>736</v>
      </c>
      <c r="F52" s="2" t="inlineStr">
        <is>
          <t>Report the BPOC at exactly 736; excess goes to Addendum course #101</t>
        </is>
      </c>
    </row>
    <row r="53" ht="44" customHeight="1">
      <c r="D53" s="15">
        <f>IF((N(cfgRequiredHours)-SUM(E6:E49))=0,"Per-chapter TCOLE minimums total exactly "&amp;TEXT(SUM(E6:E49),"0.##")&amp;" hrs - the full reported course length.","NOTE: the per-chapter TCOLE minimums above total "&amp;TEXT(SUM(E6:E49),"0.##")&amp;" hrs, not the "&amp;N(cfgRequiredHours)&amp;" hrs the BPOC is reported at. The "&amp;TEXT((N(cfgRequiredHours)-SUM(E6:E49)),"0.##")&amp;"-hr difference is not assigned to any numbered chapter in this table (chapter A, Administrative/Departmental Overview, carries no TCOLE minimum here). This is a gap in the MINIMUMS column only - it does not change delivered hours or the exactly-"&amp;N(cfgRequiredHours)&amp;"-hour report. Verify the per-chapter minimums against the current TCOLE BPOC course outline and record where those hours belong before submission.")</f>
        <v/>
      </c>
    </row>
    <row r="54" ht="16" customHeight="1">
      <c r="B54" s="7" t="inlineStr">
        <is>
          <t>TPD sub-classes — schedule by THESE names; hours roll up to the parent TCOLE chapter</t>
        </is>
      </c>
      <c r="C54" s="8" t="n"/>
      <c r="D54" s="8" t="n"/>
      <c r="E54" s="8" t="n"/>
      <c r="F54" s="8" t="n"/>
      <c r="G54" s="8" t="n"/>
      <c r="H54" s="8" t="n"/>
      <c r="I54" s="8" t="n"/>
    </row>
    <row r="55" ht="26" customHeight="1">
      <c r="B55" s="12" t="inlineStr">
        <is>
          <t>Sub-class</t>
        </is>
      </c>
      <c r="C55" s="26" t="n"/>
      <c r="D55" s="23" t="n"/>
      <c r="E55" s="12" t="inlineStr">
        <is>
          <t>Parent Ch #</t>
        </is>
      </c>
      <c r="F55" s="12" t="inlineStr">
        <is>
          <t>TPD Target Hrs</t>
        </is>
      </c>
      <c r="G55" s="12" t="inlineStr">
        <is>
          <t>Delivered Hrs</t>
        </is>
      </c>
      <c r="H55" s="12" t="inlineStr">
        <is>
          <t>vs Target</t>
        </is>
      </c>
    </row>
    <row r="56">
      <c r="B56" s="16" t="inlineStr">
        <is>
          <t>Traffic Code</t>
        </is>
      </c>
      <c r="E56" s="43" t="inlineStr">
        <is>
          <t>22</t>
        </is>
      </c>
      <c r="F56" s="16" t="n">
        <v>50</v>
      </c>
      <c r="G56" s="17">
        <f>IF($B56="","",ROUND(SUMIFS(nrSCH_Hrs,nrSCH_Act,$B56),2))</f>
        <v/>
      </c>
      <c r="H56" s="28">
        <f>IF(OR($B56="",$G56=0),"",ROUND($G56-$F56,2))</f>
        <v/>
      </c>
    </row>
    <row r="57">
      <c r="B57" s="16" t="inlineStr">
        <is>
          <t>Crash Investigation</t>
        </is>
      </c>
      <c r="E57" s="43" t="inlineStr">
        <is>
          <t>22</t>
        </is>
      </c>
      <c r="F57" s="16" t="n">
        <v>12</v>
      </c>
      <c r="G57" s="17">
        <f>IF($B57="","",ROUND(SUMIFS(nrSCH_Hrs,nrSCH_Act,$B57),2))</f>
        <v/>
      </c>
      <c r="H57" s="28">
        <f>IF(OR($B57="",$G57=0),"",ROUND($G57-$F57,2))</f>
        <v/>
      </c>
    </row>
    <row r="58">
      <c r="B58" s="16" t="inlineStr">
        <is>
          <t>TIM</t>
        </is>
      </c>
      <c r="E58" s="43" t="inlineStr">
        <is>
          <t>22</t>
        </is>
      </c>
      <c r="F58" s="16" t="n">
        <v>12</v>
      </c>
      <c r="G58" s="17">
        <f>IF($B58="","",ROUND(SUMIFS(nrSCH_Hrs,nrSCH_Act,$B58),2))</f>
        <v/>
      </c>
      <c r="H58" s="28">
        <f>IF(OR($B58="",$G58=0),"",ROUND($G58-$F58,2))</f>
        <v/>
      </c>
    </row>
    <row r="59">
      <c r="B59" s="16" t="inlineStr">
        <is>
          <t>Criminal Investigations - General Investigations</t>
        </is>
      </c>
      <c r="E59" s="43" t="inlineStr">
        <is>
          <t>32</t>
        </is>
      </c>
      <c r="F59" s="16" t="n">
        <v>16</v>
      </c>
      <c r="G59" s="17">
        <f>IF($B59="","",ROUND(SUMIFS(nrSCH_Hrs,nrSCH_Act,$B59),2))</f>
        <v/>
      </c>
      <c r="H59" s="28">
        <f>IF(OR($B59="",$G59=0),"",ROUND($G59-$F59,2))</f>
        <v/>
      </c>
    </row>
    <row r="60">
      <c r="B60" s="16" t="inlineStr">
        <is>
          <t>Criminal Investigations - Auto Theft</t>
        </is>
      </c>
      <c r="E60" s="43" t="inlineStr">
        <is>
          <t>32</t>
        </is>
      </c>
      <c r="F60" s="16" t="n">
        <v>4</v>
      </c>
      <c r="G60" s="17">
        <f>IF($B60="","",ROUND(SUMIFS(nrSCH_Hrs,nrSCH_Act,$B60),2))</f>
        <v/>
      </c>
      <c r="H60" s="28">
        <f>IF(OR($B60="",$G60=0),"",ROUND($G60-$F60,2))</f>
        <v/>
      </c>
    </row>
    <row r="61">
      <c r="B61" s="16" t="inlineStr">
        <is>
          <t>Criminal Investigations - Crime Scene</t>
        </is>
      </c>
      <c r="E61" s="43" t="inlineStr">
        <is>
          <t>32</t>
        </is>
      </c>
      <c r="F61" s="16" t="n">
        <v>8</v>
      </c>
      <c r="G61" s="17">
        <f>IF($B61="","",ROUND(SUMIFS(nrSCH_Hrs,nrSCH_Act,$B61),2))</f>
        <v/>
      </c>
      <c r="H61" s="28">
        <f>IF(OR($B61="",$G61=0),"",ROUND($G61-$F61,2))</f>
        <v/>
      </c>
    </row>
    <row r="62">
      <c r="B62" s="16" t="inlineStr">
        <is>
          <t>Criminal Investigations - Booking Operations</t>
        </is>
      </c>
      <c r="E62" s="43" t="inlineStr">
        <is>
          <t>32</t>
        </is>
      </c>
      <c r="F62" s="16" t="n">
        <v>8</v>
      </c>
      <c r="G62" s="17">
        <f>IF($B62="","",ROUND(SUMIFS(nrSCH_Hrs,nrSCH_Act,$B62),2))</f>
        <v/>
      </c>
      <c r="H62" s="28">
        <f>IF(OR($B62="",$G62=0),"",ROUND($G62-$F62,2))</f>
        <v/>
      </c>
    </row>
    <row r="63">
      <c r="B63" s="16" t="inlineStr">
        <is>
          <t>Criminal Investigations - Interview Techniques</t>
        </is>
      </c>
      <c r="E63" s="43" t="inlineStr">
        <is>
          <t>32</t>
        </is>
      </c>
      <c r="F63" s="16" t="n">
        <v>4</v>
      </c>
      <c r="G63" s="17">
        <f>IF($B63="","",ROUND(SUMIFS(nrSCH_Hrs,nrSCH_Act,$B63),2))</f>
        <v/>
      </c>
      <c r="H63" s="28">
        <f>IF(OR($B63="",$G63=0),"",ROUND($G63-$F63,2))</f>
        <v/>
      </c>
    </row>
    <row r="64">
      <c r="B64" s="16" t="inlineStr">
        <is>
          <t>Criminal Investigations - Case Management</t>
        </is>
      </c>
      <c r="E64" s="43" t="inlineStr">
        <is>
          <t>32</t>
        </is>
      </c>
      <c r="F64" s="16" t="n">
        <v>4</v>
      </c>
      <c r="G64" s="17">
        <f>IF($B64="","",ROUND(SUMIFS(nrSCH_Hrs,nrSCH_Act,$B64),2))</f>
        <v/>
      </c>
      <c r="H64" s="28">
        <f>IF(OR($B64="",$G64=0),"",ROUND($G64-$F64,2))</f>
        <v/>
      </c>
    </row>
    <row r="65">
      <c r="B65" s="16" t="inlineStr">
        <is>
          <t>Criminal Investigations - Media Relations</t>
        </is>
      </c>
      <c r="E65" s="43" t="inlineStr">
        <is>
          <t>32</t>
        </is>
      </c>
      <c r="F65" s="16" t="n">
        <v>4</v>
      </c>
      <c r="G65" s="17">
        <f>IF($B65="","",ROUND(SUMIFS(nrSCH_Hrs,nrSCH_Act,$B65),2))</f>
        <v/>
      </c>
      <c r="H65" s="28">
        <f>IF(OR($B65="",$G65=0),"",ROUND($G65-$F65,2))</f>
        <v/>
      </c>
    </row>
    <row r="66">
      <c r="B66" s="16" t="n"/>
      <c r="E66" s="43" t="n"/>
      <c r="F66" s="16" t="n"/>
      <c r="G66" s="20">
        <f>IF($B66="","",ROUND(SUMIFS(nrSCH_Hrs,nrSCH_Act,$B66),2))</f>
        <v/>
      </c>
      <c r="H66" s="20">
        <f>IF(OR($B66="",$G66=0),"",ROUND($G66-$F66,2))</f>
        <v/>
      </c>
    </row>
    <row r="67">
      <c r="B67" s="16" t="n"/>
      <c r="E67" s="43" t="n"/>
      <c r="F67" s="16" t="n"/>
      <c r="G67" s="20">
        <f>IF($B67="","",ROUND(SUMIFS(nrSCH_Hrs,nrSCH_Act,$B67),2))</f>
        <v/>
      </c>
      <c r="H67" s="20">
        <f>IF(OR($B67="",$G67=0),"",ROUND($G67-$F67,2))</f>
        <v/>
      </c>
    </row>
    <row r="68">
      <c r="B68" s="16" t="n"/>
      <c r="E68" s="43" t="n"/>
      <c r="F68" s="16" t="n"/>
      <c r="G68" s="20">
        <f>IF($B68="","",ROUND(SUMIFS(nrSCH_Hrs,nrSCH_Act,$B68),2))</f>
        <v/>
      </c>
      <c r="H68" s="20">
        <f>IF(OR($B68="",$G68=0),"",ROUND($G68-$F68,2))</f>
        <v/>
      </c>
    </row>
    <row r="69">
      <c r="B69" s="16" t="n"/>
      <c r="E69" s="43" t="n"/>
      <c r="F69" s="16" t="n"/>
      <c r="G69" s="20">
        <f>IF($B69="","",ROUND(SUMIFS(nrSCH_Hrs,nrSCH_Act,$B69),2))</f>
        <v/>
      </c>
      <c r="H69" s="20">
        <f>IF(OR($B69="",$G69=0),"",ROUND($G69-$F69,2))</f>
        <v/>
      </c>
    </row>
    <row r="70">
      <c r="B70" s="16" t="n"/>
      <c r="E70" s="43" t="n"/>
      <c r="F70" s="16" t="n"/>
      <c r="G70" s="20">
        <f>IF($B70="","",ROUND(SUMIFS(nrSCH_Hrs,nrSCH_Act,$B70),2))</f>
        <v/>
      </c>
      <c r="H70" s="20">
        <f>IF(OR($B70="",$G70=0),"",ROUND($G70-$F70,2))</f>
        <v/>
      </c>
    </row>
  </sheetData>
  <mergeCells count="18">
    <mergeCell ref="B59:D59"/>
    <mergeCell ref="B60:D60"/>
    <mergeCell ref="B66:D66"/>
    <mergeCell ref="D53:K53"/>
    <mergeCell ref="B63:D63"/>
    <mergeCell ref="B61:D61"/>
    <mergeCell ref="B67:D67"/>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0">
      <formula>AND($H6&lt;&gt;"",$H6&lt;0)</formula>
    </cfRule>
  </conditionalFormatting>
  <conditionalFormatting sqref="U6:U49">
    <cfRule type="cellIs" priority="2" operator="equal" dxfId="2">
      <formula>"Yes"</formula>
    </cfRule>
    <cfRule type="cellIs" priority="3" operator="equal" dxfId="0">
      <formula>"No"</formula>
    </cfRule>
  </conditionalFormatting>
  <conditionalFormatting sqref="H56:H70">
    <cfRule type="expression" priority="4" dxfId="0">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43"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43"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43"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43"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43"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43"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43"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43"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43"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43"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43"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43"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43"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43"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43"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43"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43"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43"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43"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43"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43"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43"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43"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43"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43"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43"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43"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 — TCOLE</t>
        </is>
      </c>
      <c r="D8" s="43"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43"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43"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43"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43"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43"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43"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43"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43"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43"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43"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43"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43"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43"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43"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43"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43"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43"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43"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43"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43"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43"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43"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43"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43"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43"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 (ICS certificates)</t>
        </is>
      </c>
      <c r="D34" s="43"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ICS 200, and ICS 700 (training.fema.gov).</t>
        </is>
      </c>
    </row>
    <row r="35" ht="42" customHeight="1">
      <c r="B35" s="16" t="n">
        <v>30</v>
      </c>
      <c r="C35" s="16" t="inlineStr">
        <is>
          <t>Booking Procedures</t>
        </is>
      </c>
      <c r="D35" s="43"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43"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43"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43"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43"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43"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43"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43"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43"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43"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43"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7">
        <f>IFERROR(N(C6)+0,DATE(1900,1,1))</f>
        <v/>
      </c>
      <c r="P6" s="44">
        <f>YEAR(cfgStartDate)</f>
        <v/>
      </c>
      <c r="Q6" s="44">
        <f>MOD($P6,19)</f>
        <v/>
      </c>
      <c r="R6" s="44">
        <f>INT($P6/100)</f>
        <v/>
      </c>
      <c r="S6" s="44">
        <f>MOD($P6,100)</f>
        <v/>
      </c>
      <c r="T6" s="44">
        <f>INT($R6/4)</f>
        <v/>
      </c>
      <c r="U6" s="44">
        <f>MOD($R6,4)</f>
        <v/>
      </c>
      <c r="V6" s="44">
        <f>INT(($R6+8)/25)</f>
        <v/>
      </c>
      <c r="W6" s="44">
        <f>INT(($R6-$V6+1)/3)</f>
        <v/>
      </c>
      <c r="X6" s="44">
        <f>MOD(19*$Q6+$R6-$T6-$W6+15,30)</f>
        <v/>
      </c>
      <c r="Y6" s="44">
        <f>INT($S6/4)</f>
        <v/>
      </c>
      <c r="Z6" s="44">
        <f>MOD($S6,4)</f>
        <v/>
      </c>
      <c r="AA6" s="44">
        <f>MOD(32+2*$U6+2*$Y6-$X6-$Z6,7)</f>
        <v/>
      </c>
      <c r="AB6" s="44">
        <f>INT(($Q6+11*$X6+22*$AA6)/451)</f>
        <v/>
      </c>
      <c r="AC6" s="44">
        <f>INT(($X6+$AA6-7*$AB6+114)/31)</f>
        <v/>
      </c>
      <c r="AD6" s="44">
        <f>MOD($X6+$AA6-7*$AB6+114,31)+1</f>
        <v/>
      </c>
      <c r="AE6" s="45">
        <f>DATE($P6,$AC6,$AD6)</f>
        <v/>
      </c>
      <c r="AF6" s="45">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7">
        <f>IFERROR(N(C7)+0,DATE(1900,1,1))</f>
        <v/>
      </c>
      <c r="P7" s="44">
        <f>YEAR(cfgStartDate)+1</f>
        <v/>
      </c>
      <c r="Q7" s="44">
        <f>MOD($P7,19)</f>
        <v/>
      </c>
      <c r="R7" s="44">
        <f>INT($P7/100)</f>
        <v/>
      </c>
      <c r="S7" s="44">
        <f>MOD($P7,100)</f>
        <v/>
      </c>
      <c r="T7" s="44">
        <f>INT($R7/4)</f>
        <v/>
      </c>
      <c r="U7" s="44">
        <f>MOD($R7,4)</f>
        <v/>
      </c>
      <c r="V7" s="44">
        <f>INT(($R7+8)/25)</f>
        <v/>
      </c>
      <c r="W7" s="44">
        <f>INT(($R7-$V7+1)/3)</f>
        <v/>
      </c>
      <c r="X7" s="44">
        <f>MOD(19*$Q7+$R7-$T7-$W7+15,30)</f>
        <v/>
      </c>
      <c r="Y7" s="44">
        <f>INT($S7/4)</f>
        <v/>
      </c>
      <c r="Z7" s="44">
        <f>MOD($S7,4)</f>
        <v/>
      </c>
      <c r="AA7" s="44">
        <f>MOD(32+2*$U7+2*$Y7-$X7-$Z7,7)</f>
        <v/>
      </c>
      <c r="AB7" s="44">
        <f>INT(($Q7+11*$X7+22*$AA7)/451)</f>
        <v/>
      </c>
      <c r="AC7" s="44">
        <f>INT(($X7+$AA7-7*$AB7+114)/31)</f>
        <v/>
      </c>
      <c r="AD7" s="44">
        <f>MOD($X7+$AA7-7*$AB7+114,31)+1</f>
        <v/>
      </c>
      <c r="AE7" s="45">
        <f>DATE($P7,$AC7,$AD7)</f>
        <v/>
      </c>
      <c r="AF7" s="45">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7">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7">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7">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7">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7">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7">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7">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7">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7">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7">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7">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7">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7">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7">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7">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7">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7">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7">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7">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7">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7">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7">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7">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7">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7">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7">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7">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7">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7">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7">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7">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7">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7">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7">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7">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fitToPage="1"/>
  </sheetPr>
  <dimension ref="A1:O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3" customWidth="1" min="14" max="14"/>
    <col width="30" customWidth="1" min="15" max="15"/>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5% attendance cap.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row>
    <row r="6">
      <c r="B6" s="18" t="n"/>
      <c r="C6" s="17">
        <f>IF($B6="","",TEXT($B6,"ddd"))</f>
        <v/>
      </c>
      <c r="D6" s="46" t="n"/>
      <c r="E6" s="46"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IF(OR($B6="",$I6=""),"",IF(SUMPRODUCT((nrInstrNames&lt;&gt;"")*ISNUMBER(SEARCH(nrInstrNames,$I6)))&gt;0,"OK","UNRECOGNIZED"))</f>
        <v/>
      </c>
      <c r="O6" s="17">
        <f>IF(OR($B6="",$D6="",$E6=""),"",IF($E6=$D6,"CHECK TIMES (start = end)",IF($F6&gt;12,"CHECK TIMES (End is before Start?)","OK")))</f>
        <v/>
      </c>
    </row>
    <row r="7">
      <c r="B7" s="18" t="n"/>
      <c r="C7" s="17">
        <f>IF($B7="","",TEXT($B7,"ddd"))</f>
        <v/>
      </c>
      <c r="D7" s="46" t="n"/>
      <c r="E7" s="46"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IF(OR($B7="",$I7=""),"",IF(SUMPRODUCT((nrInstrNames&lt;&gt;"")*ISNUMBER(SEARCH(nrInstrNames,$I7)))&gt;0,"OK","UNRECOGNIZED"))</f>
        <v/>
      </c>
      <c r="O7" s="17">
        <f>IF(OR($B7="",$D7="",$E7=""),"",IF($E7=$D7,"CHECK TIMES (start = end)",IF($F7&gt;12,"CHECK TIMES (End is before Start?)","OK")))</f>
        <v/>
      </c>
    </row>
    <row r="8">
      <c r="B8" s="18" t="n"/>
      <c r="C8" s="17">
        <f>IF($B8="","",TEXT($B8,"ddd"))</f>
        <v/>
      </c>
      <c r="D8" s="46" t="n"/>
      <c r="E8" s="46"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IF(OR($B8="",$I8=""),"",IF(SUMPRODUCT((nrInstrNames&lt;&gt;"")*ISNUMBER(SEARCH(nrInstrNames,$I8)))&gt;0,"OK","UNRECOGNIZED"))</f>
        <v/>
      </c>
      <c r="O8" s="17">
        <f>IF(OR($B8="",$D8="",$E8=""),"",IF($E8=$D8,"CHECK TIMES (start = end)",IF($F8&gt;12,"CHECK TIMES (End is before Start?)","OK")))</f>
        <v/>
      </c>
    </row>
    <row r="9">
      <c r="B9" s="18" t="n"/>
      <c r="C9" s="17">
        <f>IF($B9="","",TEXT($B9,"ddd"))</f>
        <v/>
      </c>
      <c r="D9" s="46" t="n"/>
      <c r="E9" s="46"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IF(OR($B9="",$I9=""),"",IF(SUMPRODUCT((nrInstrNames&lt;&gt;"")*ISNUMBER(SEARCH(nrInstrNames,$I9)))&gt;0,"OK","UNRECOGNIZED"))</f>
        <v/>
      </c>
      <c r="O9" s="17">
        <f>IF(OR($B9="",$D9="",$E9=""),"",IF($E9=$D9,"CHECK TIMES (start = end)",IF($F9&gt;12,"CHECK TIMES (End is before Start?)","OK")))</f>
        <v/>
      </c>
    </row>
    <row r="10">
      <c r="B10" s="18" t="n"/>
      <c r="C10" s="17">
        <f>IF($B10="","",TEXT($B10,"ddd"))</f>
        <v/>
      </c>
      <c r="D10" s="46" t="n"/>
      <c r="E10" s="46"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IF(OR($B10="",$I10=""),"",IF(SUMPRODUCT((nrInstrNames&lt;&gt;"")*ISNUMBER(SEARCH(nrInstrNames,$I10)))&gt;0,"OK","UNRECOGNIZED"))</f>
        <v/>
      </c>
      <c r="O10" s="17">
        <f>IF(OR($B10="",$D10="",$E10=""),"",IF($E10=$D10,"CHECK TIMES (start = end)",IF($F10&gt;12,"CHECK TIMES (End is before Start?)","OK")))</f>
        <v/>
      </c>
    </row>
    <row r="11">
      <c r="B11" s="18" t="n"/>
      <c r="C11" s="17">
        <f>IF($B11="","",TEXT($B11,"ddd"))</f>
        <v/>
      </c>
      <c r="D11" s="46" t="n"/>
      <c r="E11" s="46"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IF(OR($B11="",$I11=""),"",IF(SUMPRODUCT((nrInstrNames&lt;&gt;"")*ISNUMBER(SEARCH(nrInstrNames,$I11)))&gt;0,"OK","UNRECOGNIZED"))</f>
        <v/>
      </c>
      <c r="O11" s="17">
        <f>IF(OR($B11="",$D11="",$E11=""),"",IF($E11=$D11,"CHECK TIMES (start = end)",IF($F11&gt;12,"CHECK TIMES (End is before Start?)","OK")))</f>
        <v/>
      </c>
    </row>
    <row r="12">
      <c r="B12" s="18" t="n"/>
      <c r="C12" s="17">
        <f>IF($B12="","",TEXT($B12,"ddd"))</f>
        <v/>
      </c>
      <c r="D12" s="46" t="n"/>
      <c r="E12" s="46"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IF(OR($B12="",$I12=""),"",IF(SUMPRODUCT((nrInstrNames&lt;&gt;"")*ISNUMBER(SEARCH(nrInstrNames,$I12)))&gt;0,"OK","UNRECOGNIZED"))</f>
        <v/>
      </c>
      <c r="O12" s="17">
        <f>IF(OR($B12="",$D12="",$E12=""),"",IF($E12=$D12,"CHECK TIMES (start = end)",IF($F12&gt;12,"CHECK TIMES (End is before Start?)","OK")))</f>
        <v/>
      </c>
    </row>
    <row r="13">
      <c r="B13" s="18" t="n"/>
      <c r="C13" s="17">
        <f>IF($B13="","",TEXT($B13,"ddd"))</f>
        <v/>
      </c>
      <c r="D13" s="46" t="n"/>
      <c r="E13" s="46"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IF(OR($B13="",$I13=""),"",IF(SUMPRODUCT((nrInstrNames&lt;&gt;"")*ISNUMBER(SEARCH(nrInstrNames,$I13)))&gt;0,"OK","UNRECOGNIZED"))</f>
        <v/>
      </c>
      <c r="O13" s="17">
        <f>IF(OR($B13="",$D13="",$E13=""),"",IF($E13=$D13,"CHECK TIMES (start = end)",IF($F13&gt;12,"CHECK TIMES (End is before Start?)","OK")))</f>
        <v/>
      </c>
    </row>
    <row r="14">
      <c r="B14" s="18" t="n"/>
      <c r="C14" s="17">
        <f>IF($B14="","",TEXT($B14,"ddd"))</f>
        <v/>
      </c>
      <c r="D14" s="46" t="n"/>
      <c r="E14" s="46"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IF(OR($B14="",$I14=""),"",IF(SUMPRODUCT((nrInstrNames&lt;&gt;"")*ISNUMBER(SEARCH(nrInstrNames,$I14)))&gt;0,"OK","UNRECOGNIZED"))</f>
        <v/>
      </c>
      <c r="O14" s="17">
        <f>IF(OR($B14="",$D14="",$E14=""),"",IF($E14=$D14,"CHECK TIMES (start = end)",IF($F14&gt;12,"CHECK TIMES (End is before Start?)","OK")))</f>
        <v/>
      </c>
    </row>
    <row r="15">
      <c r="B15" s="18" t="n"/>
      <c r="C15" s="17">
        <f>IF($B15="","",TEXT($B15,"ddd"))</f>
        <v/>
      </c>
      <c r="D15" s="46" t="n"/>
      <c r="E15" s="46"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IF(OR($B15="",$I15=""),"",IF(SUMPRODUCT((nrInstrNames&lt;&gt;"")*ISNUMBER(SEARCH(nrInstrNames,$I15)))&gt;0,"OK","UNRECOGNIZED"))</f>
        <v/>
      </c>
      <c r="O15" s="17">
        <f>IF(OR($B15="",$D15="",$E15=""),"",IF($E15=$D15,"CHECK TIMES (start = end)",IF($F15&gt;12,"CHECK TIMES (End is before Start?)","OK")))</f>
        <v/>
      </c>
    </row>
    <row r="16">
      <c r="B16" s="18" t="n"/>
      <c r="C16" s="17">
        <f>IF($B16="","",TEXT($B16,"ddd"))</f>
        <v/>
      </c>
      <c r="D16" s="46" t="n"/>
      <c r="E16" s="46"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IF(OR($B16="",$I16=""),"",IF(SUMPRODUCT((nrInstrNames&lt;&gt;"")*ISNUMBER(SEARCH(nrInstrNames,$I16)))&gt;0,"OK","UNRECOGNIZED"))</f>
        <v/>
      </c>
      <c r="O16" s="17">
        <f>IF(OR($B16="",$D16="",$E16=""),"",IF($E16=$D16,"CHECK TIMES (start = end)",IF($F16&gt;12,"CHECK TIMES (End is before Start?)","OK")))</f>
        <v/>
      </c>
    </row>
    <row r="17">
      <c r="B17" s="18" t="n"/>
      <c r="C17" s="17">
        <f>IF($B17="","",TEXT($B17,"ddd"))</f>
        <v/>
      </c>
      <c r="D17" s="46" t="n"/>
      <c r="E17" s="46"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IF(OR($B17="",$I17=""),"",IF(SUMPRODUCT((nrInstrNames&lt;&gt;"")*ISNUMBER(SEARCH(nrInstrNames,$I17)))&gt;0,"OK","UNRECOGNIZED"))</f>
        <v/>
      </c>
      <c r="O17" s="17">
        <f>IF(OR($B17="",$D17="",$E17=""),"",IF($E17=$D17,"CHECK TIMES (start = end)",IF($F17&gt;12,"CHECK TIMES (End is before Start?)","OK")))</f>
        <v/>
      </c>
    </row>
    <row r="18">
      <c r="B18" s="18" t="n"/>
      <c r="C18" s="17">
        <f>IF($B18="","",TEXT($B18,"ddd"))</f>
        <v/>
      </c>
      <c r="D18" s="46" t="n"/>
      <c r="E18" s="46"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IF(OR($B18="",$I18=""),"",IF(SUMPRODUCT((nrInstrNames&lt;&gt;"")*ISNUMBER(SEARCH(nrInstrNames,$I18)))&gt;0,"OK","UNRECOGNIZED"))</f>
        <v/>
      </c>
      <c r="O18" s="17">
        <f>IF(OR($B18="",$D18="",$E18=""),"",IF($E18=$D18,"CHECK TIMES (start = end)",IF($F18&gt;12,"CHECK TIMES (End is before Start?)","OK")))</f>
        <v/>
      </c>
    </row>
    <row r="19">
      <c r="B19" s="18" t="n"/>
      <c r="C19" s="17">
        <f>IF($B19="","",TEXT($B19,"ddd"))</f>
        <v/>
      </c>
      <c r="D19" s="46" t="n"/>
      <c r="E19" s="46"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IF(OR($B19="",$I19=""),"",IF(SUMPRODUCT((nrInstrNames&lt;&gt;"")*ISNUMBER(SEARCH(nrInstrNames,$I19)))&gt;0,"OK","UNRECOGNIZED"))</f>
        <v/>
      </c>
      <c r="O19" s="17">
        <f>IF(OR($B19="",$D19="",$E19=""),"",IF($E19=$D19,"CHECK TIMES (start = end)",IF($F19&gt;12,"CHECK TIMES (End is before Start?)","OK")))</f>
        <v/>
      </c>
    </row>
    <row r="20">
      <c r="B20" s="18" t="n"/>
      <c r="C20" s="17">
        <f>IF($B20="","",TEXT($B20,"ddd"))</f>
        <v/>
      </c>
      <c r="D20" s="46" t="n"/>
      <c r="E20" s="46"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IF(OR($B20="",$I20=""),"",IF(SUMPRODUCT((nrInstrNames&lt;&gt;"")*ISNUMBER(SEARCH(nrInstrNames,$I20)))&gt;0,"OK","UNRECOGNIZED"))</f>
        <v/>
      </c>
      <c r="O20" s="17">
        <f>IF(OR($B20="",$D20="",$E20=""),"",IF($E20=$D20,"CHECK TIMES (start = end)",IF($F20&gt;12,"CHECK TIMES (End is before Start?)","OK")))</f>
        <v/>
      </c>
    </row>
    <row r="21">
      <c r="B21" s="18" t="n"/>
      <c r="C21" s="17">
        <f>IF($B21="","",TEXT($B21,"ddd"))</f>
        <v/>
      </c>
      <c r="D21" s="46" t="n"/>
      <c r="E21" s="46"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IF(OR($B21="",$I21=""),"",IF(SUMPRODUCT((nrInstrNames&lt;&gt;"")*ISNUMBER(SEARCH(nrInstrNames,$I21)))&gt;0,"OK","UNRECOGNIZED"))</f>
        <v/>
      </c>
      <c r="O21" s="17">
        <f>IF(OR($B21="",$D21="",$E21=""),"",IF($E21=$D21,"CHECK TIMES (start = end)",IF($F21&gt;12,"CHECK TIMES (End is before Start?)","OK")))</f>
        <v/>
      </c>
    </row>
    <row r="22">
      <c r="B22" s="18" t="n"/>
      <c r="C22" s="17">
        <f>IF($B22="","",TEXT($B22,"ddd"))</f>
        <v/>
      </c>
      <c r="D22" s="46" t="n"/>
      <c r="E22" s="46"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IF(OR($B22="",$I22=""),"",IF(SUMPRODUCT((nrInstrNames&lt;&gt;"")*ISNUMBER(SEARCH(nrInstrNames,$I22)))&gt;0,"OK","UNRECOGNIZED"))</f>
        <v/>
      </c>
      <c r="O22" s="17">
        <f>IF(OR($B22="",$D22="",$E22=""),"",IF($E22=$D22,"CHECK TIMES (start = end)",IF($F22&gt;12,"CHECK TIMES (End is before Start?)","OK")))</f>
        <v/>
      </c>
    </row>
    <row r="23">
      <c r="B23" s="18" t="n"/>
      <c r="C23" s="17">
        <f>IF($B23="","",TEXT($B23,"ddd"))</f>
        <v/>
      </c>
      <c r="D23" s="46" t="n"/>
      <c r="E23" s="46"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IF(OR($B23="",$I23=""),"",IF(SUMPRODUCT((nrInstrNames&lt;&gt;"")*ISNUMBER(SEARCH(nrInstrNames,$I23)))&gt;0,"OK","UNRECOGNIZED"))</f>
        <v/>
      </c>
      <c r="O23" s="17">
        <f>IF(OR($B23="",$D23="",$E23=""),"",IF($E23=$D23,"CHECK TIMES (start = end)",IF($F23&gt;12,"CHECK TIMES (End is before Start?)","OK")))</f>
        <v/>
      </c>
    </row>
    <row r="24">
      <c r="B24" s="18" t="n"/>
      <c r="C24" s="17">
        <f>IF($B24="","",TEXT($B24,"ddd"))</f>
        <v/>
      </c>
      <c r="D24" s="46" t="n"/>
      <c r="E24" s="46"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IF(OR($B24="",$I24=""),"",IF(SUMPRODUCT((nrInstrNames&lt;&gt;"")*ISNUMBER(SEARCH(nrInstrNames,$I24)))&gt;0,"OK","UNRECOGNIZED"))</f>
        <v/>
      </c>
      <c r="O24" s="17">
        <f>IF(OR($B24="",$D24="",$E24=""),"",IF($E24=$D24,"CHECK TIMES (start = end)",IF($F24&gt;12,"CHECK TIMES (End is before Start?)","OK")))</f>
        <v/>
      </c>
    </row>
    <row r="25">
      <c r="B25" s="18" t="n"/>
      <c r="C25" s="17">
        <f>IF($B25="","",TEXT($B25,"ddd"))</f>
        <v/>
      </c>
      <c r="D25" s="46" t="n"/>
      <c r="E25" s="46"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IF(OR($B25="",$I25=""),"",IF(SUMPRODUCT((nrInstrNames&lt;&gt;"")*ISNUMBER(SEARCH(nrInstrNames,$I25)))&gt;0,"OK","UNRECOGNIZED"))</f>
        <v/>
      </c>
      <c r="O25" s="17">
        <f>IF(OR($B25="",$D25="",$E25=""),"",IF($E25=$D25,"CHECK TIMES (start = end)",IF($F25&gt;12,"CHECK TIMES (End is before Start?)","OK")))</f>
        <v/>
      </c>
    </row>
    <row r="26">
      <c r="B26" s="18" t="n"/>
      <c r="C26" s="17">
        <f>IF($B26="","",TEXT($B26,"ddd"))</f>
        <v/>
      </c>
      <c r="D26" s="46" t="n"/>
      <c r="E26" s="46"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IF(OR($B26="",$I26=""),"",IF(SUMPRODUCT((nrInstrNames&lt;&gt;"")*ISNUMBER(SEARCH(nrInstrNames,$I26)))&gt;0,"OK","UNRECOGNIZED"))</f>
        <v/>
      </c>
      <c r="O26" s="17">
        <f>IF(OR($B26="",$D26="",$E26=""),"",IF($E26=$D26,"CHECK TIMES (start = end)",IF($F26&gt;12,"CHECK TIMES (End is before Start?)","OK")))</f>
        <v/>
      </c>
    </row>
    <row r="27">
      <c r="B27" s="18" t="n"/>
      <c r="C27" s="17">
        <f>IF($B27="","",TEXT($B27,"ddd"))</f>
        <v/>
      </c>
      <c r="D27" s="46" t="n"/>
      <c r="E27" s="46"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IF(OR($B27="",$I27=""),"",IF(SUMPRODUCT((nrInstrNames&lt;&gt;"")*ISNUMBER(SEARCH(nrInstrNames,$I27)))&gt;0,"OK","UNRECOGNIZED"))</f>
        <v/>
      </c>
      <c r="O27" s="17">
        <f>IF(OR($B27="",$D27="",$E27=""),"",IF($E27=$D27,"CHECK TIMES (start = end)",IF($F27&gt;12,"CHECK TIMES (End is before Start?)","OK")))</f>
        <v/>
      </c>
    </row>
    <row r="28">
      <c r="B28" s="18" t="n"/>
      <c r="C28" s="17">
        <f>IF($B28="","",TEXT($B28,"ddd"))</f>
        <v/>
      </c>
      <c r="D28" s="46" t="n"/>
      <c r="E28" s="46"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IF(OR($B28="",$I28=""),"",IF(SUMPRODUCT((nrInstrNames&lt;&gt;"")*ISNUMBER(SEARCH(nrInstrNames,$I28)))&gt;0,"OK","UNRECOGNIZED"))</f>
        <v/>
      </c>
      <c r="O28" s="17">
        <f>IF(OR($B28="",$D28="",$E28=""),"",IF($E28=$D28,"CHECK TIMES (start = end)",IF($F28&gt;12,"CHECK TIMES (End is before Start?)","OK")))</f>
        <v/>
      </c>
    </row>
    <row r="29">
      <c r="B29" s="18" t="n"/>
      <c r="C29" s="17">
        <f>IF($B29="","",TEXT($B29,"ddd"))</f>
        <v/>
      </c>
      <c r="D29" s="46" t="n"/>
      <c r="E29" s="46"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IF(OR($B29="",$I29=""),"",IF(SUMPRODUCT((nrInstrNames&lt;&gt;"")*ISNUMBER(SEARCH(nrInstrNames,$I29)))&gt;0,"OK","UNRECOGNIZED"))</f>
        <v/>
      </c>
      <c r="O29" s="17">
        <f>IF(OR($B29="",$D29="",$E29=""),"",IF($E29=$D29,"CHECK TIMES (start = end)",IF($F29&gt;12,"CHECK TIMES (End is before Start?)","OK")))</f>
        <v/>
      </c>
    </row>
    <row r="30">
      <c r="B30" s="18" t="n"/>
      <c r="C30" s="17">
        <f>IF($B30="","",TEXT($B30,"ddd"))</f>
        <v/>
      </c>
      <c r="D30" s="46" t="n"/>
      <c r="E30" s="46"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IF(OR($B30="",$I30=""),"",IF(SUMPRODUCT((nrInstrNames&lt;&gt;"")*ISNUMBER(SEARCH(nrInstrNames,$I30)))&gt;0,"OK","UNRECOGNIZED"))</f>
        <v/>
      </c>
      <c r="O30" s="17">
        <f>IF(OR($B30="",$D30="",$E30=""),"",IF($E30=$D30,"CHECK TIMES (start = end)",IF($F30&gt;12,"CHECK TIMES (End is before Start?)","OK")))</f>
        <v/>
      </c>
    </row>
    <row r="31">
      <c r="B31" s="18" t="n"/>
      <c r="C31" s="17">
        <f>IF($B31="","",TEXT($B31,"ddd"))</f>
        <v/>
      </c>
      <c r="D31" s="46" t="n"/>
      <c r="E31" s="46"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IF(OR($B31="",$I31=""),"",IF(SUMPRODUCT((nrInstrNames&lt;&gt;"")*ISNUMBER(SEARCH(nrInstrNames,$I31)))&gt;0,"OK","UNRECOGNIZED"))</f>
        <v/>
      </c>
      <c r="O31" s="17">
        <f>IF(OR($B31="",$D31="",$E31=""),"",IF($E31=$D31,"CHECK TIMES (start = end)",IF($F31&gt;12,"CHECK TIMES (End is before Start?)","OK")))</f>
        <v/>
      </c>
    </row>
    <row r="32">
      <c r="B32" s="18" t="n"/>
      <c r="C32" s="17">
        <f>IF($B32="","",TEXT($B32,"ddd"))</f>
        <v/>
      </c>
      <c r="D32" s="46" t="n"/>
      <c r="E32" s="46"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IF(OR($B32="",$I32=""),"",IF(SUMPRODUCT((nrInstrNames&lt;&gt;"")*ISNUMBER(SEARCH(nrInstrNames,$I32)))&gt;0,"OK","UNRECOGNIZED"))</f>
        <v/>
      </c>
      <c r="O32" s="17">
        <f>IF(OR($B32="",$D32="",$E32=""),"",IF($E32=$D32,"CHECK TIMES (start = end)",IF($F32&gt;12,"CHECK TIMES (End is before Start?)","OK")))</f>
        <v/>
      </c>
    </row>
    <row r="33">
      <c r="B33" s="18" t="n"/>
      <c r="C33" s="17">
        <f>IF($B33="","",TEXT($B33,"ddd"))</f>
        <v/>
      </c>
      <c r="D33" s="46" t="n"/>
      <c r="E33" s="46"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IF(OR($B33="",$I33=""),"",IF(SUMPRODUCT((nrInstrNames&lt;&gt;"")*ISNUMBER(SEARCH(nrInstrNames,$I33)))&gt;0,"OK","UNRECOGNIZED"))</f>
        <v/>
      </c>
      <c r="O33" s="17">
        <f>IF(OR($B33="",$D33="",$E33=""),"",IF($E33=$D33,"CHECK TIMES (start = end)",IF($F33&gt;12,"CHECK TIMES (End is before Start?)","OK")))</f>
        <v/>
      </c>
    </row>
    <row r="34">
      <c r="B34" s="18" t="n"/>
      <c r="C34" s="17">
        <f>IF($B34="","",TEXT($B34,"ddd"))</f>
        <v/>
      </c>
      <c r="D34" s="46" t="n"/>
      <c r="E34" s="46"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IF(OR($B34="",$I34=""),"",IF(SUMPRODUCT((nrInstrNames&lt;&gt;"")*ISNUMBER(SEARCH(nrInstrNames,$I34)))&gt;0,"OK","UNRECOGNIZED"))</f>
        <v/>
      </c>
      <c r="O34" s="17">
        <f>IF(OR($B34="",$D34="",$E34=""),"",IF($E34=$D34,"CHECK TIMES (start = end)",IF($F34&gt;12,"CHECK TIMES (End is before Start?)","OK")))</f>
        <v/>
      </c>
    </row>
    <row r="35">
      <c r="B35" s="18" t="n"/>
      <c r="C35" s="17">
        <f>IF($B35="","",TEXT($B35,"ddd"))</f>
        <v/>
      </c>
      <c r="D35" s="46" t="n"/>
      <c r="E35" s="46"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IF(OR($B35="",$I35=""),"",IF(SUMPRODUCT((nrInstrNames&lt;&gt;"")*ISNUMBER(SEARCH(nrInstrNames,$I35)))&gt;0,"OK","UNRECOGNIZED"))</f>
        <v/>
      </c>
      <c r="O35" s="17">
        <f>IF(OR($B35="",$D35="",$E35=""),"",IF($E35=$D35,"CHECK TIMES (start = end)",IF($F35&gt;12,"CHECK TIMES (End is before Start?)","OK")))</f>
        <v/>
      </c>
    </row>
    <row r="36">
      <c r="B36" s="18" t="n"/>
      <c r="C36" s="17">
        <f>IF($B36="","",TEXT($B36,"ddd"))</f>
        <v/>
      </c>
      <c r="D36" s="46" t="n"/>
      <c r="E36" s="46"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IF(OR($B36="",$I36=""),"",IF(SUMPRODUCT((nrInstrNames&lt;&gt;"")*ISNUMBER(SEARCH(nrInstrNames,$I36)))&gt;0,"OK","UNRECOGNIZED"))</f>
        <v/>
      </c>
      <c r="O36" s="17">
        <f>IF(OR($B36="",$D36="",$E36=""),"",IF($E36=$D36,"CHECK TIMES (start = end)",IF($F36&gt;12,"CHECK TIMES (End is before Start?)","OK")))</f>
        <v/>
      </c>
    </row>
    <row r="37">
      <c r="B37" s="18" t="n"/>
      <c r="C37" s="17">
        <f>IF($B37="","",TEXT($B37,"ddd"))</f>
        <v/>
      </c>
      <c r="D37" s="46" t="n"/>
      <c r="E37" s="46"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IF(OR($B37="",$I37=""),"",IF(SUMPRODUCT((nrInstrNames&lt;&gt;"")*ISNUMBER(SEARCH(nrInstrNames,$I37)))&gt;0,"OK","UNRECOGNIZED"))</f>
        <v/>
      </c>
      <c r="O37" s="17">
        <f>IF(OR($B37="",$D37="",$E37=""),"",IF($E37=$D37,"CHECK TIMES (start = end)",IF($F37&gt;12,"CHECK TIMES (End is before Start?)","OK")))</f>
        <v/>
      </c>
    </row>
    <row r="38">
      <c r="B38" s="18" t="n"/>
      <c r="C38" s="17">
        <f>IF($B38="","",TEXT($B38,"ddd"))</f>
        <v/>
      </c>
      <c r="D38" s="46" t="n"/>
      <c r="E38" s="46"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IF(OR($B38="",$I38=""),"",IF(SUMPRODUCT((nrInstrNames&lt;&gt;"")*ISNUMBER(SEARCH(nrInstrNames,$I38)))&gt;0,"OK","UNRECOGNIZED"))</f>
        <v/>
      </c>
      <c r="O38" s="17">
        <f>IF(OR($B38="",$D38="",$E38=""),"",IF($E38=$D38,"CHECK TIMES (start = end)",IF($F38&gt;12,"CHECK TIMES (End is before Start?)","OK")))</f>
        <v/>
      </c>
    </row>
    <row r="39">
      <c r="B39" s="18" t="n"/>
      <c r="C39" s="17">
        <f>IF($B39="","",TEXT($B39,"ddd"))</f>
        <v/>
      </c>
      <c r="D39" s="46" t="n"/>
      <c r="E39" s="46"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IF(OR($B39="",$I39=""),"",IF(SUMPRODUCT((nrInstrNames&lt;&gt;"")*ISNUMBER(SEARCH(nrInstrNames,$I39)))&gt;0,"OK","UNRECOGNIZED"))</f>
        <v/>
      </c>
      <c r="O39" s="17">
        <f>IF(OR($B39="",$D39="",$E39=""),"",IF($E39=$D39,"CHECK TIMES (start = end)",IF($F39&gt;12,"CHECK TIMES (End is before Start?)","OK")))</f>
        <v/>
      </c>
    </row>
    <row r="40">
      <c r="B40" s="18" t="n"/>
      <c r="C40" s="17">
        <f>IF($B40="","",TEXT($B40,"ddd"))</f>
        <v/>
      </c>
      <c r="D40" s="46" t="n"/>
      <c r="E40" s="46"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IF(OR($B40="",$I40=""),"",IF(SUMPRODUCT((nrInstrNames&lt;&gt;"")*ISNUMBER(SEARCH(nrInstrNames,$I40)))&gt;0,"OK","UNRECOGNIZED"))</f>
        <v/>
      </c>
      <c r="O40" s="17">
        <f>IF(OR($B40="",$D40="",$E40=""),"",IF($E40=$D40,"CHECK TIMES (start = end)",IF($F40&gt;12,"CHECK TIMES (End is before Start?)","OK")))</f>
        <v/>
      </c>
    </row>
    <row r="41">
      <c r="B41" s="18" t="n"/>
      <c r="C41" s="17">
        <f>IF($B41="","",TEXT($B41,"ddd"))</f>
        <v/>
      </c>
      <c r="D41" s="46" t="n"/>
      <c r="E41" s="46"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IF(OR($B41="",$I41=""),"",IF(SUMPRODUCT((nrInstrNames&lt;&gt;"")*ISNUMBER(SEARCH(nrInstrNames,$I41)))&gt;0,"OK","UNRECOGNIZED"))</f>
        <v/>
      </c>
      <c r="O41" s="17">
        <f>IF(OR($B41="",$D41="",$E41=""),"",IF($E41=$D41,"CHECK TIMES (start = end)",IF($F41&gt;12,"CHECK TIMES (End is before Start?)","OK")))</f>
        <v/>
      </c>
    </row>
    <row r="42">
      <c r="B42" s="18" t="n"/>
      <c r="C42" s="17">
        <f>IF($B42="","",TEXT($B42,"ddd"))</f>
        <v/>
      </c>
      <c r="D42" s="46" t="n"/>
      <c r="E42" s="46"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IF(OR($B42="",$I42=""),"",IF(SUMPRODUCT((nrInstrNames&lt;&gt;"")*ISNUMBER(SEARCH(nrInstrNames,$I42)))&gt;0,"OK","UNRECOGNIZED"))</f>
        <v/>
      </c>
      <c r="O42" s="17">
        <f>IF(OR($B42="",$D42="",$E42=""),"",IF($E42=$D42,"CHECK TIMES (start = end)",IF($F42&gt;12,"CHECK TIMES (End is before Start?)","OK")))</f>
        <v/>
      </c>
    </row>
    <row r="43">
      <c r="B43" s="18" t="n"/>
      <c r="C43" s="17">
        <f>IF($B43="","",TEXT($B43,"ddd"))</f>
        <v/>
      </c>
      <c r="D43" s="46" t="n"/>
      <c r="E43" s="46"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IF(OR($B43="",$I43=""),"",IF(SUMPRODUCT((nrInstrNames&lt;&gt;"")*ISNUMBER(SEARCH(nrInstrNames,$I43)))&gt;0,"OK","UNRECOGNIZED"))</f>
        <v/>
      </c>
      <c r="O43" s="17">
        <f>IF(OR($B43="",$D43="",$E43=""),"",IF($E43=$D43,"CHECK TIMES (start = end)",IF($F43&gt;12,"CHECK TIMES (End is before Start?)","OK")))</f>
        <v/>
      </c>
    </row>
    <row r="44">
      <c r="B44" s="18" t="n"/>
      <c r="C44" s="17">
        <f>IF($B44="","",TEXT($B44,"ddd"))</f>
        <v/>
      </c>
      <c r="D44" s="46" t="n"/>
      <c r="E44" s="46"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IF(OR($B44="",$I44=""),"",IF(SUMPRODUCT((nrInstrNames&lt;&gt;"")*ISNUMBER(SEARCH(nrInstrNames,$I44)))&gt;0,"OK","UNRECOGNIZED"))</f>
        <v/>
      </c>
      <c r="O44" s="17">
        <f>IF(OR($B44="",$D44="",$E44=""),"",IF($E44=$D44,"CHECK TIMES (start = end)",IF($F44&gt;12,"CHECK TIMES (End is before Start?)","OK")))</f>
        <v/>
      </c>
    </row>
    <row r="45">
      <c r="B45" s="18" t="n"/>
      <c r="C45" s="17">
        <f>IF($B45="","",TEXT($B45,"ddd"))</f>
        <v/>
      </c>
      <c r="D45" s="46" t="n"/>
      <c r="E45" s="46"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IF(OR($B45="",$I45=""),"",IF(SUMPRODUCT((nrInstrNames&lt;&gt;"")*ISNUMBER(SEARCH(nrInstrNames,$I45)))&gt;0,"OK","UNRECOGNIZED"))</f>
        <v/>
      </c>
      <c r="O45" s="17">
        <f>IF(OR($B45="",$D45="",$E45=""),"",IF($E45=$D45,"CHECK TIMES (start = end)",IF($F45&gt;12,"CHECK TIMES (End is before Start?)","OK")))</f>
        <v/>
      </c>
    </row>
    <row r="46">
      <c r="B46" s="18" t="n"/>
      <c r="C46" s="17">
        <f>IF($B46="","",TEXT($B46,"ddd"))</f>
        <v/>
      </c>
      <c r="D46" s="46" t="n"/>
      <c r="E46" s="46"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IF(OR($B46="",$I46=""),"",IF(SUMPRODUCT((nrInstrNames&lt;&gt;"")*ISNUMBER(SEARCH(nrInstrNames,$I46)))&gt;0,"OK","UNRECOGNIZED"))</f>
        <v/>
      </c>
      <c r="O46" s="17">
        <f>IF(OR($B46="",$D46="",$E46=""),"",IF($E46=$D46,"CHECK TIMES (start = end)",IF($F46&gt;12,"CHECK TIMES (End is before Start?)","OK")))</f>
        <v/>
      </c>
    </row>
    <row r="47">
      <c r="B47" s="18" t="n"/>
      <c r="C47" s="17">
        <f>IF($B47="","",TEXT($B47,"ddd"))</f>
        <v/>
      </c>
      <c r="D47" s="46" t="n"/>
      <c r="E47" s="46"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IF(OR($B47="",$I47=""),"",IF(SUMPRODUCT((nrInstrNames&lt;&gt;"")*ISNUMBER(SEARCH(nrInstrNames,$I47)))&gt;0,"OK","UNRECOGNIZED"))</f>
        <v/>
      </c>
      <c r="O47" s="17">
        <f>IF(OR($B47="",$D47="",$E47=""),"",IF($E47=$D47,"CHECK TIMES (start = end)",IF($F47&gt;12,"CHECK TIMES (End is before Start?)","OK")))</f>
        <v/>
      </c>
    </row>
    <row r="48">
      <c r="B48" s="18" t="n"/>
      <c r="C48" s="17">
        <f>IF($B48="","",TEXT($B48,"ddd"))</f>
        <v/>
      </c>
      <c r="D48" s="46" t="n"/>
      <c r="E48" s="46"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IF(OR($B48="",$I48=""),"",IF(SUMPRODUCT((nrInstrNames&lt;&gt;"")*ISNUMBER(SEARCH(nrInstrNames,$I48)))&gt;0,"OK","UNRECOGNIZED"))</f>
        <v/>
      </c>
      <c r="O48" s="17">
        <f>IF(OR($B48="",$D48="",$E48=""),"",IF($E48=$D48,"CHECK TIMES (start = end)",IF($F48&gt;12,"CHECK TIMES (End is before Start?)","OK")))</f>
        <v/>
      </c>
    </row>
    <row r="49">
      <c r="B49" s="18" t="n"/>
      <c r="C49" s="17">
        <f>IF($B49="","",TEXT($B49,"ddd"))</f>
        <v/>
      </c>
      <c r="D49" s="46" t="n"/>
      <c r="E49" s="46"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IF(OR($B49="",$I49=""),"",IF(SUMPRODUCT((nrInstrNames&lt;&gt;"")*ISNUMBER(SEARCH(nrInstrNames,$I49)))&gt;0,"OK","UNRECOGNIZED"))</f>
        <v/>
      </c>
      <c r="O49" s="17">
        <f>IF(OR($B49="",$D49="",$E49=""),"",IF($E49=$D49,"CHECK TIMES (start = end)",IF($F49&gt;12,"CHECK TIMES (End is before Start?)","OK")))</f>
        <v/>
      </c>
    </row>
    <row r="50">
      <c r="B50" s="18" t="n"/>
      <c r="C50" s="17">
        <f>IF($B50="","",TEXT($B50,"ddd"))</f>
        <v/>
      </c>
      <c r="D50" s="46" t="n"/>
      <c r="E50" s="46"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IF(OR($B50="",$I50=""),"",IF(SUMPRODUCT((nrInstrNames&lt;&gt;"")*ISNUMBER(SEARCH(nrInstrNames,$I50)))&gt;0,"OK","UNRECOGNIZED"))</f>
        <v/>
      </c>
      <c r="O50" s="17">
        <f>IF(OR($B50="",$D50="",$E50=""),"",IF($E50=$D50,"CHECK TIMES (start = end)",IF($F50&gt;12,"CHECK TIMES (End is before Start?)","OK")))</f>
        <v/>
      </c>
    </row>
    <row r="51">
      <c r="B51" s="18" t="n"/>
      <c r="C51" s="17">
        <f>IF($B51="","",TEXT($B51,"ddd"))</f>
        <v/>
      </c>
      <c r="D51" s="46" t="n"/>
      <c r="E51" s="46"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IF(OR($B51="",$I51=""),"",IF(SUMPRODUCT((nrInstrNames&lt;&gt;"")*ISNUMBER(SEARCH(nrInstrNames,$I51)))&gt;0,"OK","UNRECOGNIZED"))</f>
        <v/>
      </c>
      <c r="O51" s="17">
        <f>IF(OR($B51="",$D51="",$E51=""),"",IF($E51=$D51,"CHECK TIMES (start = end)",IF($F51&gt;12,"CHECK TIMES (End is before Start?)","OK")))</f>
        <v/>
      </c>
    </row>
    <row r="52">
      <c r="B52" s="18" t="n"/>
      <c r="C52" s="17">
        <f>IF($B52="","",TEXT($B52,"ddd"))</f>
        <v/>
      </c>
      <c r="D52" s="46" t="n"/>
      <c r="E52" s="46"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IF(OR($B52="",$I52=""),"",IF(SUMPRODUCT((nrInstrNames&lt;&gt;"")*ISNUMBER(SEARCH(nrInstrNames,$I52)))&gt;0,"OK","UNRECOGNIZED"))</f>
        <v/>
      </c>
      <c r="O52" s="17">
        <f>IF(OR($B52="",$D52="",$E52=""),"",IF($E52=$D52,"CHECK TIMES (start = end)",IF($F52&gt;12,"CHECK TIMES (End is before Start?)","OK")))</f>
        <v/>
      </c>
    </row>
    <row r="53">
      <c r="B53" s="18" t="n"/>
      <c r="C53" s="17">
        <f>IF($B53="","",TEXT($B53,"ddd"))</f>
        <v/>
      </c>
      <c r="D53" s="46" t="n"/>
      <c r="E53" s="46"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IF(OR($B53="",$I53=""),"",IF(SUMPRODUCT((nrInstrNames&lt;&gt;"")*ISNUMBER(SEARCH(nrInstrNames,$I53)))&gt;0,"OK","UNRECOGNIZED"))</f>
        <v/>
      </c>
      <c r="O53" s="17">
        <f>IF(OR($B53="",$D53="",$E53=""),"",IF($E53=$D53,"CHECK TIMES (start = end)",IF($F53&gt;12,"CHECK TIMES (End is before Start?)","OK")))</f>
        <v/>
      </c>
    </row>
    <row r="54">
      <c r="B54" s="18" t="n"/>
      <c r="C54" s="17">
        <f>IF($B54="","",TEXT($B54,"ddd"))</f>
        <v/>
      </c>
      <c r="D54" s="46" t="n"/>
      <c r="E54" s="46"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IF(OR($B54="",$I54=""),"",IF(SUMPRODUCT((nrInstrNames&lt;&gt;"")*ISNUMBER(SEARCH(nrInstrNames,$I54)))&gt;0,"OK","UNRECOGNIZED"))</f>
        <v/>
      </c>
      <c r="O54" s="17">
        <f>IF(OR($B54="",$D54="",$E54=""),"",IF($E54=$D54,"CHECK TIMES (start = end)",IF($F54&gt;12,"CHECK TIMES (End is before Start?)","OK")))</f>
        <v/>
      </c>
    </row>
    <row r="55">
      <c r="B55" s="18" t="n"/>
      <c r="C55" s="17">
        <f>IF($B55="","",TEXT($B55,"ddd"))</f>
        <v/>
      </c>
      <c r="D55" s="46" t="n"/>
      <c r="E55" s="46"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IF(OR($B55="",$I55=""),"",IF(SUMPRODUCT((nrInstrNames&lt;&gt;"")*ISNUMBER(SEARCH(nrInstrNames,$I55)))&gt;0,"OK","UNRECOGNIZED"))</f>
        <v/>
      </c>
      <c r="O55" s="17">
        <f>IF(OR($B55="",$D55="",$E55=""),"",IF($E55=$D55,"CHECK TIMES (start = end)",IF($F55&gt;12,"CHECK TIMES (End is before Start?)","OK")))</f>
        <v/>
      </c>
    </row>
    <row r="56">
      <c r="B56" s="18" t="n"/>
      <c r="C56" s="17">
        <f>IF($B56="","",TEXT($B56,"ddd"))</f>
        <v/>
      </c>
      <c r="D56" s="46" t="n"/>
      <c r="E56" s="46"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IF(OR($B56="",$I56=""),"",IF(SUMPRODUCT((nrInstrNames&lt;&gt;"")*ISNUMBER(SEARCH(nrInstrNames,$I56)))&gt;0,"OK","UNRECOGNIZED"))</f>
        <v/>
      </c>
      <c r="O56" s="17">
        <f>IF(OR($B56="",$D56="",$E56=""),"",IF($E56=$D56,"CHECK TIMES (start = end)",IF($F56&gt;12,"CHECK TIMES (End is before Start?)","OK")))</f>
        <v/>
      </c>
    </row>
    <row r="57">
      <c r="B57" s="18" t="n"/>
      <c r="C57" s="17">
        <f>IF($B57="","",TEXT($B57,"ddd"))</f>
        <v/>
      </c>
      <c r="D57" s="46" t="n"/>
      <c r="E57" s="46"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IF(OR($B57="",$I57=""),"",IF(SUMPRODUCT((nrInstrNames&lt;&gt;"")*ISNUMBER(SEARCH(nrInstrNames,$I57)))&gt;0,"OK","UNRECOGNIZED"))</f>
        <v/>
      </c>
      <c r="O57" s="17">
        <f>IF(OR($B57="",$D57="",$E57=""),"",IF($E57=$D57,"CHECK TIMES (start = end)",IF($F57&gt;12,"CHECK TIMES (End is before Start?)","OK")))</f>
        <v/>
      </c>
    </row>
    <row r="58">
      <c r="B58" s="18" t="n"/>
      <c r="C58" s="17">
        <f>IF($B58="","",TEXT($B58,"ddd"))</f>
        <v/>
      </c>
      <c r="D58" s="46" t="n"/>
      <c r="E58" s="46"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IF(OR($B58="",$I58=""),"",IF(SUMPRODUCT((nrInstrNames&lt;&gt;"")*ISNUMBER(SEARCH(nrInstrNames,$I58)))&gt;0,"OK","UNRECOGNIZED"))</f>
        <v/>
      </c>
      <c r="O58" s="17">
        <f>IF(OR($B58="",$D58="",$E58=""),"",IF($E58=$D58,"CHECK TIMES (start = end)",IF($F58&gt;12,"CHECK TIMES (End is before Start?)","OK")))</f>
        <v/>
      </c>
    </row>
    <row r="59">
      <c r="B59" s="18" t="n"/>
      <c r="C59" s="17">
        <f>IF($B59="","",TEXT($B59,"ddd"))</f>
        <v/>
      </c>
      <c r="D59" s="46" t="n"/>
      <c r="E59" s="46"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IF(OR($B59="",$I59=""),"",IF(SUMPRODUCT((nrInstrNames&lt;&gt;"")*ISNUMBER(SEARCH(nrInstrNames,$I59)))&gt;0,"OK","UNRECOGNIZED"))</f>
        <v/>
      </c>
      <c r="O59" s="17">
        <f>IF(OR($B59="",$D59="",$E59=""),"",IF($E59=$D59,"CHECK TIMES (start = end)",IF($F59&gt;12,"CHECK TIMES (End is before Start?)","OK")))</f>
        <v/>
      </c>
    </row>
    <row r="60">
      <c r="B60" s="18" t="n"/>
      <c r="C60" s="17">
        <f>IF($B60="","",TEXT($B60,"ddd"))</f>
        <v/>
      </c>
      <c r="D60" s="46" t="n"/>
      <c r="E60" s="46"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IF(OR($B60="",$I60=""),"",IF(SUMPRODUCT((nrInstrNames&lt;&gt;"")*ISNUMBER(SEARCH(nrInstrNames,$I60)))&gt;0,"OK","UNRECOGNIZED"))</f>
        <v/>
      </c>
      <c r="O60" s="17">
        <f>IF(OR($B60="",$D60="",$E60=""),"",IF($E60=$D60,"CHECK TIMES (start = end)",IF($F60&gt;12,"CHECK TIMES (End is before Start?)","OK")))</f>
        <v/>
      </c>
    </row>
    <row r="61">
      <c r="B61" s="18" t="n"/>
      <c r="C61" s="17">
        <f>IF($B61="","",TEXT($B61,"ddd"))</f>
        <v/>
      </c>
      <c r="D61" s="46" t="n"/>
      <c r="E61" s="46"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IF(OR($B61="",$I61=""),"",IF(SUMPRODUCT((nrInstrNames&lt;&gt;"")*ISNUMBER(SEARCH(nrInstrNames,$I61)))&gt;0,"OK","UNRECOGNIZED"))</f>
        <v/>
      </c>
      <c r="O61" s="17">
        <f>IF(OR($B61="",$D61="",$E61=""),"",IF($E61=$D61,"CHECK TIMES (start = end)",IF($F61&gt;12,"CHECK TIMES (End is before Start?)","OK")))</f>
        <v/>
      </c>
    </row>
    <row r="62">
      <c r="B62" s="18" t="n"/>
      <c r="C62" s="17">
        <f>IF($B62="","",TEXT($B62,"ddd"))</f>
        <v/>
      </c>
      <c r="D62" s="46" t="n"/>
      <c r="E62" s="46"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IF(OR($B62="",$I62=""),"",IF(SUMPRODUCT((nrInstrNames&lt;&gt;"")*ISNUMBER(SEARCH(nrInstrNames,$I62)))&gt;0,"OK","UNRECOGNIZED"))</f>
        <v/>
      </c>
      <c r="O62" s="17">
        <f>IF(OR($B62="",$D62="",$E62=""),"",IF($E62=$D62,"CHECK TIMES (start = end)",IF($F62&gt;12,"CHECK TIMES (End is before Start?)","OK")))</f>
        <v/>
      </c>
    </row>
    <row r="63">
      <c r="B63" s="18" t="n"/>
      <c r="C63" s="17">
        <f>IF($B63="","",TEXT($B63,"ddd"))</f>
        <v/>
      </c>
      <c r="D63" s="46" t="n"/>
      <c r="E63" s="46"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IF(OR($B63="",$I63=""),"",IF(SUMPRODUCT((nrInstrNames&lt;&gt;"")*ISNUMBER(SEARCH(nrInstrNames,$I63)))&gt;0,"OK","UNRECOGNIZED"))</f>
        <v/>
      </c>
      <c r="O63" s="17">
        <f>IF(OR($B63="",$D63="",$E63=""),"",IF($E63=$D63,"CHECK TIMES (start = end)",IF($F63&gt;12,"CHECK TIMES (End is before Start?)","OK")))</f>
        <v/>
      </c>
    </row>
    <row r="64">
      <c r="B64" s="18" t="n"/>
      <c r="C64" s="17">
        <f>IF($B64="","",TEXT($B64,"ddd"))</f>
        <v/>
      </c>
      <c r="D64" s="46" t="n"/>
      <c r="E64" s="46"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IF(OR($B64="",$I64=""),"",IF(SUMPRODUCT((nrInstrNames&lt;&gt;"")*ISNUMBER(SEARCH(nrInstrNames,$I64)))&gt;0,"OK","UNRECOGNIZED"))</f>
        <v/>
      </c>
      <c r="O64" s="17">
        <f>IF(OR($B64="",$D64="",$E64=""),"",IF($E64=$D64,"CHECK TIMES (start = end)",IF($F64&gt;12,"CHECK TIMES (End is before Start?)","OK")))</f>
        <v/>
      </c>
    </row>
    <row r="65">
      <c r="B65" s="18" t="n"/>
      <c r="C65" s="17">
        <f>IF($B65="","",TEXT($B65,"ddd"))</f>
        <v/>
      </c>
      <c r="D65" s="46" t="n"/>
      <c r="E65" s="46"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IF(OR($B65="",$I65=""),"",IF(SUMPRODUCT((nrInstrNames&lt;&gt;"")*ISNUMBER(SEARCH(nrInstrNames,$I65)))&gt;0,"OK","UNRECOGNIZED"))</f>
        <v/>
      </c>
      <c r="O65" s="17">
        <f>IF(OR($B65="",$D65="",$E65=""),"",IF($E65=$D65,"CHECK TIMES (start = end)",IF($F65&gt;12,"CHECK TIMES (End is before Start?)","OK")))</f>
        <v/>
      </c>
    </row>
    <row r="66">
      <c r="B66" s="18" t="n"/>
      <c r="C66" s="17">
        <f>IF($B66="","",TEXT($B66,"ddd"))</f>
        <v/>
      </c>
      <c r="D66" s="46" t="n"/>
      <c r="E66" s="46"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IF(OR($B66="",$I66=""),"",IF(SUMPRODUCT((nrInstrNames&lt;&gt;"")*ISNUMBER(SEARCH(nrInstrNames,$I66)))&gt;0,"OK","UNRECOGNIZED"))</f>
        <v/>
      </c>
      <c r="O66" s="17">
        <f>IF(OR($B66="",$D66="",$E66=""),"",IF($E66=$D66,"CHECK TIMES (start = end)",IF($F66&gt;12,"CHECK TIMES (End is before Start?)","OK")))</f>
        <v/>
      </c>
    </row>
    <row r="67">
      <c r="B67" s="18" t="n"/>
      <c r="C67" s="17">
        <f>IF($B67="","",TEXT($B67,"ddd"))</f>
        <v/>
      </c>
      <c r="D67" s="46" t="n"/>
      <c r="E67" s="46"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IF(OR($B67="",$I67=""),"",IF(SUMPRODUCT((nrInstrNames&lt;&gt;"")*ISNUMBER(SEARCH(nrInstrNames,$I67)))&gt;0,"OK","UNRECOGNIZED"))</f>
        <v/>
      </c>
      <c r="O67" s="17">
        <f>IF(OR($B67="",$D67="",$E67=""),"",IF($E67=$D67,"CHECK TIMES (start = end)",IF($F67&gt;12,"CHECK TIMES (End is before Start?)","OK")))</f>
        <v/>
      </c>
    </row>
    <row r="68">
      <c r="B68" s="18" t="n"/>
      <c r="C68" s="17">
        <f>IF($B68="","",TEXT($B68,"ddd"))</f>
        <v/>
      </c>
      <c r="D68" s="46" t="n"/>
      <c r="E68" s="46"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IF(OR($B68="",$I68=""),"",IF(SUMPRODUCT((nrInstrNames&lt;&gt;"")*ISNUMBER(SEARCH(nrInstrNames,$I68)))&gt;0,"OK","UNRECOGNIZED"))</f>
        <v/>
      </c>
      <c r="O68" s="17">
        <f>IF(OR($B68="",$D68="",$E68=""),"",IF($E68=$D68,"CHECK TIMES (start = end)",IF($F68&gt;12,"CHECK TIMES (End is before Start?)","OK")))</f>
        <v/>
      </c>
    </row>
    <row r="69">
      <c r="B69" s="18" t="n"/>
      <c r="C69" s="17">
        <f>IF($B69="","",TEXT($B69,"ddd"))</f>
        <v/>
      </c>
      <c r="D69" s="46" t="n"/>
      <c r="E69" s="46"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IF(OR($B69="",$I69=""),"",IF(SUMPRODUCT((nrInstrNames&lt;&gt;"")*ISNUMBER(SEARCH(nrInstrNames,$I69)))&gt;0,"OK","UNRECOGNIZED"))</f>
        <v/>
      </c>
      <c r="O69" s="17">
        <f>IF(OR($B69="",$D69="",$E69=""),"",IF($E69=$D69,"CHECK TIMES (start = end)",IF($F69&gt;12,"CHECK TIMES (End is before Start?)","OK")))</f>
        <v/>
      </c>
    </row>
    <row r="70">
      <c r="B70" s="18" t="n"/>
      <c r="C70" s="17">
        <f>IF($B70="","",TEXT($B70,"ddd"))</f>
        <v/>
      </c>
      <c r="D70" s="46" t="n"/>
      <c r="E70" s="46"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IF(OR($B70="",$I70=""),"",IF(SUMPRODUCT((nrInstrNames&lt;&gt;"")*ISNUMBER(SEARCH(nrInstrNames,$I70)))&gt;0,"OK","UNRECOGNIZED"))</f>
        <v/>
      </c>
      <c r="O70" s="17">
        <f>IF(OR($B70="",$D70="",$E70=""),"",IF($E70=$D70,"CHECK TIMES (start = end)",IF($F70&gt;12,"CHECK TIMES (End is before Start?)","OK")))</f>
        <v/>
      </c>
    </row>
    <row r="71">
      <c r="B71" s="18" t="n"/>
      <c r="C71" s="17">
        <f>IF($B71="","",TEXT($B71,"ddd"))</f>
        <v/>
      </c>
      <c r="D71" s="46" t="n"/>
      <c r="E71" s="46"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IF(OR($B71="",$I71=""),"",IF(SUMPRODUCT((nrInstrNames&lt;&gt;"")*ISNUMBER(SEARCH(nrInstrNames,$I71)))&gt;0,"OK","UNRECOGNIZED"))</f>
        <v/>
      </c>
      <c r="O71" s="17">
        <f>IF(OR($B71="",$D71="",$E71=""),"",IF($E71=$D71,"CHECK TIMES (start = end)",IF($F71&gt;12,"CHECK TIMES (End is before Start?)","OK")))</f>
        <v/>
      </c>
    </row>
    <row r="72">
      <c r="B72" s="18" t="n"/>
      <c r="C72" s="17">
        <f>IF($B72="","",TEXT($B72,"ddd"))</f>
        <v/>
      </c>
      <c r="D72" s="46" t="n"/>
      <c r="E72" s="46"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IF(OR($B72="",$I72=""),"",IF(SUMPRODUCT((nrInstrNames&lt;&gt;"")*ISNUMBER(SEARCH(nrInstrNames,$I72)))&gt;0,"OK","UNRECOGNIZED"))</f>
        <v/>
      </c>
      <c r="O72" s="17">
        <f>IF(OR($B72="",$D72="",$E72=""),"",IF($E72=$D72,"CHECK TIMES (start = end)",IF($F72&gt;12,"CHECK TIMES (End is before Start?)","OK")))</f>
        <v/>
      </c>
    </row>
    <row r="73">
      <c r="B73" s="18" t="n"/>
      <c r="C73" s="17">
        <f>IF($B73="","",TEXT($B73,"ddd"))</f>
        <v/>
      </c>
      <c r="D73" s="46" t="n"/>
      <c r="E73" s="46"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IF(OR($B73="",$I73=""),"",IF(SUMPRODUCT((nrInstrNames&lt;&gt;"")*ISNUMBER(SEARCH(nrInstrNames,$I73)))&gt;0,"OK","UNRECOGNIZED"))</f>
        <v/>
      </c>
      <c r="O73" s="17">
        <f>IF(OR($B73="",$D73="",$E73=""),"",IF($E73=$D73,"CHECK TIMES (start = end)",IF($F73&gt;12,"CHECK TIMES (End is before Start?)","OK")))</f>
        <v/>
      </c>
    </row>
    <row r="74">
      <c r="B74" s="18" t="n"/>
      <c r="C74" s="17">
        <f>IF($B74="","",TEXT($B74,"ddd"))</f>
        <v/>
      </c>
      <c r="D74" s="46" t="n"/>
      <c r="E74" s="46"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IF(OR($B74="",$I74=""),"",IF(SUMPRODUCT((nrInstrNames&lt;&gt;"")*ISNUMBER(SEARCH(nrInstrNames,$I74)))&gt;0,"OK","UNRECOGNIZED"))</f>
        <v/>
      </c>
      <c r="O74" s="17">
        <f>IF(OR($B74="",$D74="",$E74=""),"",IF($E74=$D74,"CHECK TIMES (start = end)",IF($F74&gt;12,"CHECK TIMES (End is before Start?)","OK")))</f>
        <v/>
      </c>
    </row>
    <row r="75">
      <c r="B75" s="18" t="n"/>
      <c r="C75" s="17">
        <f>IF($B75="","",TEXT($B75,"ddd"))</f>
        <v/>
      </c>
      <c r="D75" s="46" t="n"/>
      <c r="E75" s="46"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IF(OR($B75="",$I75=""),"",IF(SUMPRODUCT((nrInstrNames&lt;&gt;"")*ISNUMBER(SEARCH(nrInstrNames,$I75)))&gt;0,"OK","UNRECOGNIZED"))</f>
        <v/>
      </c>
      <c r="O75" s="17">
        <f>IF(OR($B75="",$D75="",$E75=""),"",IF($E75=$D75,"CHECK TIMES (start = end)",IF($F75&gt;12,"CHECK TIMES (End is before Start?)","OK")))</f>
        <v/>
      </c>
    </row>
    <row r="76">
      <c r="B76" s="18" t="n"/>
      <c r="C76" s="17">
        <f>IF($B76="","",TEXT($B76,"ddd"))</f>
        <v/>
      </c>
      <c r="D76" s="46" t="n"/>
      <c r="E76" s="46"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IF(OR($B76="",$I76=""),"",IF(SUMPRODUCT((nrInstrNames&lt;&gt;"")*ISNUMBER(SEARCH(nrInstrNames,$I76)))&gt;0,"OK","UNRECOGNIZED"))</f>
        <v/>
      </c>
      <c r="O76" s="17">
        <f>IF(OR($B76="",$D76="",$E76=""),"",IF($E76=$D76,"CHECK TIMES (start = end)",IF($F76&gt;12,"CHECK TIMES (End is before Start?)","OK")))</f>
        <v/>
      </c>
    </row>
    <row r="77">
      <c r="B77" s="18" t="n"/>
      <c r="C77" s="17">
        <f>IF($B77="","",TEXT($B77,"ddd"))</f>
        <v/>
      </c>
      <c r="D77" s="46" t="n"/>
      <c r="E77" s="46"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IF(OR($B77="",$I77=""),"",IF(SUMPRODUCT((nrInstrNames&lt;&gt;"")*ISNUMBER(SEARCH(nrInstrNames,$I77)))&gt;0,"OK","UNRECOGNIZED"))</f>
        <v/>
      </c>
      <c r="O77" s="17">
        <f>IF(OR($B77="",$D77="",$E77=""),"",IF($E77=$D77,"CHECK TIMES (start = end)",IF($F77&gt;12,"CHECK TIMES (End is before Start?)","OK")))</f>
        <v/>
      </c>
    </row>
    <row r="78">
      <c r="B78" s="18" t="n"/>
      <c r="C78" s="17">
        <f>IF($B78="","",TEXT($B78,"ddd"))</f>
        <v/>
      </c>
      <c r="D78" s="46" t="n"/>
      <c r="E78" s="46"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IF(OR($B78="",$I78=""),"",IF(SUMPRODUCT((nrInstrNames&lt;&gt;"")*ISNUMBER(SEARCH(nrInstrNames,$I78)))&gt;0,"OK","UNRECOGNIZED"))</f>
        <v/>
      </c>
      <c r="O78" s="17">
        <f>IF(OR($B78="",$D78="",$E78=""),"",IF($E78=$D78,"CHECK TIMES (start = end)",IF($F78&gt;12,"CHECK TIMES (End is before Start?)","OK")))</f>
        <v/>
      </c>
    </row>
    <row r="79">
      <c r="B79" s="18" t="n"/>
      <c r="C79" s="17">
        <f>IF($B79="","",TEXT($B79,"ddd"))</f>
        <v/>
      </c>
      <c r="D79" s="46" t="n"/>
      <c r="E79" s="46"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IF(OR($B79="",$I79=""),"",IF(SUMPRODUCT((nrInstrNames&lt;&gt;"")*ISNUMBER(SEARCH(nrInstrNames,$I79)))&gt;0,"OK","UNRECOGNIZED"))</f>
        <v/>
      </c>
      <c r="O79" s="17">
        <f>IF(OR($B79="",$D79="",$E79=""),"",IF($E79=$D79,"CHECK TIMES (start = end)",IF($F79&gt;12,"CHECK TIMES (End is before Start?)","OK")))</f>
        <v/>
      </c>
    </row>
    <row r="80">
      <c r="B80" s="18" t="n"/>
      <c r="C80" s="17">
        <f>IF($B80="","",TEXT($B80,"ddd"))</f>
        <v/>
      </c>
      <c r="D80" s="46" t="n"/>
      <c r="E80" s="46"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IF(OR($B80="",$I80=""),"",IF(SUMPRODUCT((nrInstrNames&lt;&gt;"")*ISNUMBER(SEARCH(nrInstrNames,$I80)))&gt;0,"OK","UNRECOGNIZED"))</f>
        <v/>
      </c>
      <c r="O80" s="17">
        <f>IF(OR($B80="",$D80="",$E80=""),"",IF($E80=$D80,"CHECK TIMES (start = end)",IF($F80&gt;12,"CHECK TIMES (End is before Start?)","OK")))</f>
        <v/>
      </c>
    </row>
    <row r="81">
      <c r="B81" s="18" t="n"/>
      <c r="C81" s="17">
        <f>IF($B81="","",TEXT($B81,"ddd"))</f>
        <v/>
      </c>
      <c r="D81" s="46" t="n"/>
      <c r="E81" s="46"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IF(OR($B81="",$I81=""),"",IF(SUMPRODUCT((nrInstrNames&lt;&gt;"")*ISNUMBER(SEARCH(nrInstrNames,$I81)))&gt;0,"OK","UNRECOGNIZED"))</f>
        <v/>
      </c>
      <c r="O81" s="17">
        <f>IF(OR($B81="",$D81="",$E81=""),"",IF($E81=$D81,"CHECK TIMES (start = end)",IF($F81&gt;12,"CHECK TIMES (End is before Start?)","OK")))</f>
        <v/>
      </c>
    </row>
    <row r="82">
      <c r="B82" s="18" t="n"/>
      <c r="C82" s="17">
        <f>IF($B82="","",TEXT($B82,"ddd"))</f>
        <v/>
      </c>
      <c r="D82" s="46" t="n"/>
      <c r="E82" s="46"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IF(OR($B82="",$I82=""),"",IF(SUMPRODUCT((nrInstrNames&lt;&gt;"")*ISNUMBER(SEARCH(nrInstrNames,$I82)))&gt;0,"OK","UNRECOGNIZED"))</f>
        <v/>
      </c>
      <c r="O82" s="17">
        <f>IF(OR($B82="",$D82="",$E82=""),"",IF($E82=$D82,"CHECK TIMES (start = end)",IF($F82&gt;12,"CHECK TIMES (End is before Start?)","OK")))</f>
        <v/>
      </c>
    </row>
    <row r="83">
      <c r="B83" s="18" t="n"/>
      <c r="C83" s="17">
        <f>IF($B83="","",TEXT($B83,"ddd"))</f>
        <v/>
      </c>
      <c r="D83" s="46" t="n"/>
      <c r="E83" s="46"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IF(OR($B83="",$I83=""),"",IF(SUMPRODUCT((nrInstrNames&lt;&gt;"")*ISNUMBER(SEARCH(nrInstrNames,$I83)))&gt;0,"OK","UNRECOGNIZED"))</f>
        <v/>
      </c>
      <c r="O83" s="17">
        <f>IF(OR($B83="",$D83="",$E83=""),"",IF($E83=$D83,"CHECK TIMES (start = end)",IF($F83&gt;12,"CHECK TIMES (End is before Start?)","OK")))</f>
        <v/>
      </c>
    </row>
    <row r="84">
      <c r="B84" s="18" t="n"/>
      <c r="C84" s="17">
        <f>IF($B84="","",TEXT($B84,"ddd"))</f>
        <v/>
      </c>
      <c r="D84" s="46" t="n"/>
      <c r="E84" s="46"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IF(OR($B84="",$I84=""),"",IF(SUMPRODUCT((nrInstrNames&lt;&gt;"")*ISNUMBER(SEARCH(nrInstrNames,$I84)))&gt;0,"OK","UNRECOGNIZED"))</f>
        <v/>
      </c>
      <c r="O84" s="17">
        <f>IF(OR($B84="",$D84="",$E84=""),"",IF($E84=$D84,"CHECK TIMES (start = end)",IF($F84&gt;12,"CHECK TIMES (End is before Start?)","OK")))</f>
        <v/>
      </c>
    </row>
    <row r="85">
      <c r="B85" s="18" t="n"/>
      <c r="C85" s="17">
        <f>IF($B85="","",TEXT($B85,"ddd"))</f>
        <v/>
      </c>
      <c r="D85" s="46" t="n"/>
      <c r="E85" s="46"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IF(OR($B85="",$I85=""),"",IF(SUMPRODUCT((nrInstrNames&lt;&gt;"")*ISNUMBER(SEARCH(nrInstrNames,$I85)))&gt;0,"OK","UNRECOGNIZED"))</f>
        <v/>
      </c>
      <c r="O85" s="17">
        <f>IF(OR($B85="",$D85="",$E85=""),"",IF($E85=$D85,"CHECK TIMES (start = end)",IF($F85&gt;12,"CHECK TIMES (End is before Start?)","OK")))</f>
        <v/>
      </c>
    </row>
    <row r="86">
      <c r="B86" s="18" t="n"/>
      <c r="C86" s="17">
        <f>IF($B86="","",TEXT($B86,"ddd"))</f>
        <v/>
      </c>
      <c r="D86" s="46" t="n"/>
      <c r="E86" s="46"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IF(OR($B86="",$I86=""),"",IF(SUMPRODUCT((nrInstrNames&lt;&gt;"")*ISNUMBER(SEARCH(nrInstrNames,$I86)))&gt;0,"OK","UNRECOGNIZED"))</f>
        <v/>
      </c>
      <c r="O86" s="17">
        <f>IF(OR($B86="",$D86="",$E86=""),"",IF($E86=$D86,"CHECK TIMES (start = end)",IF($F86&gt;12,"CHECK TIMES (End is before Start?)","OK")))</f>
        <v/>
      </c>
    </row>
    <row r="87">
      <c r="B87" s="18" t="n"/>
      <c r="C87" s="17">
        <f>IF($B87="","",TEXT($B87,"ddd"))</f>
        <v/>
      </c>
      <c r="D87" s="46" t="n"/>
      <c r="E87" s="46"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IF(OR($B87="",$I87=""),"",IF(SUMPRODUCT((nrInstrNames&lt;&gt;"")*ISNUMBER(SEARCH(nrInstrNames,$I87)))&gt;0,"OK","UNRECOGNIZED"))</f>
        <v/>
      </c>
      <c r="O87" s="17">
        <f>IF(OR($B87="",$D87="",$E87=""),"",IF($E87=$D87,"CHECK TIMES (start = end)",IF($F87&gt;12,"CHECK TIMES (End is before Start?)","OK")))</f>
        <v/>
      </c>
    </row>
    <row r="88">
      <c r="B88" s="18" t="n"/>
      <c r="C88" s="17">
        <f>IF($B88="","",TEXT($B88,"ddd"))</f>
        <v/>
      </c>
      <c r="D88" s="46" t="n"/>
      <c r="E88" s="46"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IF(OR($B88="",$I88=""),"",IF(SUMPRODUCT((nrInstrNames&lt;&gt;"")*ISNUMBER(SEARCH(nrInstrNames,$I88)))&gt;0,"OK","UNRECOGNIZED"))</f>
        <v/>
      </c>
      <c r="O88" s="17">
        <f>IF(OR($B88="",$D88="",$E88=""),"",IF($E88=$D88,"CHECK TIMES (start = end)",IF($F88&gt;12,"CHECK TIMES (End is before Start?)","OK")))</f>
        <v/>
      </c>
    </row>
    <row r="89">
      <c r="B89" s="18" t="n"/>
      <c r="C89" s="17">
        <f>IF($B89="","",TEXT($B89,"ddd"))</f>
        <v/>
      </c>
      <c r="D89" s="46" t="n"/>
      <c r="E89" s="46"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IF(OR($B89="",$I89=""),"",IF(SUMPRODUCT((nrInstrNames&lt;&gt;"")*ISNUMBER(SEARCH(nrInstrNames,$I89)))&gt;0,"OK","UNRECOGNIZED"))</f>
        <v/>
      </c>
      <c r="O89" s="17">
        <f>IF(OR($B89="",$D89="",$E89=""),"",IF($E89=$D89,"CHECK TIMES (start = end)",IF($F89&gt;12,"CHECK TIMES (End is before Start?)","OK")))</f>
        <v/>
      </c>
    </row>
    <row r="90">
      <c r="B90" s="18" t="n"/>
      <c r="C90" s="17">
        <f>IF($B90="","",TEXT($B90,"ddd"))</f>
        <v/>
      </c>
      <c r="D90" s="46" t="n"/>
      <c r="E90" s="46"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IF(OR($B90="",$I90=""),"",IF(SUMPRODUCT((nrInstrNames&lt;&gt;"")*ISNUMBER(SEARCH(nrInstrNames,$I90)))&gt;0,"OK","UNRECOGNIZED"))</f>
        <v/>
      </c>
      <c r="O90" s="17">
        <f>IF(OR($B90="",$D90="",$E90=""),"",IF($E90=$D90,"CHECK TIMES (start = end)",IF($F90&gt;12,"CHECK TIMES (End is before Start?)","OK")))</f>
        <v/>
      </c>
    </row>
    <row r="91">
      <c r="B91" s="18" t="n"/>
      <c r="C91" s="17">
        <f>IF($B91="","",TEXT($B91,"ddd"))</f>
        <v/>
      </c>
      <c r="D91" s="46" t="n"/>
      <c r="E91" s="46"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IF(OR($B91="",$I91=""),"",IF(SUMPRODUCT((nrInstrNames&lt;&gt;"")*ISNUMBER(SEARCH(nrInstrNames,$I91)))&gt;0,"OK","UNRECOGNIZED"))</f>
        <v/>
      </c>
      <c r="O91" s="17">
        <f>IF(OR($B91="",$D91="",$E91=""),"",IF($E91=$D91,"CHECK TIMES (start = end)",IF($F91&gt;12,"CHECK TIMES (End is before Start?)","OK")))</f>
        <v/>
      </c>
    </row>
    <row r="92">
      <c r="B92" s="18" t="n"/>
      <c r="C92" s="17">
        <f>IF($B92="","",TEXT($B92,"ddd"))</f>
        <v/>
      </c>
      <c r="D92" s="46" t="n"/>
      <c r="E92" s="46"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IF(OR($B92="",$I92=""),"",IF(SUMPRODUCT((nrInstrNames&lt;&gt;"")*ISNUMBER(SEARCH(nrInstrNames,$I92)))&gt;0,"OK","UNRECOGNIZED"))</f>
        <v/>
      </c>
      <c r="O92" s="17">
        <f>IF(OR($B92="",$D92="",$E92=""),"",IF($E92=$D92,"CHECK TIMES (start = end)",IF($F92&gt;12,"CHECK TIMES (End is before Start?)","OK")))</f>
        <v/>
      </c>
    </row>
    <row r="93">
      <c r="B93" s="18" t="n"/>
      <c r="C93" s="17">
        <f>IF($B93="","",TEXT($B93,"ddd"))</f>
        <v/>
      </c>
      <c r="D93" s="46" t="n"/>
      <c r="E93" s="46"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IF(OR($B93="",$I93=""),"",IF(SUMPRODUCT((nrInstrNames&lt;&gt;"")*ISNUMBER(SEARCH(nrInstrNames,$I93)))&gt;0,"OK","UNRECOGNIZED"))</f>
        <v/>
      </c>
      <c r="O93" s="17">
        <f>IF(OR($B93="",$D93="",$E93=""),"",IF($E93=$D93,"CHECK TIMES (start = end)",IF($F93&gt;12,"CHECK TIMES (End is before Start?)","OK")))</f>
        <v/>
      </c>
    </row>
    <row r="94">
      <c r="B94" s="18" t="n"/>
      <c r="C94" s="17">
        <f>IF($B94="","",TEXT($B94,"ddd"))</f>
        <v/>
      </c>
      <c r="D94" s="46" t="n"/>
      <c r="E94" s="46"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IF(OR($B94="",$I94=""),"",IF(SUMPRODUCT((nrInstrNames&lt;&gt;"")*ISNUMBER(SEARCH(nrInstrNames,$I94)))&gt;0,"OK","UNRECOGNIZED"))</f>
        <v/>
      </c>
      <c r="O94" s="17">
        <f>IF(OR($B94="",$D94="",$E94=""),"",IF($E94=$D94,"CHECK TIMES (start = end)",IF($F94&gt;12,"CHECK TIMES (End is before Start?)","OK")))</f>
        <v/>
      </c>
    </row>
    <row r="95">
      <c r="B95" s="18" t="n"/>
      <c r="C95" s="17">
        <f>IF($B95="","",TEXT($B95,"ddd"))</f>
        <v/>
      </c>
      <c r="D95" s="46" t="n"/>
      <c r="E95" s="46"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IF(OR($B95="",$I95=""),"",IF(SUMPRODUCT((nrInstrNames&lt;&gt;"")*ISNUMBER(SEARCH(nrInstrNames,$I95)))&gt;0,"OK","UNRECOGNIZED"))</f>
        <v/>
      </c>
      <c r="O95" s="17">
        <f>IF(OR($B95="",$D95="",$E95=""),"",IF($E95=$D95,"CHECK TIMES (start = end)",IF($F95&gt;12,"CHECK TIMES (End is before Start?)","OK")))</f>
        <v/>
      </c>
    </row>
    <row r="96">
      <c r="B96" s="18" t="n"/>
      <c r="C96" s="17">
        <f>IF($B96="","",TEXT($B96,"ddd"))</f>
        <v/>
      </c>
      <c r="D96" s="46" t="n"/>
      <c r="E96" s="46"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IF(OR($B96="",$I96=""),"",IF(SUMPRODUCT((nrInstrNames&lt;&gt;"")*ISNUMBER(SEARCH(nrInstrNames,$I96)))&gt;0,"OK","UNRECOGNIZED"))</f>
        <v/>
      </c>
      <c r="O96" s="17">
        <f>IF(OR($B96="",$D96="",$E96=""),"",IF($E96=$D96,"CHECK TIMES (start = end)",IF($F96&gt;12,"CHECK TIMES (End is before Start?)","OK")))</f>
        <v/>
      </c>
    </row>
    <row r="97">
      <c r="B97" s="18" t="n"/>
      <c r="C97" s="17">
        <f>IF($B97="","",TEXT($B97,"ddd"))</f>
        <v/>
      </c>
      <c r="D97" s="46" t="n"/>
      <c r="E97" s="46"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IF(OR($B97="",$I97=""),"",IF(SUMPRODUCT((nrInstrNames&lt;&gt;"")*ISNUMBER(SEARCH(nrInstrNames,$I97)))&gt;0,"OK","UNRECOGNIZED"))</f>
        <v/>
      </c>
      <c r="O97" s="17">
        <f>IF(OR($B97="",$D97="",$E97=""),"",IF($E97=$D97,"CHECK TIMES (start = end)",IF($F97&gt;12,"CHECK TIMES (End is before Start?)","OK")))</f>
        <v/>
      </c>
    </row>
    <row r="98">
      <c r="B98" s="18" t="n"/>
      <c r="C98" s="17">
        <f>IF($B98="","",TEXT($B98,"ddd"))</f>
        <v/>
      </c>
      <c r="D98" s="46" t="n"/>
      <c r="E98" s="46"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IF(OR($B98="",$I98=""),"",IF(SUMPRODUCT((nrInstrNames&lt;&gt;"")*ISNUMBER(SEARCH(nrInstrNames,$I98)))&gt;0,"OK","UNRECOGNIZED"))</f>
        <v/>
      </c>
      <c r="O98" s="17">
        <f>IF(OR($B98="",$D98="",$E98=""),"",IF($E98=$D98,"CHECK TIMES (start = end)",IF($F98&gt;12,"CHECK TIMES (End is before Start?)","OK")))</f>
        <v/>
      </c>
    </row>
    <row r="99">
      <c r="B99" s="18" t="n"/>
      <c r="C99" s="17">
        <f>IF($B99="","",TEXT($B99,"ddd"))</f>
        <v/>
      </c>
      <c r="D99" s="46" t="n"/>
      <c r="E99" s="46"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IF(OR($B99="",$I99=""),"",IF(SUMPRODUCT((nrInstrNames&lt;&gt;"")*ISNUMBER(SEARCH(nrInstrNames,$I99)))&gt;0,"OK","UNRECOGNIZED"))</f>
        <v/>
      </c>
      <c r="O99" s="17">
        <f>IF(OR($B99="",$D99="",$E99=""),"",IF($E99=$D99,"CHECK TIMES (start = end)",IF($F99&gt;12,"CHECK TIMES (End is before Start?)","OK")))</f>
        <v/>
      </c>
    </row>
    <row r="100">
      <c r="B100" s="18" t="n"/>
      <c r="C100" s="17">
        <f>IF($B100="","",TEXT($B100,"ddd"))</f>
        <v/>
      </c>
      <c r="D100" s="46" t="n"/>
      <c r="E100" s="46"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IF(OR($B100="",$I100=""),"",IF(SUMPRODUCT((nrInstrNames&lt;&gt;"")*ISNUMBER(SEARCH(nrInstrNames,$I100)))&gt;0,"OK","UNRECOGNIZED"))</f>
        <v/>
      </c>
      <c r="O100" s="17">
        <f>IF(OR($B100="",$D100="",$E100=""),"",IF($E100=$D100,"CHECK TIMES (start = end)",IF($F100&gt;12,"CHECK TIMES (End is before Start?)","OK")))</f>
        <v/>
      </c>
    </row>
    <row r="101">
      <c r="B101" s="18" t="n"/>
      <c r="C101" s="17">
        <f>IF($B101="","",TEXT($B101,"ddd"))</f>
        <v/>
      </c>
      <c r="D101" s="46" t="n"/>
      <c r="E101" s="46"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IF(OR($B101="",$I101=""),"",IF(SUMPRODUCT((nrInstrNames&lt;&gt;"")*ISNUMBER(SEARCH(nrInstrNames,$I101)))&gt;0,"OK","UNRECOGNIZED"))</f>
        <v/>
      </c>
      <c r="O101" s="17">
        <f>IF(OR($B101="",$D101="",$E101=""),"",IF($E101=$D101,"CHECK TIMES (start = end)",IF($F101&gt;12,"CHECK TIMES (End is before Start?)","OK")))</f>
        <v/>
      </c>
    </row>
    <row r="102">
      <c r="B102" s="18" t="n"/>
      <c r="C102" s="17">
        <f>IF($B102="","",TEXT($B102,"ddd"))</f>
        <v/>
      </c>
      <c r="D102" s="46" t="n"/>
      <c r="E102" s="46"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IF(OR($B102="",$I102=""),"",IF(SUMPRODUCT((nrInstrNames&lt;&gt;"")*ISNUMBER(SEARCH(nrInstrNames,$I102)))&gt;0,"OK","UNRECOGNIZED"))</f>
        <v/>
      </c>
      <c r="O102" s="17">
        <f>IF(OR($B102="",$D102="",$E102=""),"",IF($E102=$D102,"CHECK TIMES (start = end)",IF($F102&gt;12,"CHECK TIMES (End is before Start?)","OK")))</f>
        <v/>
      </c>
    </row>
    <row r="103">
      <c r="B103" s="18" t="n"/>
      <c r="C103" s="17">
        <f>IF($B103="","",TEXT($B103,"ddd"))</f>
        <v/>
      </c>
      <c r="D103" s="46" t="n"/>
      <c r="E103" s="46"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IF(OR($B103="",$I103=""),"",IF(SUMPRODUCT((nrInstrNames&lt;&gt;"")*ISNUMBER(SEARCH(nrInstrNames,$I103)))&gt;0,"OK","UNRECOGNIZED"))</f>
        <v/>
      </c>
      <c r="O103" s="17">
        <f>IF(OR($B103="",$D103="",$E103=""),"",IF($E103=$D103,"CHECK TIMES (start = end)",IF($F103&gt;12,"CHECK TIMES (End is before Start?)","OK")))</f>
        <v/>
      </c>
    </row>
    <row r="104">
      <c r="B104" s="18" t="n"/>
      <c r="C104" s="17">
        <f>IF($B104="","",TEXT($B104,"ddd"))</f>
        <v/>
      </c>
      <c r="D104" s="46" t="n"/>
      <c r="E104" s="46"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IF(OR($B104="",$I104=""),"",IF(SUMPRODUCT((nrInstrNames&lt;&gt;"")*ISNUMBER(SEARCH(nrInstrNames,$I104)))&gt;0,"OK","UNRECOGNIZED"))</f>
        <v/>
      </c>
      <c r="O104" s="17">
        <f>IF(OR($B104="",$D104="",$E104=""),"",IF($E104=$D104,"CHECK TIMES (start = end)",IF($F104&gt;12,"CHECK TIMES (End is before Start?)","OK")))</f>
        <v/>
      </c>
    </row>
    <row r="105">
      <c r="B105" s="18" t="n"/>
      <c r="C105" s="17">
        <f>IF($B105="","",TEXT($B105,"ddd"))</f>
        <v/>
      </c>
      <c r="D105" s="46" t="n"/>
      <c r="E105" s="46"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IF(OR($B105="",$I105=""),"",IF(SUMPRODUCT((nrInstrNames&lt;&gt;"")*ISNUMBER(SEARCH(nrInstrNames,$I105)))&gt;0,"OK","UNRECOGNIZED"))</f>
        <v/>
      </c>
      <c r="O105" s="17">
        <f>IF(OR($B105="",$D105="",$E105=""),"",IF($E105=$D105,"CHECK TIMES (start = end)",IF($F105&gt;12,"CHECK TIMES (End is before Start?)","OK")))</f>
        <v/>
      </c>
    </row>
    <row r="106">
      <c r="B106" s="18" t="n"/>
      <c r="C106" s="17">
        <f>IF($B106="","",TEXT($B106,"ddd"))</f>
        <v/>
      </c>
      <c r="D106" s="46" t="n"/>
      <c r="E106" s="46"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IF(OR($B106="",$I106=""),"",IF(SUMPRODUCT((nrInstrNames&lt;&gt;"")*ISNUMBER(SEARCH(nrInstrNames,$I106)))&gt;0,"OK","UNRECOGNIZED"))</f>
        <v/>
      </c>
      <c r="O106" s="17">
        <f>IF(OR($B106="",$D106="",$E106=""),"",IF($E106=$D106,"CHECK TIMES (start = end)",IF($F106&gt;12,"CHECK TIMES (End is before Start?)","OK")))</f>
        <v/>
      </c>
    </row>
    <row r="107">
      <c r="B107" s="18" t="n"/>
      <c r="C107" s="17">
        <f>IF($B107="","",TEXT($B107,"ddd"))</f>
        <v/>
      </c>
      <c r="D107" s="46" t="n"/>
      <c r="E107" s="46"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IF(OR($B107="",$I107=""),"",IF(SUMPRODUCT((nrInstrNames&lt;&gt;"")*ISNUMBER(SEARCH(nrInstrNames,$I107)))&gt;0,"OK","UNRECOGNIZED"))</f>
        <v/>
      </c>
      <c r="O107" s="17">
        <f>IF(OR($B107="",$D107="",$E107=""),"",IF($E107=$D107,"CHECK TIMES (start = end)",IF($F107&gt;12,"CHECK TIMES (End is before Start?)","OK")))</f>
        <v/>
      </c>
    </row>
    <row r="108">
      <c r="B108" s="18" t="n"/>
      <c r="C108" s="17">
        <f>IF($B108="","",TEXT($B108,"ddd"))</f>
        <v/>
      </c>
      <c r="D108" s="46" t="n"/>
      <c r="E108" s="46"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IF(OR($B108="",$I108=""),"",IF(SUMPRODUCT((nrInstrNames&lt;&gt;"")*ISNUMBER(SEARCH(nrInstrNames,$I108)))&gt;0,"OK","UNRECOGNIZED"))</f>
        <v/>
      </c>
      <c r="O108" s="17">
        <f>IF(OR($B108="",$D108="",$E108=""),"",IF($E108=$D108,"CHECK TIMES (start = end)",IF($F108&gt;12,"CHECK TIMES (End is before Start?)","OK")))</f>
        <v/>
      </c>
    </row>
    <row r="109">
      <c r="B109" s="18" t="n"/>
      <c r="C109" s="17">
        <f>IF($B109="","",TEXT($B109,"ddd"))</f>
        <v/>
      </c>
      <c r="D109" s="46" t="n"/>
      <c r="E109" s="46"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IF(OR($B109="",$I109=""),"",IF(SUMPRODUCT((nrInstrNames&lt;&gt;"")*ISNUMBER(SEARCH(nrInstrNames,$I109)))&gt;0,"OK","UNRECOGNIZED"))</f>
        <v/>
      </c>
      <c r="O109" s="17">
        <f>IF(OR($B109="",$D109="",$E109=""),"",IF($E109=$D109,"CHECK TIMES (start = end)",IF($F109&gt;12,"CHECK TIMES (End is before Start?)","OK")))</f>
        <v/>
      </c>
    </row>
    <row r="110">
      <c r="B110" s="18" t="n"/>
      <c r="C110" s="17">
        <f>IF($B110="","",TEXT($B110,"ddd"))</f>
        <v/>
      </c>
      <c r="D110" s="46" t="n"/>
      <c r="E110" s="46"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IF(OR($B110="",$I110=""),"",IF(SUMPRODUCT((nrInstrNames&lt;&gt;"")*ISNUMBER(SEARCH(nrInstrNames,$I110)))&gt;0,"OK","UNRECOGNIZED"))</f>
        <v/>
      </c>
      <c r="O110" s="17">
        <f>IF(OR($B110="",$D110="",$E110=""),"",IF($E110=$D110,"CHECK TIMES (start = end)",IF($F110&gt;12,"CHECK TIMES (End is before Start?)","OK")))</f>
        <v/>
      </c>
    </row>
    <row r="111">
      <c r="B111" s="18" t="n"/>
      <c r="C111" s="17">
        <f>IF($B111="","",TEXT($B111,"ddd"))</f>
        <v/>
      </c>
      <c r="D111" s="46" t="n"/>
      <c r="E111" s="46"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IF(OR($B111="",$I111=""),"",IF(SUMPRODUCT((nrInstrNames&lt;&gt;"")*ISNUMBER(SEARCH(nrInstrNames,$I111)))&gt;0,"OK","UNRECOGNIZED"))</f>
        <v/>
      </c>
      <c r="O111" s="17">
        <f>IF(OR($B111="",$D111="",$E111=""),"",IF($E111=$D111,"CHECK TIMES (start = end)",IF($F111&gt;12,"CHECK TIMES (End is before Start?)","OK")))</f>
        <v/>
      </c>
    </row>
    <row r="112">
      <c r="B112" s="18" t="n"/>
      <c r="C112" s="17">
        <f>IF($B112="","",TEXT($B112,"ddd"))</f>
        <v/>
      </c>
      <c r="D112" s="46" t="n"/>
      <c r="E112" s="46"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IF(OR($B112="",$I112=""),"",IF(SUMPRODUCT((nrInstrNames&lt;&gt;"")*ISNUMBER(SEARCH(nrInstrNames,$I112)))&gt;0,"OK","UNRECOGNIZED"))</f>
        <v/>
      </c>
      <c r="O112" s="17">
        <f>IF(OR($B112="",$D112="",$E112=""),"",IF($E112=$D112,"CHECK TIMES (start = end)",IF($F112&gt;12,"CHECK TIMES (End is before Start?)","OK")))</f>
        <v/>
      </c>
    </row>
    <row r="113">
      <c r="B113" s="18" t="n"/>
      <c r="C113" s="17">
        <f>IF($B113="","",TEXT($B113,"ddd"))</f>
        <v/>
      </c>
      <c r="D113" s="46" t="n"/>
      <c r="E113" s="46"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IF(OR($B113="",$I113=""),"",IF(SUMPRODUCT((nrInstrNames&lt;&gt;"")*ISNUMBER(SEARCH(nrInstrNames,$I113)))&gt;0,"OK","UNRECOGNIZED"))</f>
        <v/>
      </c>
      <c r="O113" s="17">
        <f>IF(OR($B113="",$D113="",$E113=""),"",IF($E113=$D113,"CHECK TIMES (start = end)",IF($F113&gt;12,"CHECK TIMES (End is before Start?)","OK")))</f>
        <v/>
      </c>
    </row>
    <row r="114">
      <c r="B114" s="18" t="n"/>
      <c r="C114" s="17">
        <f>IF($B114="","",TEXT($B114,"ddd"))</f>
        <v/>
      </c>
      <c r="D114" s="46" t="n"/>
      <c r="E114" s="46"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IF(OR($B114="",$I114=""),"",IF(SUMPRODUCT((nrInstrNames&lt;&gt;"")*ISNUMBER(SEARCH(nrInstrNames,$I114)))&gt;0,"OK","UNRECOGNIZED"))</f>
        <v/>
      </c>
      <c r="O114" s="17">
        <f>IF(OR($B114="",$D114="",$E114=""),"",IF($E114=$D114,"CHECK TIMES (start = end)",IF($F114&gt;12,"CHECK TIMES (End is before Start?)","OK")))</f>
        <v/>
      </c>
    </row>
    <row r="115">
      <c r="B115" s="18" t="n"/>
      <c r="C115" s="17">
        <f>IF($B115="","",TEXT($B115,"ddd"))</f>
        <v/>
      </c>
      <c r="D115" s="46" t="n"/>
      <c r="E115" s="46"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IF(OR($B115="",$I115=""),"",IF(SUMPRODUCT((nrInstrNames&lt;&gt;"")*ISNUMBER(SEARCH(nrInstrNames,$I115)))&gt;0,"OK","UNRECOGNIZED"))</f>
        <v/>
      </c>
      <c r="O115" s="17">
        <f>IF(OR($B115="",$D115="",$E115=""),"",IF($E115=$D115,"CHECK TIMES (start = end)",IF($F115&gt;12,"CHECK TIMES (End is before Start?)","OK")))</f>
        <v/>
      </c>
    </row>
    <row r="116">
      <c r="B116" s="18" t="n"/>
      <c r="C116" s="17">
        <f>IF($B116="","",TEXT($B116,"ddd"))</f>
        <v/>
      </c>
      <c r="D116" s="46" t="n"/>
      <c r="E116" s="46"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IF(OR($B116="",$I116=""),"",IF(SUMPRODUCT((nrInstrNames&lt;&gt;"")*ISNUMBER(SEARCH(nrInstrNames,$I116)))&gt;0,"OK","UNRECOGNIZED"))</f>
        <v/>
      </c>
      <c r="O116" s="17">
        <f>IF(OR($B116="",$D116="",$E116=""),"",IF($E116=$D116,"CHECK TIMES (start = end)",IF($F116&gt;12,"CHECK TIMES (End is before Start?)","OK")))</f>
        <v/>
      </c>
    </row>
    <row r="117">
      <c r="B117" s="18" t="n"/>
      <c r="C117" s="17">
        <f>IF($B117="","",TEXT($B117,"ddd"))</f>
        <v/>
      </c>
      <c r="D117" s="46" t="n"/>
      <c r="E117" s="46"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IF(OR($B117="",$I117=""),"",IF(SUMPRODUCT((nrInstrNames&lt;&gt;"")*ISNUMBER(SEARCH(nrInstrNames,$I117)))&gt;0,"OK","UNRECOGNIZED"))</f>
        <v/>
      </c>
      <c r="O117" s="17">
        <f>IF(OR($B117="",$D117="",$E117=""),"",IF($E117=$D117,"CHECK TIMES (start = end)",IF($F117&gt;12,"CHECK TIMES (End is before Start?)","OK")))</f>
        <v/>
      </c>
    </row>
    <row r="118">
      <c r="B118" s="18" t="n"/>
      <c r="C118" s="17">
        <f>IF($B118="","",TEXT($B118,"ddd"))</f>
        <v/>
      </c>
      <c r="D118" s="46" t="n"/>
      <c r="E118" s="46"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IF(OR($B118="",$I118=""),"",IF(SUMPRODUCT((nrInstrNames&lt;&gt;"")*ISNUMBER(SEARCH(nrInstrNames,$I118)))&gt;0,"OK","UNRECOGNIZED"))</f>
        <v/>
      </c>
      <c r="O118" s="17">
        <f>IF(OR($B118="",$D118="",$E118=""),"",IF($E118=$D118,"CHECK TIMES (start = end)",IF($F118&gt;12,"CHECK TIMES (End is before Start?)","OK")))</f>
        <v/>
      </c>
    </row>
    <row r="119">
      <c r="B119" s="18" t="n"/>
      <c r="C119" s="17">
        <f>IF($B119="","",TEXT($B119,"ddd"))</f>
        <v/>
      </c>
      <c r="D119" s="46" t="n"/>
      <c r="E119" s="46"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IF(OR($B119="",$I119=""),"",IF(SUMPRODUCT((nrInstrNames&lt;&gt;"")*ISNUMBER(SEARCH(nrInstrNames,$I119)))&gt;0,"OK","UNRECOGNIZED"))</f>
        <v/>
      </c>
      <c r="O119" s="17">
        <f>IF(OR($B119="",$D119="",$E119=""),"",IF($E119=$D119,"CHECK TIMES (start = end)",IF($F119&gt;12,"CHECK TIMES (End is before Start?)","OK")))</f>
        <v/>
      </c>
    </row>
    <row r="120">
      <c r="B120" s="18" t="n"/>
      <c r="C120" s="17">
        <f>IF($B120="","",TEXT($B120,"ddd"))</f>
        <v/>
      </c>
      <c r="D120" s="46" t="n"/>
      <c r="E120" s="46"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IF(OR($B120="",$I120=""),"",IF(SUMPRODUCT((nrInstrNames&lt;&gt;"")*ISNUMBER(SEARCH(nrInstrNames,$I120)))&gt;0,"OK","UNRECOGNIZED"))</f>
        <v/>
      </c>
      <c r="O120" s="17">
        <f>IF(OR($B120="",$D120="",$E120=""),"",IF($E120=$D120,"CHECK TIMES (start = end)",IF($F120&gt;12,"CHECK TIMES (End is before Start?)","OK")))</f>
        <v/>
      </c>
    </row>
    <row r="121">
      <c r="B121" s="18" t="n"/>
      <c r="C121" s="17">
        <f>IF($B121="","",TEXT($B121,"ddd"))</f>
        <v/>
      </c>
      <c r="D121" s="46" t="n"/>
      <c r="E121" s="46"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IF(OR($B121="",$I121=""),"",IF(SUMPRODUCT((nrInstrNames&lt;&gt;"")*ISNUMBER(SEARCH(nrInstrNames,$I121)))&gt;0,"OK","UNRECOGNIZED"))</f>
        <v/>
      </c>
      <c r="O121" s="17">
        <f>IF(OR($B121="",$D121="",$E121=""),"",IF($E121=$D121,"CHECK TIMES (start = end)",IF($F121&gt;12,"CHECK TIMES (End is before Start?)","OK")))</f>
        <v/>
      </c>
    </row>
    <row r="122">
      <c r="B122" s="18" t="n"/>
      <c r="C122" s="17">
        <f>IF($B122="","",TEXT($B122,"ddd"))</f>
        <v/>
      </c>
      <c r="D122" s="46" t="n"/>
      <c r="E122" s="46"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IF(OR($B122="",$I122=""),"",IF(SUMPRODUCT((nrInstrNames&lt;&gt;"")*ISNUMBER(SEARCH(nrInstrNames,$I122)))&gt;0,"OK","UNRECOGNIZED"))</f>
        <v/>
      </c>
      <c r="O122" s="17">
        <f>IF(OR($B122="",$D122="",$E122=""),"",IF($E122=$D122,"CHECK TIMES (start = end)",IF($F122&gt;12,"CHECK TIMES (End is before Start?)","OK")))</f>
        <v/>
      </c>
    </row>
    <row r="123">
      <c r="B123" s="18" t="n"/>
      <c r="C123" s="17">
        <f>IF($B123="","",TEXT($B123,"ddd"))</f>
        <v/>
      </c>
      <c r="D123" s="46" t="n"/>
      <c r="E123" s="46"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IF(OR($B123="",$I123=""),"",IF(SUMPRODUCT((nrInstrNames&lt;&gt;"")*ISNUMBER(SEARCH(nrInstrNames,$I123)))&gt;0,"OK","UNRECOGNIZED"))</f>
        <v/>
      </c>
      <c r="O123" s="17">
        <f>IF(OR($B123="",$D123="",$E123=""),"",IF($E123=$D123,"CHECK TIMES (start = end)",IF($F123&gt;12,"CHECK TIMES (End is before Start?)","OK")))</f>
        <v/>
      </c>
    </row>
    <row r="124">
      <c r="B124" s="18" t="n"/>
      <c r="C124" s="17">
        <f>IF($B124="","",TEXT($B124,"ddd"))</f>
        <v/>
      </c>
      <c r="D124" s="46" t="n"/>
      <c r="E124" s="46"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IF(OR($B124="",$I124=""),"",IF(SUMPRODUCT((nrInstrNames&lt;&gt;"")*ISNUMBER(SEARCH(nrInstrNames,$I124)))&gt;0,"OK","UNRECOGNIZED"))</f>
        <v/>
      </c>
      <c r="O124" s="17">
        <f>IF(OR($B124="",$D124="",$E124=""),"",IF($E124=$D124,"CHECK TIMES (start = end)",IF($F124&gt;12,"CHECK TIMES (End is before Start?)","OK")))</f>
        <v/>
      </c>
    </row>
    <row r="125">
      <c r="B125" s="18" t="n"/>
      <c r="C125" s="17">
        <f>IF($B125="","",TEXT($B125,"ddd"))</f>
        <v/>
      </c>
      <c r="D125" s="46" t="n"/>
      <c r="E125" s="46"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IF(OR($B125="",$I125=""),"",IF(SUMPRODUCT((nrInstrNames&lt;&gt;"")*ISNUMBER(SEARCH(nrInstrNames,$I125)))&gt;0,"OK","UNRECOGNIZED"))</f>
        <v/>
      </c>
      <c r="O125" s="17">
        <f>IF(OR($B125="",$D125="",$E125=""),"",IF($E125=$D125,"CHECK TIMES (start = end)",IF($F125&gt;12,"CHECK TIMES (End is before Start?)","OK")))</f>
        <v/>
      </c>
    </row>
    <row r="126">
      <c r="B126" s="18" t="n"/>
      <c r="C126" s="17">
        <f>IF($B126="","",TEXT($B126,"ddd"))</f>
        <v/>
      </c>
      <c r="D126" s="46" t="n"/>
      <c r="E126" s="46"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IF(OR($B126="",$I126=""),"",IF(SUMPRODUCT((nrInstrNames&lt;&gt;"")*ISNUMBER(SEARCH(nrInstrNames,$I126)))&gt;0,"OK","UNRECOGNIZED"))</f>
        <v/>
      </c>
      <c r="O126" s="17">
        <f>IF(OR($B126="",$D126="",$E126=""),"",IF($E126=$D126,"CHECK TIMES (start = end)",IF($F126&gt;12,"CHECK TIMES (End is before Start?)","OK")))</f>
        <v/>
      </c>
    </row>
    <row r="127">
      <c r="B127" s="18" t="n"/>
      <c r="C127" s="17">
        <f>IF($B127="","",TEXT($B127,"ddd"))</f>
        <v/>
      </c>
      <c r="D127" s="46" t="n"/>
      <c r="E127" s="46"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IF(OR($B127="",$I127=""),"",IF(SUMPRODUCT((nrInstrNames&lt;&gt;"")*ISNUMBER(SEARCH(nrInstrNames,$I127)))&gt;0,"OK","UNRECOGNIZED"))</f>
        <v/>
      </c>
      <c r="O127" s="17">
        <f>IF(OR($B127="",$D127="",$E127=""),"",IF($E127=$D127,"CHECK TIMES (start = end)",IF($F127&gt;12,"CHECK TIMES (End is before Start?)","OK")))</f>
        <v/>
      </c>
    </row>
    <row r="128">
      <c r="B128" s="18" t="n"/>
      <c r="C128" s="17">
        <f>IF($B128="","",TEXT($B128,"ddd"))</f>
        <v/>
      </c>
      <c r="D128" s="46" t="n"/>
      <c r="E128" s="46"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IF(OR($B128="",$I128=""),"",IF(SUMPRODUCT((nrInstrNames&lt;&gt;"")*ISNUMBER(SEARCH(nrInstrNames,$I128)))&gt;0,"OK","UNRECOGNIZED"))</f>
        <v/>
      </c>
      <c r="O128" s="17">
        <f>IF(OR($B128="",$D128="",$E128=""),"",IF($E128=$D128,"CHECK TIMES (start = end)",IF($F128&gt;12,"CHECK TIMES (End is before Start?)","OK")))</f>
        <v/>
      </c>
    </row>
    <row r="129">
      <c r="B129" s="18" t="n"/>
      <c r="C129" s="17">
        <f>IF($B129="","",TEXT($B129,"ddd"))</f>
        <v/>
      </c>
      <c r="D129" s="46" t="n"/>
      <c r="E129" s="46"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IF(OR($B129="",$I129=""),"",IF(SUMPRODUCT((nrInstrNames&lt;&gt;"")*ISNUMBER(SEARCH(nrInstrNames,$I129)))&gt;0,"OK","UNRECOGNIZED"))</f>
        <v/>
      </c>
      <c r="O129" s="17">
        <f>IF(OR($B129="",$D129="",$E129=""),"",IF($E129=$D129,"CHECK TIMES (start = end)",IF($F129&gt;12,"CHECK TIMES (End is before Start?)","OK")))</f>
        <v/>
      </c>
    </row>
    <row r="130">
      <c r="B130" s="18" t="n"/>
      <c r="C130" s="17">
        <f>IF($B130="","",TEXT($B130,"ddd"))</f>
        <v/>
      </c>
      <c r="D130" s="46" t="n"/>
      <c r="E130" s="46"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IF(OR($B130="",$I130=""),"",IF(SUMPRODUCT((nrInstrNames&lt;&gt;"")*ISNUMBER(SEARCH(nrInstrNames,$I130)))&gt;0,"OK","UNRECOGNIZED"))</f>
        <v/>
      </c>
      <c r="O130" s="17">
        <f>IF(OR($B130="",$D130="",$E130=""),"",IF($E130=$D130,"CHECK TIMES (start = end)",IF($F130&gt;12,"CHECK TIMES (End is before Start?)","OK")))</f>
        <v/>
      </c>
    </row>
    <row r="131">
      <c r="B131" s="18" t="n"/>
      <c r="C131" s="17">
        <f>IF($B131="","",TEXT($B131,"ddd"))</f>
        <v/>
      </c>
      <c r="D131" s="46" t="n"/>
      <c r="E131" s="46"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IF(OR($B131="",$I131=""),"",IF(SUMPRODUCT((nrInstrNames&lt;&gt;"")*ISNUMBER(SEARCH(nrInstrNames,$I131)))&gt;0,"OK","UNRECOGNIZED"))</f>
        <v/>
      </c>
      <c r="O131" s="17">
        <f>IF(OR($B131="",$D131="",$E131=""),"",IF($E131=$D131,"CHECK TIMES (start = end)",IF($F131&gt;12,"CHECK TIMES (End is before Start?)","OK")))</f>
        <v/>
      </c>
    </row>
    <row r="132">
      <c r="B132" s="18" t="n"/>
      <c r="C132" s="17">
        <f>IF($B132="","",TEXT($B132,"ddd"))</f>
        <v/>
      </c>
      <c r="D132" s="46" t="n"/>
      <c r="E132" s="46"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IF(OR($B132="",$I132=""),"",IF(SUMPRODUCT((nrInstrNames&lt;&gt;"")*ISNUMBER(SEARCH(nrInstrNames,$I132)))&gt;0,"OK","UNRECOGNIZED"))</f>
        <v/>
      </c>
      <c r="O132" s="17">
        <f>IF(OR($B132="",$D132="",$E132=""),"",IF($E132=$D132,"CHECK TIMES (start = end)",IF($F132&gt;12,"CHECK TIMES (End is before Start?)","OK")))</f>
        <v/>
      </c>
    </row>
    <row r="133">
      <c r="B133" s="18" t="n"/>
      <c r="C133" s="17">
        <f>IF($B133="","",TEXT($B133,"ddd"))</f>
        <v/>
      </c>
      <c r="D133" s="46" t="n"/>
      <c r="E133" s="46"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IF(OR($B133="",$I133=""),"",IF(SUMPRODUCT((nrInstrNames&lt;&gt;"")*ISNUMBER(SEARCH(nrInstrNames,$I133)))&gt;0,"OK","UNRECOGNIZED"))</f>
        <v/>
      </c>
      <c r="O133" s="17">
        <f>IF(OR($B133="",$D133="",$E133=""),"",IF($E133=$D133,"CHECK TIMES (start = end)",IF($F133&gt;12,"CHECK TIMES (End is before Start?)","OK")))</f>
        <v/>
      </c>
    </row>
    <row r="134">
      <c r="B134" s="18" t="n"/>
      <c r="C134" s="17">
        <f>IF($B134="","",TEXT($B134,"ddd"))</f>
        <v/>
      </c>
      <c r="D134" s="46" t="n"/>
      <c r="E134" s="46"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IF(OR($B134="",$I134=""),"",IF(SUMPRODUCT((nrInstrNames&lt;&gt;"")*ISNUMBER(SEARCH(nrInstrNames,$I134)))&gt;0,"OK","UNRECOGNIZED"))</f>
        <v/>
      </c>
      <c r="O134" s="17">
        <f>IF(OR($B134="",$D134="",$E134=""),"",IF($E134=$D134,"CHECK TIMES (start = end)",IF($F134&gt;12,"CHECK TIMES (End is before Start?)","OK")))</f>
        <v/>
      </c>
    </row>
    <row r="135">
      <c r="B135" s="18" t="n"/>
      <c r="C135" s="17">
        <f>IF($B135="","",TEXT($B135,"ddd"))</f>
        <v/>
      </c>
      <c r="D135" s="46" t="n"/>
      <c r="E135" s="46"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IF(OR($B135="",$I135=""),"",IF(SUMPRODUCT((nrInstrNames&lt;&gt;"")*ISNUMBER(SEARCH(nrInstrNames,$I135)))&gt;0,"OK","UNRECOGNIZED"))</f>
        <v/>
      </c>
      <c r="O135" s="17">
        <f>IF(OR($B135="",$D135="",$E135=""),"",IF($E135=$D135,"CHECK TIMES (start = end)",IF($F135&gt;12,"CHECK TIMES (End is before Start?)","OK")))</f>
        <v/>
      </c>
    </row>
    <row r="136">
      <c r="B136" s="18" t="n"/>
      <c r="C136" s="17">
        <f>IF($B136="","",TEXT($B136,"ddd"))</f>
        <v/>
      </c>
      <c r="D136" s="46" t="n"/>
      <c r="E136" s="46"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IF(OR($B136="",$I136=""),"",IF(SUMPRODUCT((nrInstrNames&lt;&gt;"")*ISNUMBER(SEARCH(nrInstrNames,$I136)))&gt;0,"OK","UNRECOGNIZED"))</f>
        <v/>
      </c>
      <c r="O136" s="17">
        <f>IF(OR($B136="",$D136="",$E136=""),"",IF($E136=$D136,"CHECK TIMES (start = end)",IF($F136&gt;12,"CHECK TIMES (End is before Start?)","OK")))</f>
        <v/>
      </c>
    </row>
    <row r="137">
      <c r="B137" s="18" t="n"/>
      <c r="C137" s="17">
        <f>IF($B137="","",TEXT($B137,"ddd"))</f>
        <v/>
      </c>
      <c r="D137" s="46" t="n"/>
      <c r="E137" s="46"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IF(OR($B137="",$I137=""),"",IF(SUMPRODUCT((nrInstrNames&lt;&gt;"")*ISNUMBER(SEARCH(nrInstrNames,$I137)))&gt;0,"OK","UNRECOGNIZED"))</f>
        <v/>
      </c>
      <c r="O137" s="17">
        <f>IF(OR($B137="",$D137="",$E137=""),"",IF($E137=$D137,"CHECK TIMES (start = end)",IF($F137&gt;12,"CHECK TIMES (End is before Start?)","OK")))</f>
        <v/>
      </c>
    </row>
    <row r="138">
      <c r="B138" s="18" t="n"/>
      <c r="C138" s="17">
        <f>IF($B138="","",TEXT($B138,"ddd"))</f>
        <v/>
      </c>
      <c r="D138" s="46" t="n"/>
      <c r="E138" s="46"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IF(OR($B138="",$I138=""),"",IF(SUMPRODUCT((nrInstrNames&lt;&gt;"")*ISNUMBER(SEARCH(nrInstrNames,$I138)))&gt;0,"OK","UNRECOGNIZED"))</f>
        <v/>
      </c>
      <c r="O138" s="17">
        <f>IF(OR($B138="",$D138="",$E138=""),"",IF($E138=$D138,"CHECK TIMES (start = end)",IF($F138&gt;12,"CHECK TIMES (End is before Start?)","OK")))</f>
        <v/>
      </c>
    </row>
    <row r="139">
      <c r="B139" s="18" t="n"/>
      <c r="C139" s="17">
        <f>IF($B139="","",TEXT($B139,"ddd"))</f>
        <v/>
      </c>
      <c r="D139" s="46" t="n"/>
      <c r="E139" s="46"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IF(OR($B139="",$I139=""),"",IF(SUMPRODUCT((nrInstrNames&lt;&gt;"")*ISNUMBER(SEARCH(nrInstrNames,$I139)))&gt;0,"OK","UNRECOGNIZED"))</f>
        <v/>
      </c>
      <c r="O139" s="17">
        <f>IF(OR($B139="",$D139="",$E139=""),"",IF($E139=$D139,"CHECK TIMES (start = end)",IF($F139&gt;12,"CHECK TIMES (End is before Start?)","OK")))</f>
        <v/>
      </c>
    </row>
    <row r="140">
      <c r="B140" s="18" t="n"/>
      <c r="C140" s="17">
        <f>IF($B140="","",TEXT($B140,"ddd"))</f>
        <v/>
      </c>
      <c r="D140" s="46" t="n"/>
      <c r="E140" s="46"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IF(OR($B140="",$I140=""),"",IF(SUMPRODUCT((nrInstrNames&lt;&gt;"")*ISNUMBER(SEARCH(nrInstrNames,$I140)))&gt;0,"OK","UNRECOGNIZED"))</f>
        <v/>
      </c>
      <c r="O140" s="17">
        <f>IF(OR($B140="",$D140="",$E140=""),"",IF($E140=$D140,"CHECK TIMES (start = end)",IF($F140&gt;12,"CHECK TIMES (End is before Start?)","OK")))</f>
        <v/>
      </c>
    </row>
    <row r="141">
      <c r="B141" s="18" t="n"/>
      <c r="C141" s="17">
        <f>IF($B141="","",TEXT($B141,"ddd"))</f>
        <v/>
      </c>
      <c r="D141" s="46" t="n"/>
      <c r="E141" s="46"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IF(OR($B141="",$I141=""),"",IF(SUMPRODUCT((nrInstrNames&lt;&gt;"")*ISNUMBER(SEARCH(nrInstrNames,$I141)))&gt;0,"OK","UNRECOGNIZED"))</f>
        <v/>
      </c>
      <c r="O141" s="17">
        <f>IF(OR($B141="",$D141="",$E141=""),"",IF($E141=$D141,"CHECK TIMES (start = end)",IF($F141&gt;12,"CHECK TIMES (End is before Start?)","OK")))</f>
        <v/>
      </c>
    </row>
    <row r="142">
      <c r="B142" s="18" t="n"/>
      <c r="C142" s="17">
        <f>IF($B142="","",TEXT($B142,"ddd"))</f>
        <v/>
      </c>
      <c r="D142" s="46" t="n"/>
      <c r="E142" s="46"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IF(OR($B142="",$I142=""),"",IF(SUMPRODUCT((nrInstrNames&lt;&gt;"")*ISNUMBER(SEARCH(nrInstrNames,$I142)))&gt;0,"OK","UNRECOGNIZED"))</f>
        <v/>
      </c>
      <c r="O142" s="17">
        <f>IF(OR($B142="",$D142="",$E142=""),"",IF($E142=$D142,"CHECK TIMES (start = end)",IF($F142&gt;12,"CHECK TIMES (End is before Start?)","OK")))</f>
        <v/>
      </c>
    </row>
    <row r="143">
      <c r="B143" s="18" t="n"/>
      <c r="C143" s="17">
        <f>IF($B143="","",TEXT($B143,"ddd"))</f>
        <v/>
      </c>
      <c r="D143" s="46" t="n"/>
      <c r="E143" s="46"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IF(OR($B143="",$I143=""),"",IF(SUMPRODUCT((nrInstrNames&lt;&gt;"")*ISNUMBER(SEARCH(nrInstrNames,$I143)))&gt;0,"OK","UNRECOGNIZED"))</f>
        <v/>
      </c>
      <c r="O143" s="17">
        <f>IF(OR($B143="",$D143="",$E143=""),"",IF($E143=$D143,"CHECK TIMES (start = end)",IF($F143&gt;12,"CHECK TIMES (End is before Start?)","OK")))</f>
        <v/>
      </c>
    </row>
    <row r="144">
      <c r="B144" s="18" t="n"/>
      <c r="C144" s="17">
        <f>IF($B144="","",TEXT($B144,"ddd"))</f>
        <v/>
      </c>
      <c r="D144" s="46" t="n"/>
      <c r="E144" s="46"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IF(OR($B144="",$I144=""),"",IF(SUMPRODUCT((nrInstrNames&lt;&gt;"")*ISNUMBER(SEARCH(nrInstrNames,$I144)))&gt;0,"OK","UNRECOGNIZED"))</f>
        <v/>
      </c>
      <c r="O144" s="17">
        <f>IF(OR($B144="",$D144="",$E144=""),"",IF($E144=$D144,"CHECK TIMES (start = end)",IF($F144&gt;12,"CHECK TIMES (End is before Start?)","OK")))</f>
        <v/>
      </c>
    </row>
    <row r="145">
      <c r="B145" s="18" t="n"/>
      <c r="C145" s="17">
        <f>IF($B145="","",TEXT($B145,"ddd"))</f>
        <v/>
      </c>
      <c r="D145" s="46" t="n"/>
      <c r="E145" s="46"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IF(OR($B145="",$I145=""),"",IF(SUMPRODUCT((nrInstrNames&lt;&gt;"")*ISNUMBER(SEARCH(nrInstrNames,$I145)))&gt;0,"OK","UNRECOGNIZED"))</f>
        <v/>
      </c>
      <c r="O145" s="17">
        <f>IF(OR($B145="",$D145="",$E145=""),"",IF($E145=$D145,"CHECK TIMES (start = end)",IF($F145&gt;12,"CHECK TIMES (End is before Start?)","OK")))</f>
        <v/>
      </c>
    </row>
    <row r="146">
      <c r="B146" s="18" t="n"/>
      <c r="C146" s="17">
        <f>IF($B146="","",TEXT($B146,"ddd"))</f>
        <v/>
      </c>
      <c r="D146" s="46" t="n"/>
      <c r="E146" s="46"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IF(OR($B146="",$I146=""),"",IF(SUMPRODUCT((nrInstrNames&lt;&gt;"")*ISNUMBER(SEARCH(nrInstrNames,$I146)))&gt;0,"OK","UNRECOGNIZED"))</f>
        <v/>
      </c>
      <c r="O146" s="17">
        <f>IF(OR($B146="",$D146="",$E146=""),"",IF($E146=$D146,"CHECK TIMES (start = end)",IF($F146&gt;12,"CHECK TIMES (End is before Start?)","OK")))</f>
        <v/>
      </c>
    </row>
    <row r="147">
      <c r="B147" s="18" t="n"/>
      <c r="C147" s="17">
        <f>IF($B147="","",TEXT($B147,"ddd"))</f>
        <v/>
      </c>
      <c r="D147" s="46" t="n"/>
      <c r="E147" s="46"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IF(OR($B147="",$I147=""),"",IF(SUMPRODUCT((nrInstrNames&lt;&gt;"")*ISNUMBER(SEARCH(nrInstrNames,$I147)))&gt;0,"OK","UNRECOGNIZED"))</f>
        <v/>
      </c>
      <c r="O147" s="17">
        <f>IF(OR($B147="",$D147="",$E147=""),"",IF($E147=$D147,"CHECK TIMES (start = end)",IF($F147&gt;12,"CHECK TIMES (End is before Start?)","OK")))</f>
        <v/>
      </c>
    </row>
    <row r="148">
      <c r="B148" s="18" t="n"/>
      <c r="C148" s="17">
        <f>IF($B148="","",TEXT($B148,"ddd"))</f>
        <v/>
      </c>
      <c r="D148" s="46" t="n"/>
      <c r="E148" s="46"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IF(OR($B148="",$I148=""),"",IF(SUMPRODUCT((nrInstrNames&lt;&gt;"")*ISNUMBER(SEARCH(nrInstrNames,$I148)))&gt;0,"OK","UNRECOGNIZED"))</f>
        <v/>
      </c>
      <c r="O148" s="17">
        <f>IF(OR($B148="",$D148="",$E148=""),"",IF($E148=$D148,"CHECK TIMES (start = end)",IF($F148&gt;12,"CHECK TIMES (End is before Start?)","OK")))</f>
        <v/>
      </c>
    </row>
    <row r="149">
      <c r="B149" s="18" t="n"/>
      <c r="C149" s="17">
        <f>IF($B149="","",TEXT($B149,"ddd"))</f>
        <v/>
      </c>
      <c r="D149" s="46" t="n"/>
      <c r="E149" s="46"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IF(OR($B149="",$I149=""),"",IF(SUMPRODUCT((nrInstrNames&lt;&gt;"")*ISNUMBER(SEARCH(nrInstrNames,$I149)))&gt;0,"OK","UNRECOGNIZED"))</f>
        <v/>
      </c>
      <c r="O149" s="17">
        <f>IF(OR($B149="",$D149="",$E149=""),"",IF($E149=$D149,"CHECK TIMES (start = end)",IF($F149&gt;12,"CHECK TIMES (End is before Start?)","OK")))</f>
        <v/>
      </c>
    </row>
    <row r="150">
      <c r="B150" s="18" t="n"/>
      <c r="C150" s="17">
        <f>IF($B150="","",TEXT($B150,"ddd"))</f>
        <v/>
      </c>
      <c r="D150" s="46" t="n"/>
      <c r="E150" s="46"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IF(OR($B150="",$I150=""),"",IF(SUMPRODUCT((nrInstrNames&lt;&gt;"")*ISNUMBER(SEARCH(nrInstrNames,$I150)))&gt;0,"OK","UNRECOGNIZED"))</f>
        <v/>
      </c>
      <c r="O150" s="17">
        <f>IF(OR($B150="",$D150="",$E150=""),"",IF($E150=$D150,"CHECK TIMES (start = end)",IF($F150&gt;12,"CHECK TIMES (End is before Start?)","OK")))</f>
        <v/>
      </c>
    </row>
    <row r="151">
      <c r="B151" s="18" t="n"/>
      <c r="C151" s="17">
        <f>IF($B151="","",TEXT($B151,"ddd"))</f>
        <v/>
      </c>
      <c r="D151" s="46" t="n"/>
      <c r="E151" s="46"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IF(OR($B151="",$I151=""),"",IF(SUMPRODUCT((nrInstrNames&lt;&gt;"")*ISNUMBER(SEARCH(nrInstrNames,$I151)))&gt;0,"OK","UNRECOGNIZED"))</f>
        <v/>
      </c>
      <c r="O151" s="17">
        <f>IF(OR($B151="",$D151="",$E151=""),"",IF($E151=$D151,"CHECK TIMES (start = end)",IF($F151&gt;12,"CHECK TIMES (End is before Start?)","OK")))</f>
        <v/>
      </c>
    </row>
    <row r="152">
      <c r="B152" s="18" t="n"/>
      <c r="C152" s="17">
        <f>IF($B152="","",TEXT($B152,"ddd"))</f>
        <v/>
      </c>
      <c r="D152" s="46" t="n"/>
      <c r="E152" s="46"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IF(OR($B152="",$I152=""),"",IF(SUMPRODUCT((nrInstrNames&lt;&gt;"")*ISNUMBER(SEARCH(nrInstrNames,$I152)))&gt;0,"OK","UNRECOGNIZED"))</f>
        <v/>
      </c>
      <c r="O152" s="17">
        <f>IF(OR($B152="",$D152="",$E152=""),"",IF($E152=$D152,"CHECK TIMES (start = end)",IF($F152&gt;12,"CHECK TIMES (End is before Start?)","OK")))</f>
        <v/>
      </c>
    </row>
    <row r="153">
      <c r="B153" s="18" t="n"/>
      <c r="C153" s="17">
        <f>IF($B153="","",TEXT($B153,"ddd"))</f>
        <v/>
      </c>
      <c r="D153" s="46" t="n"/>
      <c r="E153" s="46"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IF(OR($B153="",$I153=""),"",IF(SUMPRODUCT((nrInstrNames&lt;&gt;"")*ISNUMBER(SEARCH(nrInstrNames,$I153)))&gt;0,"OK","UNRECOGNIZED"))</f>
        <v/>
      </c>
      <c r="O153" s="17">
        <f>IF(OR($B153="",$D153="",$E153=""),"",IF($E153=$D153,"CHECK TIMES (start = end)",IF($F153&gt;12,"CHECK TIMES (End is before Start?)","OK")))</f>
        <v/>
      </c>
    </row>
    <row r="154">
      <c r="B154" s="18" t="n"/>
      <c r="C154" s="17">
        <f>IF($B154="","",TEXT($B154,"ddd"))</f>
        <v/>
      </c>
      <c r="D154" s="46" t="n"/>
      <c r="E154" s="46"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IF(OR($B154="",$I154=""),"",IF(SUMPRODUCT((nrInstrNames&lt;&gt;"")*ISNUMBER(SEARCH(nrInstrNames,$I154)))&gt;0,"OK","UNRECOGNIZED"))</f>
        <v/>
      </c>
      <c r="O154" s="17">
        <f>IF(OR($B154="",$D154="",$E154=""),"",IF($E154=$D154,"CHECK TIMES (start = end)",IF($F154&gt;12,"CHECK TIMES (End is before Start?)","OK")))</f>
        <v/>
      </c>
    </row>
    <row r="155">
      <c r="B155" s="18" t="n"/>
      <c r="C155" s="17">
        <f>IF($B155="","",TEXT($B155,"ddd"))</f>
        <v/>
      </c>
      <c r="D155" s="46" t="n"/>
      <c r="E155" s="46"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IF(OR($B155="",$I155=""),"",IF(SUMPRODUCT((nrInstrNames&lt;&gt;"")*ISNUMBER(SEARCH(nrInstrNames,$I155)))&gt;0,"OK","UNRECOGNIZED"))</f>
        <v/>
      </c>
      <c r="O155" s="17">
        <f>IF(OR($B155="",$D155="",$E155=""),"",IF($E155=$D155,"CHECK TIMES (start = end)",IF($F155&gt;12,"CHECK TIMES (End is before Start?)","OK")))</f>
        <v/>
      </c>
    </row>
    <row r="156">
      <c r="B156" s="18" t="n"/>
      <c r="C156" s="17">
        <f>IF($B156="","",TEXT($B156,"ddd"))</f>
        <v/>
      </c>
      <c r="D156" s="46" t="n"/>
      <c r="E156" s="46"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IF(OR($B156="",$I156=""),"",IF(SUMPRODUCT((nrInstrNames&lt;&gt;"")*ISNUMBER(SEARCH(nrInstrNames,$I156)))&gt;0,"OK","UNRECOGNIZED"))</f>
        <v/>
      </c>
      <c r="O156" s="17">
        <f>IF(OR($B156="",$D156="",$E156=""),"",IF($E156=$D156,"CHECK TIMES (start = end)",IF($F156&gt;12,"CHECK TIMES (End is before Start?)","OK")))</f>
        <v/>
      </c>
    </row>
    <row r="157">
      <c r="B157" s="18" t="n"/>
      <c r="C157" s="17">
        <f>IF($B157="","",TEXT($B157,"ddd"))</f>
        <v/>
      </c>
      <c r="D157" s="46" t="n"/>
      <c r="E157" s="46"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IF(OR($B157="",$I157=""),"",IF(SUMPRODUCT((nrInstrNames&lt;&gt;"")*ISNUMBER(SEARCH(nrInstrNames,$I157)))&gt;0,"OK","UNRECOGNIZED"))</f>
        <v/>
      </c>
      <c r="O157" s="17">
        <f>IF(OR($B157="",$D157="",$E157=""),"",IF($E157=$D157,"CHECK TIMES (start = end)",IF($F157&gt;12,"CHECK TIMES (End is before Start?)","OK")))</f>
        <v/>
      </c>
    </row>
    <row r="158">
      <c r="B158" s="18" t="n"/>
      <c r="C158" s="17">
        <f>IF($B158="","",TEXT($B158,"ddd"))</f>
        <v/>
      </c>
      <c r="D158" s="46" t="n"/>
      <c r="E158" s="46"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IF(OR($B158="",$I158=""),"",IF(SUMPRODUCT((nrInstrNames&lt;&gt;"")*ISNUMBER(SEARCH(nrInstrNames,$I158)))&gt;0,"OK","UNRECOGNIZED"))</f>
        <v/>
      </c>
      <c r="O158" s="17">
        <f>IF(OR($B158="",$D158="",$E158=""),"",IF($E158=$D158,"CHECK TIMES (start = end)",IF($F158&gt;12,"CHECK TIMES (End is before Start?)","OK")))</f>
        <v/>
      </c>
    </row>
    <row r="159">
      <c r="B159" s="18" t="n"/>
      <c r="C159" s="17">
        <f>IF($B159="","",TEXT($B159,"ddd"))</f>
        <v/>
      </c>
      <c r="D159" s="46" t="n"/>
      <c r="E159" s="46"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IF(OR($B159="",$I159=""),"",IF(SUMPRODUCT((nrInstrNames&lt;&gt;"")*ISNUMBER(SEARCH(nrInstrNames,$I159)))&gt;0,"OK","UNRECOGNIZED"))</f>
        <v/>
      </c>
      <c r="O159" s="17">
        <f>IF(OR($B159="",$D159="",$E159=""),"",IF($E159=$D159,"CHECK TIMES (start = end)",IF($F159&gt;12,"CHECK TIMES (End is before Start?)","OK")))</f>
        <v/>
      </c>
    </row>
    <row r="160">
      <c r="B160" s="18" t="n"/>
      <c r="C160" s="17">
        <f>IF($B160="","",TEXT($B160,"ddd"))</f>
        <v/>
      </c>
      <c r="D160" s="46" t="n"/>
      <c r="E160" s="46"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IF(OR($B160="",$I160=""),"",IF(SUMPRODUCT((nrInstrNames&lt;&gt;"")*ISNUMBER(SEARCH(nrInstrNames,$I160)))&gt;0,"OK","UNRECOGNIZED"))</f>
        <v/>
      </c>
      <c r="O160" s="17">
        <f>IF(OR($B160="",$D160="",$E160=""),"",IF($E160=$D160,"CHECK TIMES (start = end)",IF($F160&gt;12,"CHECK TIMES (End is before Start?)","OK")))</f>
        <v/>
      </c>
    </row>
    <row r="161">
      <c r="B161" s="18" t="n"/>
      <c r="C161" s="17">
        <f>IF($B161="","",TEXT($B161,"ddd"))</f>
        <v/>
      </c>
      <c r="D161" s="46" t="n"/>
      <c r="E161" s="46"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IF(OR($B161="",$I161=""),"",IF(SUMPRODUCT((nrInstrNames&lt;&gt;"")*ISNUMBER(SEARCH(nrInstrNames,$I161)))&gt;0,"OK","UNRECOGNIZED"))</f>
        <v/>
      </c>
      <c r="O161" s="17">
        <f>IF(OR($B161="",$D161="",$E161=""),"",IF($E161=$D161,"CHECK TIMES (start = end)",IF($F161&gt;12,"CHECK TIMES (End is before Start?)","OK")))</f>
        <v/>
      </c>
    </row>
    <row r="162">
      <c r="B162" s="18" t="n"/>
      <c r="C162" s="17">
        <f>IF($B162="","",TEXT($B162,"ddd"))</f>
        <v/>
      </c>
      <c r="D162" s="46" t="n"/>
      <c r="E162" s="46"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IF(OR($B162="",$I162=""),"",IF(SUMPRODUCT((nrInstrNames&lt;&gt;"")*ISNUMBER(SEARCH(nrInstrNames,$I162)))&gt;0,"OK","UNRECOGNIZED"))</f>
        <v/>
      </c>
      <c r="O162" s="17">
        <f>IF(OR($B162="",$D162="",$E162=""),"",IF($E162=$D162,"CHECK TIMES (start = end)",IF($F162&gt;12,"CHECK TIMES (End is before Start?)","OK")))</f>
        <v/>
      </c>
    </row>
    <row r="163">
      <c r="B163" s="18" t="n"/>
      <c r="C163" s="17">
        <f>IF($B163="","",TEXT($B163,"ddd"))</f>
        <v/>
      </c>
      <c r="D163" s="46" t="n"/>
      <c r="E163" s="46"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IF(OR($B163="",$I163=""),"",IF(SUMPRODUCT((nrInstrNames&lt;&gt;"")*ISNUMBER(SEARCH(nrInstrNames,$I163)))&gt;0,"OK","UNRECOGNIZED"))</f>
        <v/>
      </c>
      <c r="O163" s="17">
        <f>IF(OR($B163="",$D163="",$E163=""),"",IF($E163=$D163,"CHECK TIMES (start = end)",IF($F163&gt;12,"CHECK TIMES (End is before Start?)","OK")))</f>
        <v/>
      </c>
    </row>
    <row r="164">
      <c r="B164" s="18" t="n"/>
      <c r="C164" s="17">
        <f>IF($B164="","",TEXT($B164,"ddd"))</f>
        <v/>
      </c>
      <c r="D164" s="46" t="n"/>
      <c r="E164" s="46"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IF(OR($B164="",$I164=""),"",IF(SUMPRODUCT((nrInstrNames&lt;&gt;"")*ISNUMBER(SEARCH(nrInstrNames,$I164)))&gt;0,"OK","UNRECOGNIZED"))</f>
        <v/>
      </c>
      <c r="O164" s="17">
        <f>IF(OR($B164="",$D164="",$E164=""),"",IF($E164=$D164,"CHECK TIMES (start = end)",IF($F164&gt;12,"CHECK TIMES (End is before Start?)","OK")))</f>
        <v/>
      </c>
    </row>
    <row r="165">
      <c r="B165" s="18" t="n"/>
      <c r="C165" s="17">
        <f>IF($B165="","",TEXT($B165,"ddd"))</f>
        <v/>
      </c>
      <c r="D165" s="46" t="n"/>
      <c r="E165" s="46"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IF(OR($B165="",$I165=""),"",IF(SUMPRODUCT((nrInstrNames&lt;&gt;"")*ISNUMBER(SEARCH(nrInstrNames,$I165)))&gt;0,"OK","UNRECOGNIZED"))</f>
        <v/>
      </c>
      <c r="O165" s="17">
        <f>IF(OR($B165="",$D165="",$E165=""),"",IF($E165=$D165,"CHECK TIMES (start = end)",IF($F165&gt;12,"CHECK TIMES (End is before Start?)","OK")))</f>
        <v/>
      </c>
    </row>
    <row r="166">
      <c r="B166" s="18" t="n"/>
      <c r="C166" s="17">
        <f>IF($B166="","",TEXT($B166,"ddd"))</f>
        <v/>
      </c>
      <c r="D166" s="46" t="n"/>
      <c r="E166" s="46"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IF(OR($B166="",$I166=""),"",IF(SUMPRODUCT((nrInstrNames&lt;&gt;"")*ISNUMBER(SEARCH(nrInstrNames,$I166)))&gt;0,"OK","UNRECOGNIZED"))</f>
        <v/>
      </c>
      <c r="O166" s="17">
        <f>IF(OR($B166="",$D166="",$E166=""),"",IF($E166=$D166,"CHECK TIMES (start = end)",IF($F166&gt;12,"CHECK TIMES (End is before Start?)","OK")))</f>
        <v/>
      </c>
    </row>
    <row r="167">
      <c r="B167" s="18" t="n"/>
      <c r="C167" s="17">
        <f>IF($B167="","",TEXT($B167,"ddd"))</f>
        <v/>
      </c>
      <c r="D167" s="46" t="n"/>
      <c r="E167" s="46"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IF(OR($B167="",$I167=""),"",IF(SUMPRODUCT((nrInstrNames&lt;&gt;"")*ISNUMBER(SEARCH(nrInstrNames,$I167)))&gt;0,"OK","UNRECOGNIZED"))</f>
        <v/>
      </c>
      <c r="O167" s="17">
        <f>IF(OR($B167="",$D167="",$E167=""),"",IF($E167=$D167,"CHECK TIMES (start = end)",IF($F167&gt;12,"CHECK TIMES (End is before Start?)","OK")))</f>
        <v/>
      </c>
    </row>
    <row r="168">
      <c r="B168" s="18" t="n"/>
      <c r="C168" s="17">
        <f>IF($B168="","",TEXT($B168,"ddd"))</f>
        <v/>
      </c>
      <c r="D168" s="46" t="n"/>
      <c r="E168" s="46"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IF(OR($B168="",$I168=""),"",IF(SUMPRODUCT((nrInstrNames&lt;&gt;"")*ISNUMBER(SEARCH(nrInstrNames,$I168)))&gt;0,"OK","UNRECOGNIZED"))</f>
        <v/>
      </c>
      <c r="O168" s="17">
        <f>IF(OR($B168="",$D168="",$E168=""),"",IF($E168=$D168,"CHECK TIMES (start = end)",IF($F168&gt;12,"CHECK TIMES (End is before Start?)","OK")))</f>
        <v/>
      </c>
    </row>
    <row r="169">
      <c r="B169" s="18" t="n"/>
      <c r="C169" s="17">
        <f>IF($B169="","",TEXT($B169,"ddd"))</f>
        <v/>
      </c>
      <c r="D169" s="46" t="n"/>
      <c r="E169" s="46"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IF(OR($B169="",$I169=""),"",IF(SUMPRODUCT((nrInstrNames&lt;&gt;"")*ISNUMBER(SEARCH(nrInstrNames,$I169)))&gt;0,"OK","UNRECOGNIZED"))</f>
        <v/>
      </c>
      <c r="O169" s="17">
        <f>IF(OR($B169="",$D169="",$E169=""),"",IF($E169=$D169,"CHECK TIMES (start = end)",IF($F169&gt;12,"CHECK TIMES (End is before Start?)","OK")))</f>
        <v/>
      </c>
    </row>
    <row r="170">
      <c r="B170" s="18" t="n"/>
      <c r="C170" s="17">
        <f>IF($B170="","",TEXT($B170,"ddd"))</f>
        <v/>
      </c>
      <c r="D170" s="46" t="n"/>
      <c r="E170" s="46"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IF(OR($B170="",$I170=""),"",IF(SUMPRODUCT((nrInstrNames&lt;&gt;"")*ISNUMBER(SEARCH(nrInstrNames,$I170)))&gt;0,"OK","UNRECOGNIZED"))</f>
        <v/>
      </c>
      <c r="O170" s="17">
        <f>IF(OR($B170="",$D170="",$E170=""),"",IF($E170=$D170,"CHECK TIMES (start = end)",IF($F170&gt;12,"CHECK TIMES (End is before Start?)","OK")))</f>
        <v/>
      </c>
    </row>
    <row r="171">
      <c r="B171" s="18" t="n"/>
      <c r="C171" s="17">
        <f>IF($B171="","",TEXT($B171,"ddd"))</f>
        <v/>
      </c>
      <c r="D171" s="46" t="n"/>
      <c r="E171" s="46"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IF(OR($B171="",$I171=""),"",IF(SUMPRODUCT((nrInstrNames&lt;&gt;"")*ISNUMBER(SEARCH(nrInstrNames,$I171)))&gt;0,"OK","UNRECOGNIZED"))</f>
        <v/>
      </c>
      <c r="O171" s="17">
        <f>IF(OR($B171="",$D171="",$E171=""),"",IF($E171=$D171,"CHECK TIMES (start = end)",IF($F171&gt;12,"CHECK TIMES (End is before Start?)","OK")))</f>
        <v/>
      </c>
    </row>
    <row r="172">
      <c r="B172" s="18" t="n"/>
      <c r="C172" s="17">
        <f>IF($B172="","",TEXT($B172,"ddd"))</f>
        <v/>
      </c>
      <c r="D172" s="46" t="n"/>
      <c r="E172" s="46"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IF(OR($B172="",$I172=""),"",IF(SUMPRODUCT((nrInstrNames&lt;&gt;"")*ISNUMBER(SEARCH(nrInstrNames,$I172)))&gt;0,"OK","UNRECOGNIZED"))</f>
        <v/>
      </c>
      <c r="O172" s="17">
        <f>IF(OR($B172="",$D172="",$E172=""),"",IF($E172=$D172,"CHECK TIMES (start = end)",IF($F172&gt;12,"CHECK TIMES (End is before Start?)","OK")))</f>
        <v/>
      </c>
    </row>
    <row r="173">
      <c r="B173" s="18" t="n"/>
      <c r="C173" s="17">
        <f>IF($B173="","",TEXT($B173,"ddd"))</f>
        <v/>
      </c>
      <c r="D173" s="46" t="n"/>
      <c r="E173" s="46"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IF(OR($B173="",$I173=""),"",IF(SUMPRODUCT((nrInstrNames&lt;&gt;"")*ISNUMBER(SEARCH(nrInstrNames,$I173)))&gt;0,"OK","UNRECOGNIZED"))</f>
        <v/>
      </c>
      <c r="O173" s="17">
        <f>IF(OR($B173="",$D173="",$E173=""),"",IF($E173=$D173,"CHECK TIMES (start = end)",IF($F173&gt;12,"CHECK TIMES (End is before Start?)","OK")))</f>
        <v/>
      </c>
    </row>
    <row r="174">
      <c r="B174" s="18" t="n"/>
      <c r="C174" s="17">
        <f>IF($B174="","",TEXT($B174,"ddd"))</f>
        <v/>
      </c>
      <c r="D174" s="46" t="n"/>
      <c r="E174" s="46"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IF(OR($B174="",$I174=""),"",IF(SUMPRODUCT((nrInstrNames&lt;&gt;"")*ISNUMBER(SEARCH(nrInstrNames,$I174)))&gt;0,"OK","UNRECOGNIZED"))</f>
        <v/>
      </c>
      <c r="O174" s="17">
        <f>IF(OR($B174="",$D174="",$E174=""),"",IF($E174=$D174,"CHECK TIMES (start = end)",IF($F174&gt;12,"CHECK TIMES (End is before Start?)","OK")))</f>
        <v/>
      </c>
    </row>
    <row r="175">
      <c r="B175" s="18" t="n"/>
      <c r="C175" s="17">
        <f>IF($B175="","",TEXT($B175,"ddd"))</f>
        <v/>
      </c>
      <c r="D175" s="46" t="n"/>
      <c r="E175" s="46"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IF(OR($B175="",$I175=""),"",IF(SUMPRODUCT((nrInstrNames&lt;&gt;"")*ISNUMBER(SEARCH(nrInstrNames,$I175)))&gt;0,"OK","UNRECOGNIZED"))</f>
        <v/>
      </c>
      <c r="O175" s="17">
        <f>IF(OR($B175="",$D175="",$E175=""),"",IF($E175=$D175,"CHECK TIMES (start = end)",IF($F175&gt;12,"CHECK TIMES (End is before Start?)","OK")))</f>
        <v/>
      </c>
    </row>
    <row r="176">
      <c r="B176" s="18" t="n"/>
      <c r="C176" s="17">
        <f>IF($B176="","",TEXT($B176,"ddd"))</f>
        <v/>
      </c>
      <c r="D176" s="46" t="n"/>
      <c r="E176" s="46"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IF(OR($B176="",$I176=""),"",IF(SUMPRODUCT((nrInstrNames&lt;&gt;"")*ISNUMBER(SEARCH(nrInstrNames,$I176)))&gt;0,"OK","UNRECOGNIZED"))</f>
        <v/>
      </c>
      <c r="O176" s="17">
        <f>IF(OR($B176="",$D176="",$E176=""),"",IF($E176=$D176,"CHECK TIMES (start = end)",IF($F176&gt;12,"CHECK TIMES (End is before Start?)","OK")))</f>
        <v/>
      </c>
    </row>
    <row r="177">
      <c r="B177" s="18" t="n"/>
      <c r="C177" s="17">
        <f>IF($B177="","",TEXT($B177,"ddd"))</f>
        <v/>
      </c>
      <c r="D177" s="46" t="n"/>
      <c r="E177" s="46"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IF(OR($B177="",$I177=""),"",IF(SUMPRODUCT((nrInstrNames&lt;&gt;"")*ISNUMBER(SEARCH(nrInstrNames,$I177)))&gt;0,"OK","UNRECOGNIZED"))</f>
        <v/>
      </c>
      <c r="O177" s="17">
        <f>IF(OR($B177="",$D177="",$E177=""),"",IF($E177=$D177,"CHECK TIMES (start = end)",IF($F177&gt;12,"CHECK TIMES (End is before Start?)","OK")))</f>
        <v/>
      </c>
    </row>
    <row r="178">
      <c r="B178" s="18" t="n"/>
      <c r="C178" s="17">
        <f>IF($B178="","",TEXT($B178,"ddd"))</f>
        <v/>
      </c>
      <c r="D178" s="46" t="n"/>
      <c r="E178" s="46"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IF(OR($B178="",$I178=""),"",IF(SUMPRODUCT((nrInstrNames&lt;&gt;"")*ISNUMBER(SEARCH(nrInstrNames,$I178)))&gt;0,"OK","UNRECOGNIZED"))</f>
        <v/>
      </c>
      <c r="O178" s="17">
        <f>IF(OR($B178="",$D178="",$E178=""),"",IF($E178=$D178,"CHECK TIMES (start = end)",IF($F178&gt;12,"CHECK TIMES (End is before Start?)","OK")))</f>
        <v/>
      </c>
    </row>
    <row r="179">
      <c r="B179" s="18" t="n"/>
      <c r="C179" s="17">
        <f>IF($B179="","",TEXT($B179,"ddd"))</f>
        <v/>
      </c>
      <c r="D179" s="46" t="n"/>
      <c r="E179" s="46"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IF(OR($B179="",$I179=""),"",IF(SUMPRODUCT((nrInstrNames&lt;&gt;"")*ISNUMBER(SEARCH(nrInstrNames,$I179)))&gt;0,"OK","UNRECOGNIZED"))</f>
        <v/>
      </c>
      <c r="O179" s="17">
        <f>IF(OR($B179="",$D179="",$E179=""),"",IF($E179=$D179,"CHECK TIMES (start = end)",IF($F179&gt;12,"CHECK TIMES (End is before Start?)","OK")))</f>
        <v/>
      </c>
    </row>
    <row r="180">
      <c r="B180" s="18" t="n"/>
      <c r="C180" s="17">
        <f>IF($B180="","",TEXT($B180,"ddd"))</f>
        <v/>
      </c>
      <c r="D180" s="46" t="n"/>
      <c r="E180" s="46"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IF(OR($B180="",$I180=""),"",IF(SUMPRODUCT((nrInstrNames&lt;&gt;"")*ISNUMBER(SEARCH(nrInstrNames,$I180)))&gt;0,"OK","UNRECOGNIZED"))</f>
        <v/>
      </c>
      <c r="O180" s="17">
        <f>IF(OR($B180="",$D180="",$E180=""),"",IF($E180=$D180,"CHECK TIMES (start = end)",IF($F180&gt;12,"CHECK TIMES (End is before Start?)","OK")))</f>
        <v/>
      </c>
    </row>
    <row r="181">
      <c r="B181" s="18" t="n"/>
      <c r="C181" s="17">
        <f>IF($B181="","",TEXT($B181,"ddd"))</f>
        <v/>
      </c>
      <c r="D181" s="46" t="n"/>
      <c r="E181" s="46"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IF(OR($B181="",$I181=""),"",IF(SUMPRODUCT((nrInstrNames&lt;&gt;"")*ISNUMBER(SEARCH(nrInstrNames,$I181)))&gt;0,"OK","UNRECOGNIZED"))</f>
        <v/>
      </c>
      <c r="O181" s="17">
        <f>IF(OR($B181="",$D181="",$E181=""),"",IF($E181=$D181,"CHECK TIMES (start = end)",IF($F181&gt;12,"CHECK TIMES (End is before Start?)","OK")))</f>
        <v/>
      </c>
    </row>
    <row r="182">
      <c r="B182" s="18" t="n"/>
      <c r="C182" s="17">
        <f>IF($B182="","",TEXT($B182,"ddd"))</f>
        <v/>
      </c>
      <c r="D182" s="46" t="n"/>
      <c r="E182" s="46"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IF(OR($B182="",$I182=""),"",IF(SUMPRODUCT((nrInstrNames&lt;&gt;"")*ISNUMBER(SEARCH(nrInstrNames,$I182)))&gt;0,"OK","UNRECOGNIZED"))</f>
        <v/>
      </c>
      <c r="O182" s="17">
        <f>IF(OR($B182="",$D182="",$E182=""),"",IF($E182=$D182,"CHECK TIMES (start = end)",IF($F182&gt;12,"CHECK TIMES (End is before Start?)","OK")))</f>
        <v/>
      </c>
    </row>
    <row r="183">
      <c r="B183" s="18" t="n"/>
      <c r="C183" s="17">
        <f>IF($B183="","",TEXT($B183,"ddd"))</f>
        <v/>
      </c>
      <c r="D183" s="46" t="n"/>
      <c r="E183" s="46"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IF(OR($B183="",$I183=""),"",IF(SUMPRODUCT((nrInstrNames&lt;&gt;"")*ISNUMBER(SEARCH(nrInstrNames,$I183)))&gt;0,"OK","UNRECOGNIZED"))</f>
        <v/>
      </c>
      <c r="O183" s="17">
        <f>IF(OR($B183="",$D183="",$E183=""),"",IF($E183=$D183,"CHECK TIMES (start = end)",IF($F183&gt;12,"CHECK TIMES (End is before Start?)","OK")))</f>
        <v/>
      </c>
    </row>
    <row r="184">
      <c r="B184" s="18" t="n"/>
      <c r="C184" s="17">
        <f>IF($B184="","",TEXT($B184,"ddd"))</f>
        <v/>
      </c>
      <c r="D184" s="46" t="n"/>
      <c r="E184" s="46"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IF(OR($B184="",$I184=""),"",IF(SUMPRODUCT((nrInstrNames&lt;&gt;"")*ISNUMBER(SEARCH(nrInstrNames,$I184)))&gt;0,"OK","UNRECOGNIZED"))</f>
        <v/>
      </c>
      <c r="O184" s="17">
        <f>IF(OR($B184="",$D184="",$E184=""),"",IF($E184=$D184,"CHECK TIMES (start = end)",IF($F184&gt;12,"CHECK TIMES (End is before Start?)","OK")))</f>
        <v/>
      </c>
    </row>
    <row r="185">
      <c r="B185" s="18" t="n"/>
      <c r="C185" s="17">
        <f>IF($B185="","",TEXT($B185,"ddd"))</f>
        <v/>
      </c>
      <c r="D185" s="46" t="n"/>
      <c r="E185" s="46"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IF(OR($B185="",$I185=""),"",IF(SUMPRODUCT((nrInstrNames&lt;&gt;"")*ISNUMBER(SEARCH(nrInstrNames,$I185)))&gt;0,"OK","UNRECOGNIZED"))</f>
        <v/>
      </c>
      <c r="O185" s="17">
        <f>IF(OR($B185="",$D185="",$E185=""),"",IF($E185=$D185,"CHECK TIMES (start = end)",IF($F185&gt;12,"CHECK TIMES (End is before Start?)","OK")))</f>
        <v/>
      </c>
    </row>
    <row r="186">
      <c r="B186" s="18" t="n"/>
      <c r="C186" s="17">
        <f>IF($B186="","",TEXT($B186,"ddd"))</f>
        <v/>
      </c>
      <c r="D186" s="46" t="n"/>
      <c r="E186" s="46"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IF(OR($B186="",$I186=""),"",IF(SUMPRODUCT((nrInstrNames&lt;&gt;"")*ISNUMBER(SEARCH(nrInstrNames,$I186)))&gt;0,"OK","UNRECOGNIZED"))</f>
        <v/>
      </c>
      <c r="O186" s="17">
        <f>IF(OR($B186="",$D186="",$E186=""),"",IF($E186=$D186,"CHECK TIMES (start = end)",IF($F186&gt;12,"CHECK TIMES (End is before Start?)","OK")))</f>
        <v/>
      </c>
    </row>
    <row r="187">
      <c r="B187" s="18" t="n"/>
      <c r="C187" s="17">
        <f>IF($B187="","",TEXT($B187,"ddd"))</f>
        <v/>
      </c>
      <c r="D187" s="46" t="n"/>
      <c r="E187" s="46"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IF(OR($B187="",$I187=""),"",IF(SUMPRODUCT((nrInstrNames&lt;&gt;"")*ISNUMBER(SEARCH(nrInstrNames,$I187)))&gt;0,"OK","UNRECOGNIZED"))</f>
        <v/>
      </c>
      <c r="O187" s="17">
        <f>IF(OR($B187="",$D187="",$E187=""),"",IF($E187=$D187,"CHECK TIMES (start = end)",IF($F187&gt;12,"CHECK TIMES (End is before Start?)","OK")))</f>
        <v/>
      </c>
    </row>
    <row r="188">
      <c r="B188" s="18" t="n"/>
      <c r="C188" s="17">
        <f>IF($B188="","",TEXT($B188,"ddd"))</f>
        <v/>
      </c>
      <c r="D188" s="46" t="n"/>
      <c r="E188" s="46"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IF(OR($B188="",$I188=""),"",IF(SUMPRODUCT((nrInstrNames&lt;&gt;"")*ISNUMBER(SEARCH(nrInstrNames,$I188)))&gt;0,"OK","UNRECOGNIZED"))</f>
        <v/>
      </c>
      <c r="O188" s="17">
        <f>IF(OR($B188="",$D188="",$E188=""),"",IF($E188=$D188,"CHECK TIMES (start = end)",IF($F188&gt;12,"CHECK TIMES (End is before Start?)","OK")))</f>
        <v/>
      </c>
    </row>
    <row r="189">
      <c r="B189" s="18" t="n"/>
      <c r="C189" s="17">
        <f>IF($B189="","",TEXT($B189,"ddd"))</f>
        <v/>
      </c>
      <c r="D189" s="46" t="n"/>
      <c r="E189" s="46"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IF(OR($B189="",$I189=""),"",IF(SUMPRODUCT((nrInstrNames&lt;&gt;"")*ISNUMBER(SEARCH(nrInstrNames,$I189)))&gt;0,"OK","UNRECOGNIZED"))</f>
        <v/>
      </c>
      <c r="O189" s="17">
        <f>IF(OR($B189="",$D189="",$E189=""),"",IF($E189=$D189,"CHECK TIMES (start = end)",IF($F189&gt;12,"CHECK TIMES (End is before Start?)","OK")))</f>
        <v/>
      </c>
    </row>
    <row r="190">
      <c r="B190" s="18" t="n"/>
      <c r="C190" s="17">
        <f>IF($B190="","",TEXT($B190,"ddd"))</f>
        <v/>
      </c>
      <c r="D190" s="46" t="n"/>
      <c r="E190" s="46"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IF(OR($B190="",$I190=""),"",IF(SUMPRODUCT((nrInstrNames&lt;&gt;"")*ISNUMBER(SEARCH(nrInstrNames,$I190)))&gt;0,"OK","UNRECOGNIZED"))</f>
        <v/>
      </c>
      <c r="O190" s="17">
        <f>IF(OR($B190="",$D190="",$E190=""),"",IF($E190=$D190,"CHECK TIMES (start = end)",IF($F190&gt;12,"CHECK TIMES (End is before Start?)","OK")))</f>
        <v/>
      </c>
    </row>
    <row r="191">
      <c r="B191" s="18" t="n"/>
      <c r="C191" s="17">
        <f>IF($B191="","",TEXT($B191,"ddd"))</f>
        <v/>
      </c>
      <c r="D191" s="46" t="n"/>
      <c r="E191" s="46"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IF(OR($B191="",$I191=""),"",IF(SUMPRODUCT((nrInstrNames&lt;&gt;"")*ISNUMBER(SEARCH(nrInstrNames,$I191)))&gt;0,"OK","UNRECOGNIZED"))</f>
        <v/>
      </c>
      <c r="O191" s="17">
        <f>IF(OR($B191="",$D191="",$E191=""),"",IF($E191=$D191,"CHECK TIMES (start = end)",IF($F191&gt;12,"CHECK TIMES (End is before Start?)","OK")))</f>
        <v/>
      </c>
    </row>
    <row r="192">
      <c r="B192" s="18" t="n"/>
      <c r="C192" s="17">
        <f>IF($B192="","",TEXT($B192,"ddd"))</f>
        <v/>
      </c>
      <c r="D192" s="46" t="n"/>
      <c r="E192" s="46"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IF(OR($B192="",$I192=""),"",IF(SUMPRODUCT((nrInstrNames&lt;&gt;"")*ISNUMBER(SEARCH(nrInstrNames,$I192)))&gt;0,"OK","UNRECOGNIZED"))</f>
        <v/>
      </c>
      <c r="O192" s="17">
        <f>IF(OR($B192="",$D192="",$E192=""),"",IF($E192=$D192,"CHECK TIMES (start = end)",IF($F192&gt;12,"CHECK TIMES (End is before Start?)","OK")))</f>
        <v/>
      </c>
    </row>
    <row r="193">
      <c r="B193" s="18" t="n"/>
      <c r="C193" s="17">
        <f>IF($B193="","",TEXT($B193,"ddd"))</f>
        <v/>
      </c>
      <c r="D193" s="46" t="n"/>
      <c r="E193" s="46"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IF(OR($B193="",$I193=""),"",IF(SUMPRODUCT((nrInstrNames&lt;&gt;"")*ISNUMBER(SEARCH(nrInstrNames,$I193)))&gt;0,"OK","UNRECOGNIZED"))</f>
        <v/>
      </c>
      <c r="O193" s="17">
        <f>IF(OR($B193="",$D193="",$E193=""),"",IF($E193=$D193,"CHECK TIMES (start = end)",IF($F193&gt;12,"CHECK TIMES (End is before Start?)","OK")))</f>
        <v/>
      </c>
    </row>
    <row r="194">
      <c r="B194" s="18" t="n"/>
      <c r="C194" s="17">
        <f>IF($B194="","",TEXT($B194,"ddd"))</f>
        <v/>
      </c>
      <c r="D194" s="46" t="n"/>
      <c r="E194" s="46"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IF(OR($B194="",$I194=""),"",IF(SUMPRODUCT((nrInstrNames&lt;&gt;"")*ISNUMBER(SEARCH(nrInstrNames,$I194)))&gt;0,"OK","UNRECOGNIZED"))</f>
        <v/>
      </c>
      <c r="O194" s="17">
        <f>IF(OR($B194="",$D194="",$E194=""),"",IF($E194=$D194,"CHECK TIMES (start = end)",IF($F194&gt;12,"CHECK TIMES (End is before Start?)","OK")))</f>
        <v/>
      </c>
    </row>
    <row r="195">
      <c r="B195" s="18" t="n"/>
      <c r="C195" s="17">
        <f>IF($B195="","",TEXT($B195,"ddd"))</f>
        <v/>
      </c>
      <c r="D195" s="46" t="n"/>
      <c r="E195" s="46"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IF(OR($B195="",$I195=""),"",IF(SUMPRODUCT((nrInstrNames&lt;&gt;"")*ISNUMBER(SEARCH(nrInstrNames,$I195)))&gt;0,"OK","UNRECOGNIZED"))</f>
        <v/>
      </c>
      <c r="O195" s="17">
        <f>IF(OR($B195="",$D195="",$E195=""),"",IF($E195=$D195,"CHECK TIMES (start = end)",IF($F195&gt;12,"CHECK TIMES (End is before Start?)","OK")))</f>
        <v/>
      </c>
    </row>
    <row r="196">
      <c r="B196" s="18" t="n"/>
      <c r="C196" s="17">
        <f>IF($B196="","",TEXT($B196,"ddd"))</f>
        <v/>
      </c>
      <c r="D196" s="46" t="n"/>
      <c r="E196" s="46"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IF(OR($B196="",$I196=""),"",IF(SUMPRODUCT((nrInstrNames&lt;&gt;"")*ISNUMBER(SEARCH(nrInstrNames,$I196)))&gt;0,"OK","UNRECOGNIZED"))</f>
        <v/>
      </c>
      <c r="O196" s="17">
        <f>IF(OR($B196="",$D196="",$E196=""),"",IF($E196=$D196,"CHECK TIMES (start = end)",IF($F196&gt;12,"CHECK TIMES (End is before Start?)","OK")))</f>
        <v/>
      </c>
    </row>
    <row r="197">
      <c r="B197" s="18" t="n"/>
      <c r="C197" s="17">
        <f>IF($B197="","",TEXT($B197,"ddd"))</f>
        <v/>
      </c>
      <c r="D197" s="46" t="n"/>
      <c r="E197" s="46"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IF(OR($B197="",$I197=""),"",IF(SUMPRODUCT((nrInstrNames&lt;&gt;"")*ISNUMBER(SEARCH(nrInstrNames,$I197)))&gt;0,"OK","UNRECOGNIZED"))</f>
        <v/>
      </c>
      <c r="O197" s="17">
        <f>IF(OR($B197="",$D197="",$E197=""),"",IF($E197=$D197,"CHECK TIMES (start = end)",IF($F197&gt;12,"CHECK TIMES (End is before Start?)","OK")))</f>
        <v/>
      </c>
    </row>
    <row r="198">
      <c r="B198" s="18" t="n"/>
      <c r="C198" s="17">
        <f>IF($B198="","",TEXT($B198,"ddd"))</f>
        <v/>
      </c>
      <c r="D198" s="46" t="n"/>
      <c r="E198" s="46"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IF(OR($B198="",$I198=""),"",IF(SUMPRODUCT((nrInstrNames&lt;&gt;"")*ISNUMBER(SEARCH(nrInstrNames,$I198)))&gt;0,"OK","UNRECOGNIZED"))</f>
        <v/>
      </c>
      <c r="O198" s="17">
        <f>IF(OR($B198="",$D198="",$E198=""),"",IF($E198=$D198,"CHECK TIMES (start = end)",IF($F198&gt;12,"CHECK TIMES (End is before Start?)","OK")))</f>
        <v/>
      </c>
    </row>
    <row r="199">
      <c r="B199" s="18" t="n"/>
      <c r="C199" s="17">
        <f>IF($B199="","",TEXT($B199,"ddd"))</f>
        <v/>
      </c>
      <c r="D199" s="46" t="n"/>
      <c r="E199" s="46"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IF(OR($B199="",$I199=""),"",IF(SUMPRODUCT((nrInstrNames&lt;&gt;"")*ISNUMBER(SEARCH(nrInstrNames,$I199)))&gt;0,"OK","UNRECOGNIZED"))</f>
        <v/>
      </c>
      <c r="O199" s="17">
        <f>IF(OR($B199="",$D199="",$E199=""),"",IF($E199=$D199,"CHECK TIMES (start = end)",IF($F199&gt;12,"CHECK TIMES (End is before Start?)","OK")))</f>
        <v/>
      </c>
    </row>
    <row r="200">
      <c r="B200" s="18" t="n"/>
      <c r="C200" s="17">
        <f>IF($B200="","",TEXT($B200,"ddd"))</f>
        <v/>
      </c>
      <c r="D200" s="46" t="n"/>
      <c r="E200" s="46"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IF(OR($B200="",$I200=""),"",IF(SUMPRODUCT((nrInstrNames&lt;&gt;"")*ISNUMBER(SEARCH(nrInstrNames,$I200)))&gt;0,"OK","UNRECOGNIZED"))</f>
        <v/>
      </c>
      <c r="O200" s="17">
        <f>IF(OR($B200="",$D200="",$E200=""),"",IF($E200=$D200,"CHECK TIMES (start = end)",IF($F200&gt;12,"CHECK TIMES (End is before Start?)","OK")))</f>
        <v/>
      </c>
    </row>
    <row r="201">
      <c r="B201" s="18" t="n"/>
      <c r="C201" s="17">
        <f>IF($B201="","",TEXT($B201,"ddd"))</f>
        <v/>
      </c>
      <c r="D201" s="46" t="n"/>
      <c r="E201" s="46"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IF(OR($B201="",$I201=""),"",IF(SUMPRODUCT((nrInstrNames&lt;&gt;"")*ISNUMBER(SEARCH(nrInstrNames,$I201)))&gt;0,"OK","UNRECOGNIZED"))</f>
        <v/>
      </c>
      <c r="O201" s="17">
        <f>IF(OR($B201="",$D201="",$E201=""),"",IF($E201=$D201,"CHECK TIMES (start = end)",IF($F201&gt;12,"CHECK TIMES (End is before Start?)","OK")))</f>
        <v/>
      </c>
    </row>
    <row r="202">
      <c r="B202" s="18" t="n"/>
      <c r="C202" s="17">
        <f>IF($B202="","",TEXT($B202,"ddd"))</f>
        <v/>
      </c>
      <c r="D202" s="46" t="n"/>
      <c r="E202" s="46"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IF(OR($B202="",$I202=""),"",IF(SUMPRODUCT((nrInstrNames&lt;&gt;"")*ISNUMBER(SEARCH(nrInstrNames,$I202)))&gt;0,"OK","UNRECOGNIZED"))</f>
        <v/>
      </c>
      <c r="O202" s="17">
        <f>IF(OR($B202="",$D202="",$E202=""),"",IF($E202=$D202,"CHECK TIMES (start = end)",IF($F202&gt;12,"CHECK TIMES (End is before Start?)","OK")))</f>
        <v/>
      </c>
    </row>
    <row r="203">
      <c r="B203" s="18" t="n"/>
      <c r="C203" s="17">
        <f>IF($B203="","",TEXT($B203,"ddd"))</f>
        <v/>
      </c>
      <c r="D203" s="46" t="n"/>
      <c r="E203" s="46"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IF(OR($B203="",$I203=""),"",IF(SUMPRODUCT((nrInstrNames&lt;&gt;"")*ISNUMBER(SEARCH(nrInstrNames,$I203)))&gt;0,"OK","UNRECOGNIZED"))</f>
        <v/>
      </c>
      <c r="O203" s="17">
        <f>IF(OR($B203="",$D203="",$E203=""),"",IF($E203=$D203,"CHECK TIMES (start = end)",IF($F203&gt;12,"CHECK TIMES (End is before Start?)","OK")))</f>
        <v/>
      </c>
    </row>
    <row r="204">
      <c r="B204" s="18" t="n"/>
      <c r="C204" s="17">
        <f>IF($B204="","",TEXT($B204,"ddd"))</f>
        <v/>
      </c>
      <c r="D204" s="46" t="n"/>
      <c r="E204" s="46"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IF(OR($B204="",$I204=""),"",IF(SUMPRODUCT((nrInstrNames&lt;&gt;"")*ISNUMBER(SEARCH(nrInstrNames,$I204)))&gt;0,"OK","UNRECOGNIZED"))</f>
        <v/>
      </c>
      <c r="O204" s="17">
        <f>IF(OR($B204="",$D204="",$E204=""),"",IF($E204=$D204,"CHECK TIMES (start = end)",IF($F204&gt;12,"CHECK TIMES (End is before Start?)","OK")))</f>
        <v/>
      </c>
    </row>
    <row r="205">
      <c r="B205" s="18" t="n"/>
      <c r="C205" s="17">
        <f>IF($B205="","",TEXT($B205,"ddd"))</f>
        <v/>
      </c>
      <c r="D205" s="46" t="n"/>
      <c r="E205" s="46"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IF(OR($B205="",$I205=""),"",IF(SUMPRODUCT((nrInstrNames&lt;&gt;"")*ISNUMBER(SEARCH(nrInstrNames,$I205)))&gt;0,"OK","UNRECOGNIZED"))</f>
        <v/>
      </c>
      <c r="O205" s="17">
        <f>IF(OR($B205="",$D205="",$E205=""),"",IF($E205=$D205,"CHECK TIMES (start = end)",IF($F205&gt;12,"CHECK TIMES (End is before Start?)","OK")))</f>
        <v/>
      </c>
    </row>
    <row r="206">
      <c r="B206" s="18" t="n"/>
      <c r="C206" s="17">
        <f>IF($B206="","",TEXT($B206,"ddd"))</f>
        <v/>
      </c>
      <c r="D206" s="46" t="n"/>
      <c r="E206" s="46"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IF(OR($B206="",$I206=""),"",IF(SUMPRODUCT((nrInstrNames&lt;&gt;"")*ISNUMBER(SEARCH(nrInstrNames,$I206)))&gt;0,"OK","UNRECOGNIZED"))</f>
        <v/>
      </c>
      <c r="O206" s="17">
        <f>IF(OR($B206="",$D206="",$E206=""),"",IF($E206=$D206,"CHECK TIMES (start = end)",IF($F206&gt;12,"CHECK TIMES (End is before Start?)","OK")))</f>
        <v/>
      </c>
    </row>
    <row r="207">
      <c r="B207" s="18" t="n"/>
      <c r="C207" s="17">
        <f>IF($B207="","",TEXT($B207,"ddd"))</f>
        <v/>
      </c>
      <c r="D207" s="46" t="n"/>
      <c r="E207" s="46"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IF(OR($B207="",$I207=""),"",IF(SUMPRODUCT((nrInstrNames&lt;&gt;"")*ISNUMBER(SEARCH(nrInstrNames,$I207)))&gt;0,"OK","UNRECOGNIZED"))</f>
        <v/>
      </c>
      <c r="O207" s="17">
        <f>IF(OR($B207="",$D207="",$E207=""),"",IF($E207=$D207,"CHECK TIMES (start = end)",IF($F207&gt;12,"CHECK TIMES (End is before Start?)","OK")))</f>
        <v/>
      </c>
    </row>
    <row r="208">
      <c r="B208" s="18" t="n"/>
      <c r="C208" s="17">
        <f>IF($B208="","",TEXT($B208,"ddd"))</f>
        <v/>
      </c>
      <c r="D208" s="46" t="n"/>
      <c r="E208" s="46"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IF(OR($B208="",$I208=""),"",IF(SUMPRODUCT((nrInstrNames&lt;&gt;"")*ISNUMBER(SEARCH(nrInstrNames,$I208)))&gt;0,"OK","UNRECOGNIZED"))</f>
        <v/>
      </c>
      <c r="O208" s="17">
        <f>IF(OR($B208="",$D208="",$E208=""),"",IF($E208=$D208,"CHECK TIMES (start = end)",IF($F208&gt;12,"CHECK TIMES (End is before Start?)","OK")))</f>
        <v/>
      </c>
    </row>
    <row r="209">
      <c r="B209" s="18" t="n"/>
      <c r="C209" s="17">
        <f>IF($B209="","",TEXT($B209,"ddd"))</f>
        <v/>
      </c>
      <c r="D209" s="46" t="n"/>
      <c r="E209" s="46"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IF(OR($B209="",$I209=""),"",IF(SUMPRODUCT((nrInstrNames&lt;&gt;"")*ISNUMBER(SEARCH(nrInstrNames,$I209)))&gt;0,"OK","UNRECOGNIZED"))</f>
        <v/>
      </c>
      <c r="O209" s="17">
        <f>IF(OR($B209="",$D209="",$E209=""),"",IF($E209=$D209,"CHECK TIMES (start = end)",IF($F209&gt;12,"CHECK TIMES (End is before Start?)","OK")))</f>
        <v/>
      </c>
    </row>
    <row r="210">
      <c r="B210" s="18" t="n"/>
      <c r="C210" s="17">
        <f>IF($B210="","",TEXT($B210,"ddd"))</f>
        <v/>
      </c>
      <c r="D210" s="46" t="n"/>
      <c r="E210" s="46"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IF(OR($B210="",$I210=""),"",IF(SUMPRODUCT((nrInstrNames&lt;&gt;"")*ISNUMBER(SEARCH(nrInstrNames,$I210)))&gt;0,"OK","UNRECOGNIZED"))</f>
        <v/>
      </c>
      <c r="O210" s="17">
        <f>IF(OR($B210="",$D210="",$E210=""),"",IF($E210=$D210,"CHECK TIMES (start = end)",IF($F210&gt;12,"CHECK TIMES (End is before Start?)","OK")))</f>
        <v/>
      </c>
    </row>
    <row r="211">
      <c r="B211" s="18" t="n"/>
      <c r="C211" s="17">
        <f>IF($B211="","",TEXT($B211,"ddd"))</f>
        <v/>
      </c>
      <c r="D211" s="46" t="n"/>
      <c r="E211" s="46"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IF(OR($B211="",$I211=""),"",IF(SUMPRODUCT((nrInstrNames&lt;&gt;"")*ISNUMBER(SEARCH(nrInstrNames,$I211)))&gt;0,"OK","UNRECOGNIZED"))</f>
        <v/>
      </c>
      <c r="O211" s="17">
        <f>IF(OR($B211="",$D211="",$E211=""),"",IF($E211=$D211,"CHECK TIMES (start = end)",IF($F211&gt;12,"CHECK TIMES (End is before Start?)","OK")))</f>
        <v/>
      </c>
    </row>
    <row r="212">
      <c r="B212" s="18" t="n"/>
      <c r="C212" s="17">
        <f>IF($B212="","",TEXT($B212,"ddd"))</f>
        <v/>
      </c>
      <c r="D212" s="46" t="n"/>
      <c r="E212" s="46"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IF(OR($B212="",$I212=""),"",IF(SUMPRODUCT((nrInstrNames&lt;&gt;"")*ISNUMBER(SEARCH(nrInstrNames,$I212)))&gt;0,"OK","UNRECOGNIZED"))</f>
        <v/>
      </c>
      <c r="O212" s="17">
        <f>IF(OR($B212="",$D212="",$E212=""),"",IF($E212=$D212,"CHECK TIMES (start = end)",IF($F212&gt;12,"CHECK TIMES (End is before Start?)","OK")))</f>
        <v/>
      </c>
    </row>
    <row r="213">
      <c r="B213" s="18" t="n"/>
      <c r="C213" s="17">
        <f>IF($B213="","",TEXT($B213,"ddd"))</f>
        <v/>
      </c>
      <c r="D213" s="46" t="n"/>
      <c r="E213" s="46"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IF(OR($B213="",$I213=""),"",IF(SUMPRODUCT((nrInstrNames&lt;&gt;"")*ISNUMBER(SEARCH(nrInstrNames,$I213)))&gt;0,"OK","UNRECOGNIZED"))</f>
        <v/>
      </c>
      <c r="O213" s="17">
        <f>IF(OR($B213="",$D213="",$E213=""),"",IF($E213=$D213,"CHECK TIMES (start = end)",IF($F213&gt;12,"CHECK TIMES (End is before Start?)","OK")))</f>
        <v/>
      </c>
    </row>
    <row r="214">
      <c r="B214" s="18" t="n"/>
      <c r="C214" s="17">
        <f>IF($B214="","",TEXT($B214,"ddd"))</f>
        <v/>
      </c>
      <c r="D214" s="46" t="n"/>
      <c r="E214" s="46"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IF(OR($B214="",$I214=""),"",IF(SUMPRODUCT((nrInstrNames&lt;&gt;"")*ISNUMBER(SEARCH(nrInstrNames,$I214)))&gt;0,"OK","UNRECOGNIZED"))</f>
        <v/>
      </c>
      <c r="O214" s="17">
        <f>IF(OR($B214="",$D214="",$E214=""),"",IF($E214=$D214,"CHECK TIMES (start = end)",IF($F214&gt;12,"CHECK TIMES (End is before Start?)","OK")))</f>
        <v/>
      </c>
    </row>
    <row r="215">
      <c r="B215" s="18" t="n"/>
      <c r="C215" s="17">
        <f>IF($B215="","",TEXT($B215,"ddd"))</f>
        <v/>
      </c>
      <c r="D215" s="46" t="n"/>
      <c r="E215" s="46"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IF(OR($B215="",$I215=""),"",IF(SUMPRODUCT((nrInstrNames&lt;&gt;"")*ISNUMBER(SEARCH(nrInstrNames,$I215)))&gt;0,"OK","UNRECOGNIZED"))</f>
        <v/>
      </c>
      <c r="O215" s="17">
        <f>IF(OR($B215="",$D215="",$E215=""),"",IF($E215=$D215,"CHECK TIMES (start = end)",IF($F215&gt;12,"CHECK TIMES (End is before Start?)","OK")))</f>
        <v/>
      </c>
    </row>
    <row r="216">
      <c r="B216" s="18" t="n"/>
      <c r="C216" s="17">
        <f>IF($B216="","",TEXT($B216,"ddd"))</f>
        <v/>
      </c>
      <c r="D216" s="46" t="n"/>
      <c r="E216" s="46"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IF(OR($B216="",$I216=""),"",IF(SUMPRODUCT((nrInstrNames&lt;&gt;"")*ISNUMBER(SEARCH(nrInstrNames,$I216)))&gt;0,"OK","UNRECOGNIZED"))</f>
        <v/>
      </c>
      <c r="O216" s="17">
        <f>IF(OR($B216="",$D216="",$E216=""),"",IF($E216=$D216,"CHECK TIMES (start = end)",IF($F216&gt;12,"CHECK TIMES (End is before Start?)","OK")))</f>
        <v/>
      </c>
    </row>
    <row r="217">
      <c r="B217" s="18" t="n"/>
      <c r="C217" s="17">
        <f>IF($B217="","",TEXT($B217,"ddd"))</f>
        <v/>
      </c>
      <c r="D217" s="46" t="n"/>
      <c r="E217" s="46"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IF(OR($B217="",$I217=""),"",IF(SUMPRODUCT((nrInstrNames&lt;&gt;"")*ISNUMBER(SEARCH(nrInstrNames,$I217)))&gt;0,"OK","UNRECOGNIZED"))</f>
        <v/>
      </c>
      <c r="O217" s="17">
        <f>IF(OR($B217="",$D217="",$E217=""),"",IF($E217=$D217,"CHECK TIMES (start = end)",IF($F217&gt;12,"CHECK TIMES (End is before Start?)","OK")))</f>
        <v/>
      </c>
    </row>
    <row r="218">
      <c r="B218" s="18" t="n"/>
      <c r="C218" s="17">
        <f>IF($B218="","",TEXT($B218,"ddd"))</f>
        <v/>
      </c>
      <c r="D218" s="46" t="n"/>
      <c r="E218" s="46"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IF(OR($B218="",$I218=""),"",IF(SUMPRODUCT((nrInstrNames&lt;&gt;"")*ISNUMBER(SEARCH(nrInstrNames,$I218)))&gt;0,"OK","UNRECOGNIZED"))</f>
        <v/>
      </c>
      <c r="O218" s="17">
        <f>IF(OR($B218="",$D218="",$E218=""),"",IF($E218=$D218,"CHECK TIMES (start = end)",IF($F218&gt;12,"CHECK TIMES (End is before Start?)","OK")))</f>
        <v/>
      </c>
    </row>
    <row r="219">
      <c r="B219" s="18" t="n"/>
      <c r="C219" s="17">
        <f>IF($B219="","",TEXT($B219,"ddd"))</f>
        <v/>
      </c>
      <c r="D219" s="46" t="n"/>
      <c r="E219" s="46"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IF(OR($B219="",$I219=""),"",IF(SUMPRODUCT((nrInstrNames&lt;&gt;"")*ISNUMBER(SEARCH(nrInstrNames,$I219)))&gt;0,"OK","UNRECOGNIZED"))</f>
        <v/>
      </c>
      <c r="O219" s="17">
        <f>IF(OR($B219="",$D219="",$E219=""),"",IF($E219=$D219,"CHECK TIMES (start = end)",IF($F219&gt;12,"CHECK TIMES (End is before Start?)","OK")))</f>
        <v/>
      </c>
    </row>
    <row r="220">
      <c r="B220" s="18" t="n"/>
      <c r="C220" s="17">
        <f>IF($B220="","",TEXT($B220,"ddd"))</f>
        <v/>
      </c>
      <c r="D220" s="46" t="n"/>
      <c r="E220" s="46"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IF(OR($B220="",$I220=""),"",IF(SUMPRODUCT((nrInstrNames&lt;&gt;"")*ISNUMBER(SEARCH(nrInstrNames,$I220)))&gt;0,"OK","UNRECOGNIZED"))</f>
        <v/>
      </c>
      <c r="O220" s="17">
        <f>IF(OR($B220="",$D220="",$E220=""),"",IF($E220=$D220,"CHECK TIMES (start = end)",IF($F220&gt;12,"CHECK TIMES (End is before Start?)","OK")))</f>
        <v/>
      </c>
    </row>
    <row r="221">
      <c r="B221" s="18" t="n"/>
      <c r="C221" s="17">
        <f>IF($B221="","",TEXT($B221,"ddd"))</f>
        <v/>
      </c>
      <c r="D221" s="46" t="n"/>
      <c r="E221" s="46"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IF(OR($B221="",$I221=""),"",IF(SUMPRODUCT((nrInstrNames&lt;&gt;"")*ISNUMBER(SEARCH(nrInstrNames,$I221)))&gt;0,"OK","UNRECOGNIZED"))</f>
        <v/>
      </c>
      <c r="O221" s="17">
        <f>IF(OR($B221="",$D221="",$E221=""),"",IF($E221=$D221,"CHECK TIMES (start = end)",IF($F221&gt;12,"CHECK TIMES (End is before Start?)","OK")))</f>
        <v/>
      </c>
    </row>
    <row r="222">
      <c r="B222" s="18" t="n"/>
      <c r="C222" s="17">
        <f>IF($B222="","",TEXT($B222,"ddd"))</f>
        <v/>
      </c>
      <c r="D222" s="46" t="n"/>
      <c r="E222" s="46"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IF(OR($B222="",$I222=""),"",IF(SUMPRODUCT((nrInstrNames&lt;&gt;"")*ISNUMBER(SEARCH(nrInstrNames,$I222)))&gt;0,"OK","UNRECOGNIZED"))</f>
        <v/>
      </c>
      <c r="O222" s="17">
        <f>IF(OR($B222="",$D222="",$E222=""),"",IF($E222=$D222,"CHECK TIMES (start = end)",IF($F222&gt;12,"CHECK TIMES (End is before Start?)","OK")))</f>
        <v/>
      </c>
    </row>
    <row r="223">
      <c r="B223" s="18" t="n"/>
      <c r="C223" s="17">
        <f>IF($B223="","",TEXT($B223,"ddd"))</f>
        <v/>
      </c>
      <c r="D223" s="46" t="n"/>
      <c r="E223" s="46"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IF(OR($B223="",$I223=""),"",IF(SUMPRODUCT((nrInstrNames&lt;&gt;"")*ISNUMBER(SEARCH(nrInstrNames,$I223)))&gt;0,"OK","UNRECOGNIZED"))</f>
        <v/>
      </c>
      <c r="O223" s="17">
        <f>IF(OR($B223="",$D223="",$E223=""),"",IF($E223=$D223,"CHECK TIMES (start = end)",IF($F223&gt;12,"CHECK TIMES (End is before Start?)","OK")))</f>
        <v/>
      </c>
    </row>
    <row r="224">
      <c r="B224" s="18" t="n"/>
      <c r="C224" s="17">
        <f>IF($B224="","",TEXT($B224,"ddd"))</f>
        <v/>
      </c>
      <c r="D224" s="46" t="n"/>
      <c r="E224" s="46"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IF(OR($B224="",$I224=""),"",IF(SUMPRODUCT((nrInstrNames&lt;&gt;"")*ISNUMBER(SEARCH(nrInstrNames,$I224)))&gt;0,"OK","UNRECOGNIZED"))</f>
        <v/>
      </c>
      <c r="O224" s="17">
        <f>IF(OR($B224="",$D224="",$E224=""),"",IF($E224=$D224,"CHECK TIMES (start = end)",IF($F224&gt;12,"CHECK TIMES (End is before Start?)","OK")))</f>
        <v/>
      </c>
    </row>
    <row r="225">
      <c r="B225" s="18" t="n"/>
      <c r="C225" s="17">
        <f>IF($B225="","",TEXT($B225,"ddd"))</f>
        <v/>
      </c>
      <c r="D225" s="46" t="n"/>
      <c r="E225" s="46"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IF(OR($B225="",$I225=""),"",IF(SUMPRODUCT((nrInstrNames&lt;&gt;"")*ISNUMBER(SEARCH(nrInstrNames,$I225)))&gt;0,"OK","UNRECOGNIZED"))</f>
        <v/>
      </c>
      <c r="O225" s="17">
        <f>IF(OR($B225="",$D225="",$E225=""),"",IF($E225=$D225,"CHECK TIMES (start = end)",IF($F225&gt;12,"CHECK TIMES (End is before Start?)","OK")))</f>
        <v/>
      </c>
    </row>
    <row r="226">
      <c r="B226" s="18" t="n"/>
      <c r="C226" s="17">
        <f>IF($B226="","",TEXT($B226,"ddd"))</f>
        <v/>
      </c>
      <c r="D226" s="46" t="n"/>
      <c r="E226" s="46"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IF(OR($B226="",$I226=""),"",IF(SUMPRODUCT((nrInstrNames&lt;&gt;"")*ISNUMBER(SEARCH(nrInstrNames,$I226)))&gt;0,"OK","UNRECOGNIZED"))</f>
        <v/>
      </c>
      <c r="O226" s="17">
        <f>IF(OR($B226="",$D226="",$E226=""),"",IF($E226=$D226,"CHECK TIMES (start = end)",IF($F226&gt;12,"CHECK TIMES (End is before Start?)","OK")))</f>
        <v/>
      </c>
    </row>
    <row r="227">
      <c r="B227" s="18" t="n"/>
      <c r="C227" s="17">
        <f>IF($B227="","",TEXT($B227,"ddd"))</f>
        <v/>
      </c>
      <c r="D227" s="46" t="n"/>
      <c r="E227" s="46"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IF(OR($B227="",$I227=""),"",IF(SUMPRODUCT((nrInstrNames&lt;&gt;"")*ISNUMBER(SEARCH(nrInstrNames,$I227)))&gt;0,"OK","UNRECOGNIZED"))</f>
        <v/>
      </c>
      <c r="O227" s="17">
        <f>IF(OR($B227="",$D227="",$E227=""),"",IF($E227=$D227,"CHECK TIMES (start = end)",IF($F227&gt;12,"CHECK TIMES (End is before Start?)","OK")))</f>
        <v/>
      </c>
    </row>
    <row r="228">
      <c r="B228" s="18" t="n"/>
      <c r="C228" s="17">
        <f>IF($B228="","",TEXT($B228,"ddd"))</f>
        <v/>
      </c>
      <c r="D228" s="46" t="n"/>
      <c r="E228" s="46"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IF(OR($B228="",$I228=""),"",IF(SUMPRODUCT((nrInstrNames&lt;&gt;"")*ISNUMBER(SEARCH(nrInstrNames,$I228)))&gt;0,"OK","UNRECOGNIZED"))</f>
        <v/>
      </c>
      <c r="O228" s="17">
        <f>IF(OR($B228="",$D228="",$E228=""),"",IF($E228=$D228,"CHECK TIMES (start = end)",IF($F228&gt;12,"CHECK TIMES (End is before Start?)","OK")))</f>
        <v/>
      </c>
    </row>
    <row r="229">
      <c r="B229" s="18" t="n"/>
      <c r="C229" s="17">
        <f>IF($B229="","",TEXT($B229,"ddd"))</f>
        <v/>
      </c>
      <c r="D229" s="46" t="n"/>
      <c r="E229" s="46"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IF(OR($B229="",$I229=""),"",IF(SUMPRODUCT((nrInstrNames&lt;&gt;"")*ISNUMBER(SEARCH(nrInstrNames,$I229)))&gt;0,"OK","UNRECOGNIZED"))</f>
        <v/>
      </c>
      <c r="O229" s="17">
        <f>IF(OR($B229="",$D229="",$E229=""),"",IF($E229=$D229,"CHECK TIMES (start = end)",IF($F229&gt;12,"CHECK TIMES (End is before Start?)","OK")))</f>
        <v/>
      </c>
    </row>
    <row r="230">
      <c r="B230" s="18" t="n"/>
      <c r="C230" s="17">
        <f>IF($B230="","",TEXT($B230,"ddd"))</f>
        <v/>
      </c>
      <c r="D230" s="46" t="n"/>
      <c r="E230" s="46"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IF(OR($B230="",$I230=""),"",IF(SUMPRODUCT((nrInstrNames&lt;&gt;"")*ISNUMBER(SEARCH(nrInstrNames,$I230)))&gt;0,"OK","UNRECOGNIZED"))</f>
        <v/>
      </c>
      <c r="O230" s="17">
        <f>IF(OR($B230="",$D230="",$E230=""),"",IF($E230=$D230,"CHECK TIMES (start = end)",IF($F230&gt;12,"CHECK TIMES (End is before Start?)","OK")))</f>
        <v/>
      </c>
    </row>
    <row r="231">
      <c r="B231" s="18" t="n"/>
      <c r="C231" s="17">
        <f>IF($B231="","",TEXT($B231,"ddd"))</f>
        <v/>
      </c>
      <c r="D231" s="46" t="n"/>
      <c r="E231" s="46"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IF(OR($B231="",$I231=""),"",IF(SUMPRODUCT((nrInstrNames&lt;&gt;"")*ISNUMBER(SEARCH(nrInstrNames,$I231)))&gt;0,"OK","UNRECOGNIZED"))</f>
        <v/>
      </c>
      <c r="O231" s="17">
        <f>IF(OR($B231="",$D231="",$E231=""),"",IF($E231=$D231,"CHECK TIMES (start = end)",IF($F231&gt;12,"CHECK TIMES (End is before Start?)","OK")))</f>
        <v/>
      </c>
    </row>
    <row r="232">
      <c r="B232" s="18" t="n"/>
      <c r="C232" s="17">
        <f>IF($B232="","",TEXT($B232,"ddd"))</f>
        <v/>
      </c>
      <c r="D232" s="46" t="n"/>
      <c r="E232" s="46"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IF(OR($B232="",$I232=""),"",IF(SUMPRODUCT((nrInstrNames&lt;&gt;"")*ISNUMBER(SEARCH(nrInstrNames,$I232)))&gt;0,"OK","UNRECOGNIZED"))</f>
        <v/>
      </c>
      <c r="O232" s="17">
        <f>IF(OR($B232="",$D232="",$E232=""),"",IF($E232=$D232,"CHECK TIMES (start = end)",IF($F232&gt;12,"CHECK TIMES (End is before Start?)","OK")))</f>
        <v/>
      </c>
    </row>
    <row r="233">
      <c r="B233" s="18" t="n"/>
      <c r="C233" s="17">
        <f>IF($B233="","",TEXT($B233,"ddd"))</f>
        <v/>
      </c>
      <c r="D233" s="46" t="n"/>
      <c r="E233" s="46"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IF(OR($B233="",$I233=""),"",IF(SUMPRODUCT((nrInstrNames&lt;&gt;"")*ISNUMBER(SEARCH(nrInstrNames,$I233)))&gt;0,"OK","UNRECOGNIZED"))</f>
        <v/>
      </c>
      <c r="O233" s="17">
        <f>IF(OR($B233="",$D233="",$E233=""),"",IF($E233=$D233,"CHECK TIMES (start = end)",IF($F233&gt;12,"CHECK TIMES (End is before Start?)","OK")))</f>
        <v/>
      </c>
    </row>
    <row r="234">
      <c r="B234" s="18" t="n"/>
      <c r="C234" s="17">
        <f>IF($B234="","",TEXT($B234,"ddd"))</f>
        <v/>
      </c>
      <c r="D234" s="46" t="n"/>
      <c r="E234" s="46"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IF(OR($B234="",$I234=""),"",IF(SUMPRODUCT((nrInstrNames&lt;&gt;"")*ISNUMBER(SEARCH(nrInstrNames,$I234)))&gt;0,"OK","UNRECOGNIZED"))</f>
        <v/>
      </c>
      <c r="O234" s="17">
        <f>IF(OR($B234="",$D234="",$E234=""),"",IF($E234=$D234,"CHECK TIMES (start = end)",IF($F234&gt;12,"CHECK TIMES (End is before Start?)","OK")))</f>
        <v/>
      </c>
    </row>
    <row r="235">
      <c r="B235" s="18" t="n"/>
      <c r="C235" s="17">
        <f>IF($B235="","",TEXT($B235,"ddd"))</f>
        <v/>
      </c>
      <c r="D235" s="46" t="n"/>
      <c r="E235" s="46"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IF(OR($B235="",$I235=""),"",IF(SUMPRODUCT((nrInstrNames&lt;&gt;"")*ISNUMBER(SEARCH(nrInstrNames,$I235)))&gt;0,"OK","UNRECOGNIZED"))</f>
        <v/>
      </c>
      <c r="O235" s="17">
        <f>IF(OR($B235="",$D235="",$E235=""),"",IF($E235=$D235,"CHECK TIMES (start = end)",IF($F235&gt;12,"CHECK TIMES (End is before Start?)","OK")))</f>
        <v/>
      </c>
    </row>
    <row r="236">
      <c r="B236" s="18" t="n"/>
      <c r="C236" s="17">
        <f>IF($B236="","",TEXT($B236,"ddd"))</f>
        <v/>
      </c>
      <c r="D236" s="46" t="n"/>
      <c r="E236" s="46"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IF(OR($B236="",$I236=""),"",IF(SUMPRODUCT((nrInstrNames&lt;&gt;"")*ISNUMBER(SEARCH(nrInstrNames,$I236)))&gt;0,"OK","UNRECOGNIZED"))</f>
        <v/>
      </c>
      <c r="O236" s="17">
        <f>IF(OR($B236="",$D236="",$E236=""),"",IF($E236=$D236,"CHECK TIMES (start = end)",IF($F236&gt;12,"CHECK TIMES (End is before Start?)","OK")))</f>
        <v/>
      </c>
    </row>
    <row r="237">
      <c r="B237" s="18" t="n"/>
      <c r="C237" s="17">
        <f>IF($B237="","",TEXT($B237,"ddd"))</f>
        <v/>
      </c>
      <c r="D237" s="46" t="n"/>
      <c r="E237" s="46"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IF(OR($B237="",$I237=""),"",IF(SUMPRODUCT((nrInstrNames&lt;&gt;"")*ISNUMBER(SEARCH(nrInstrNames,$I237)))&gt;0,"OK","UNRECOGNIZED"))</f>
        <v/>
      </c>
      <c r="O237" s="17">
        <f>IF(OR($B237="",$D237="",$E237=""),"",IF($E237=$D237,"CHECK TIMES (start = end)",IF($F237&gt;12,"CHECK TIMES (End is before Start?)","OK")))</f>
        <v/>
      </c>
    </row>
    <row r="238">
      <c r="B238" s="18" t="n"/>
      <c r="C238" s="17">
        <f>IF($B238="","",TEXT($B238,"ddd"))</f>
        <v/>
      </c>
      <c r="D238" s="46" t="n"/>
      <c r="E238" s="46"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IF(OR($B238="",$I238=""),"",IF(SUMPRODUCT((nrInstrNames&lt;&gt;"")*ISNUMBER(SEARCH(nrInstrNames,$I238)))&gt;0,"OK","UNRECOGNIZED"))</f>
        <v/>
      </c>
      <c r="O238" s="17">
        <f>IF(OR($B238="",$D238="",$E238=""),"",IF($E238=$D238,"CHECK TIMES (start = end)",IF($F238&gt;12,"CHECK TIMES (End is before Start?)","OK")))</f>
        <v/>
      </c>
    </row>
    <row r="239">
      <c r="B239" s="18" t="n"/>
      <c r="C239" s="17">
        <f>IF($B239="","",TEXT($B239,"ddd"))</f>
        <v/>
      </c>
      <c r="D239" s="46" t="n"/>
      <c r="E239" s="46"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IF(OR($B239="",$I239=""),"",IF(SUMPRODUCT((nrInstrNames&lt;&gt;"")*ISNUMBER(SEARCH(nrInstrNames,$I239)))&gt;0,"OK","UNRECOGNIZED"))</f>
        <v/>
      </c>
      <c r="O239" s="17">
        <f>IF(OR($B239="",$D239="",$E239=""),"",IF($E239=$D239,"CHECK TIMES (start = end)",IF($F239&gt;12,"CHECK TIMES (End is before Start?)","OK")))</f>
        <v/>
      </c>
    </row>
    <row r="240">
      <c r="B240" s="18" t="n"/>
      <c r="C240" s="17">
        <f>IF($B240="","",TEXT($B240,"ddd"))</f>
        <v/>
      </c>
      <c r="D240" s="46" t="n"/>
      <c r="E240" s="46"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IF(OR($B240="",$I240=""),"",IF(SUMPRODUCT((nrInstrNames&lt;&gt;"")*ISNUMBER(SEARCH(nrInstrNames,$I240)))&gt;0,"OK","UNRECOGNIZED"))</f>
        <v/>
      </c>
      <c r="O240" s="17">
        <f>IF(OR($B240="",$D240="",$E240=""),"",IF($E240=$D240,"CHECK TIMES (start = end)",IF($F240&gt;12,"CHECK TIMES (End is before Start?)","OK")))</f>
        <v/>
      </c>
    </row>
    <row r="241">
      <c r="B241" s="18" t="n"/>
      <c r="C241" s="17">
        <f>IF($B241="","",TEXT($B241,"ddd"))</f>
        <v/>
      </c>
      <c r="D241" s="46" t="n"/>
      <c r="E241" s="46"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IF(OR($B241="",$I241=""),"",IF(SUMPRODUCT((nrInstrNames&lt;&gt;"")*ISNUMBER(SEARCH(nrInstrNames,$I241)))&gt;0,"OK","UNRECOGNIZED"))</f>
        <v/>
      </c>
      <c r="O241" s="17">
        <f>IF(OR($B241="",$D241="",$E241=""),"",IF($E241=$D241,"CHECK TIMES (start = end)",IF($F241&gt;12,"CHECK TIMES (End is before Start?)","OK")))</f>
        <v/>
      </c>
    </row>
    <row r="242">
      <c r="B242" s="18" t="n"/>
      <c r="C242" s="17">
        <f>IF($B242="","",TEXT($B242,"ddd"))</f>
        <v/>
      </c>
      <c r="D242" s="46" t="n"/>
      <c r="E242" s="46"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IF(OR($B242="",$I242=""),"",IF(SUMPRODUCT((nrInstrNames&lt;&gt;"")*ISNUMBER(SEARCH(nrInstrNames,$I242)))&gt;0,"OK","UNRECOGNIZED"))</f>
        <v/>
      </c>
      <c r="O242" s="17">
        <f>IF(OR($B242="",$D242="",$E242=""),"",IF($E242=$D242,"CHECK TIMES (start = end)",IF($F242&gt;12,"CHECK TIMES (End is before Start?)","OK")))</f>
        <v/>
      </c>
    </row>
    <row r="243">
      <c r="B243" s="18" t="n"/>
      <c r="C243" s="17">
        <f>IF($B243="","",TEXT($B243,"ddd"))</f>
        <v/>
      </c>
      <c r="D243" s="46" t="n"/>
      <c r="E243" s="46"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IF(OR($B243="",$I243=""),"",IF(SUMPRODUCT((nrInstrNames&lt;&gt;"")*ISNUMBER(SEARCH(nrInstrNames,$I243)))&gt;0,"OK","UNRECOGNIZED"))</f>
        <v/>
      </c>
      <c r="O243" s="17">
        <f>IF(OR($B243="",$D243="",$E243=""),"",IF($E243=$D243,"CHECK TIMES (start = end)",IF($F243&gt;12,"CHECK TIMES (End is before Start?)","OK")))</f>
        <v/>
      </c>
    </row>
    <row r="244">
      <c r="B244" s="18" t="n"/>
      <c r="C244" s="17">
        <f>IF($B244="","",TEXT($B244,"ddd"))</f>
        <v/>
      </c>
      <c r="D244" s="46" t="n"/>
      <c r="E244" s="46"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IF(OR($B244="",$I244=""),"",IF(SUMPRODUCT((nrInstrNames&lt;&gt;"")*ISNUMBER(SEARCH(nrInstrNames,$I244)))&gt;0,"OK","UNRECOGNIZED"))</f>
        <v/>
      </c>
      <c r="O244" s="17">
        <f>IF(OR($B244="",$D244="",$E244=""),"",IF($E244=$D244,"CHECK TIMES (start = end)",IF($F244&gt;12,"CHECK TIMES (End is before Start?)","OK")))</f>
        <v/>
      </c>
    </row>
    <row r="245">
      <c r="B245" s="18" t="n"/>
      <c r="C245" s="17">
        <f>IF($B245="","",TEXT($B245,"ddd"))</f>
        <v/>
      </c>
      <c r="D245" s="46" t="n"/>
      <c r="E245" s="46"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IF(OR($B245="",$I245=""),"",IF(SUMPRODUCT((nrInstrNames&lt;&gt;"")*ISNUMBER(SEARCH(nrInstrNames,$I245)))&gt;0,"OK","UNRECOGNIZED"))</f>
        <v/>
      </c>
      <c r="O245" s="17">
        <f>IF(OR($B245="",$D245="",$E245=""),"",IF($E245=$D245,"CHECK TIMES (start = end)",IF($F245&gt;12,"CHECK TIMES (End is before Start?)","OK")))</f>
        <v/>
      </c>
    </row>
    <row r="246">
      <c r="B246" s="18" t="n"/>
      <c r="C246" s="17">
        <f>IF($B246="","",TEXT($B246,"ddd"))</f>
        <v/>
      </c>
      <c r="D246" s="46" t="n"/>
      <c r="E246" s="46"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IF(OR($B246="",$I246=""),"",IF(SUMPRODUCT((nrInstrNames&lt;&gt;"")*ISNUMBER(SEARCH(nrInstrNames,$I246)))&gt;0,"OK","UNRECOGNIZED"))</f>
        <v/>
      </c>
      <c r="O246" s="17">
        <f>IF(OR($B246="",$D246="",$E246=""),"",IF($E246=$D246,"CHECK TIMES (start = end)",IF($F246&gt;12,"CHECK TIMES (End is before Start?)","OK")))</f>
        <v/>
      </c>
    </row>
    <row r="247">
      <c r="B247" s="18" t="n"/>
      <c r="C247" s="17">
        <f>IF($B247="","",TEXT($B247,"ddd"))</f>
        <v/>
      </c>
      <c r="D247" s="46" t="n"/>
      <c r="E247" s="46"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IF(OR($B247="",$I247=""),"",IF(SUMPRODUCT((nrInstrNames&lt;&gt;"")*ISNUMBER(SEARCH(nrInstrNames,$I247)))&gt;0,"OK","UNRECOGNIZED"))</f>
        <v/>
      </c>
      <c r="O247" s="17">
        <f>IF(OR($B247="",$D247="",$E247=""),"",IF($E247=$D247,"CHECK TIMES (start = end)",IF($F247&gt;12,"CHECK TIMES (End is before Start?)","OK")))</f>
        <v/>
      </c>
    </row>
    <row r="248">
      <c r="B248" s="18" t="n"/>
      <c r="C248" s="17">
        <f>IF($B248="","",TEXT($B248,"ddd"))</f>
        <v/>
      </c>
      <c r="D248" s="46" t="n"/>
      <c r="E248" s="46"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IF(OR($B248="",$I248=""),"",IF(SUMPRODUCT((nrInstrNames&lt;&gt;"")*ISNUMBER(SEARCH(nrInstrNames,$I248)))&gt;0,"OK","UNRECOGNIZED"))</f>
        <v/>
      </c>
      <c r="O248" s="17">
        <f>IF(OR($B248="",$D248="",$E248=""),"",IF($E248=$D248,"CHECK TIMES (start = end)",IF($F248&gt;12,"CHECK TIMES (End is before Start?)","OK")))</f>
        <v/>
      </c>
    </row>
    <row r="249">
      <c r="B249" s="18" t="n"/>
      <c r="C249" s="17">
        <f>IF($B249="","",TEXT($B249,"ddd"))</f>
        <v/>
      </c>
      <c r="D249" s="46" t="n"/>
      <c r="E249" s="46"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IF(OR($B249="",$I249=""),"",IF(SUMPRODUCT((nrInstrNames&lt;&gt;"")*ISNUMBER(SEARCH(nrInstrNames,$I249)))&gt;0,"OK","UNRECOGNIZED"))</f>
        <v/>
      </c>
      <c r="O249" s="17">
        <f>IF(OR($B249="",$D249="",$E249=""),"",IF($E249=$D249,"CHECK TIMES (start = end)",IF($F249&gt;12,"CHECK TIMES (End is before Start?)","OK")))</f>
        <v/>
      </c>
    </row>
    <row r="250">
      <c r="B250" s="18" t="n"/>
      <c r="C250" s="17">
        <f>IF($B250="","",TEXT($B250,"ddd"))</f>
        <v/>
      </c>
      <c r="D250" s="46" t="n"/>
      <c r="E250" s="46"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IF(OR($B250="",$I250=""),"",IF(SUMPRODUCT((nrInstrNames&lt;&gt;"")*ISNUMBER(SEARCH(nrInstrNames,$I250)))&gt;0,"OK","UNRECOGNIZED"))</f>
        <v/>
      </c>
      <c r="O250" s="17">
        <f>IF(OR($B250="",$D250="",$E250=""),"",IF($E250=$D250,"CHECK TIMES (start = end)",IF($F250&gt;12,"CHECK TIMES (End is before Start?)","OK")))</f>
        <v/>
      </c>
    </row>
    <row r="251">
      <c r="B251" s="18" t="n"/>
      <c r="C251" s="17">
        <f>IF($B251="","",TEXT($B251,"ddd"))</f>
        <v/>
      </c>
      <c r="D251" s="46" t="n"/>
      <c r="E251" s="46"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IF(OR($B251="",$I251=""),"",IF(SUMPRODUCT((nrInstrNames&lt;&gt;"")*ISNUMBER(SEARCH(nrInstrNames,$I251)))&gt;0,"OK","UNRECOGNIZED"))</f>
        <v/>
      </c>
      <c r="O251" s="17">
        <f>IF(OR($B251="",$D251="",$E251=""),"",IF($E251=$D251,"CHECK TIMES (start = end)",IF($F251&gt;12,"CHECK TIMES (End is before Start?)","OK")))</f>
        <v/>
      </c>
    </row>
    <row r="252">
      <c r="B252" s="18" t="n"/>
      <c r="C252" s="17">
        <f>IF($B252="","",TEXT($B252,"ddd"))</f>
        <v/>
      </c>
      <c r="D252" s="46" t="n"/>
      <c r="E252" s="46"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IF(OR($B252="",$I252=""),"",IF(SUMPRODUCT((nrInstrNames&lt;&gt;"")*ISNUMBER(SEARCH(nrInstrNames,$I252)))&gt;0,"OK","UNRECOGNIZED"))</f>
        <v/>
      </c>
      <c r="O252" s="17">
        <f>IF(OR($B252="",$D252="",$E252=""),"",IF($E252=$D252,"CHECK TIMES (start = end)",IF($F252&gt;12,"CHECK TIMES (End is before Start?)","OK")))</f>
        <v/>
      </c>
    </row>
    <row r="253">
      <c r="B253" s="18" t="n"/>
      <c r="C253" s="17">
        <f>IF($B253="","",TEXT($B253,"ddd"))</f>
        <v/>
      </c>
      <c r="D253" s="46" t="n"/>
      <c r="E253" s="46"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IF(OR($B253="",$I253=""),"",IF(SUMPRODUCT((nrInstrNames&lt;&gt;"")*ISNUMBER(SEARCH(nrInstrNames,$I253)))&gt;0,"OK","UNRECOGNIZED"))</f>
        <v/>
      </c>
      <c r="O253" s="17">
        <f>IF(OR($B253="",$D253="",$E253=""),"",IF($E253=$D253,"CHECK TIMES (start = end)",IF($F253&gt;12,"CHECK TIMES (End is before Start?)","OK")))</f>
        <v/>
      </c>
    </row>
    <row r="254">
      <c r="B254" s="18" t="n"/>
      <c r="C254" s="17">
        <f>IF($B254="","",TEXT($B254,"ddd"))</f>
        <v/>
      </c>
      <c r="D254" s="46" t="n"/>
      <c r="E254" s="46"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IF(OR($B254="",$I254=""),"",IF(SUMPRODUCT((nrInstrNames&lt;&gt;"")*ISNUMBER(SEARCH(nrInstrNames,$I254)))&gt;0,"OK","UNRECOGNIZED"))</f>
        <v/>
      </c>
      <c r="O254" s="17">
        <f>IF(OR($B254="",$D254="",$E254=""),"",IF($E254=$D254,"CHECK TIMES (start = end)",IF($F254&gt;12,"CHECK TIMES (End is before Start?)","OK")))</f>
        <v/>
      </c>
    </row>
    <row r="255">
      <c r="B255" s="18" t="n"/>
      <c r="C255" s="17">
        <f>IF($B255="","",TEXT($B255,"ddd"))</f>
        <v/>
      </c>
      <c r="D255" s="46" t="n"/>
      <c r="E255" s="46"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IF(OR($B255="",$I255=""),"",IF(SUMPRODUCT((nrInstrNames&lt;&gt;"")*ISNUMBER(SEARCH(nrInstrNames,$I255)))&gt;0,"OK","UNRECOGNIZED"))</f>
        <v/>
      </c>
      <c r="O255" s="17">
        <f>IF(OR($B255="",$D255="",$E255=""),"",IF($E255=$D255,"CHECK TIMES (start = end)",IF($F255&gt;12,"CHECK TIMES (End is before Start?)","OK")))</f>
        <v/>
      </c>
    </row>
    <row r="256">
      <c r="B256" s="18" t="n"/>
      <c r="C256" s="17">
        <f>IF($B256="","",TEXT($B256,"ddd"))</f>
        <v/>
      </c>
      <c r="D256" s="46" t="n"/>
      <c r="E256" s="46"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IF(OR($B256="",$I256=""),"",IF(SUMPRODUCT((nrInstrNames&lt;&gt;"")*ISNUMBER(SEARCH(nrInstrNames,$I256)))&gt;0,"OK","UNRECOGNIZED"))</f>
        <v/>
      </c>
      <c r="O256" s="17">
        <f>IF(OR($B256="",$D256="",$E256=""),"",IF($E256=$D256,"CHECK TIMES (start = end)",IF($F256&gt;12,"CHECK TIMES (End is before Start?)","OK")))</f>
        <v/>
      </c>
    </row>
    <row r="257">
      <c r="B257" s="18" t="n"/>
      <c r="C257" s="17">
        <f>IF($B257="","",TEXT($B257,"ddd"))</f>
        <v/>
      </c>
      <c r="D257" s="46" t="n"/>
      <c r="E257" s="46"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IF(OR($B257="",$I257=""),"",IF(SUMPRODUCT((nrInstrNames&lt;&gt;"")*ISNUMBER(SEARCH(nrInstrNames,$I257)))&gt;0,"OK","UNRECOGNIZED"))</f>
        <v/>
      </c>
      <c r="O257" s="17">
        <f>IF(OR($B257="",$D257="",$E257=""),"",IF($E257=$D257,"CHECK TIMES (start = end)",IF($F257&gt;12,"CHECK TIMES (End is before Start?)","OK")))</f>
        <v/>
      </c>
    </row>
    <row r="258">
      <c r="B258" s="18" t="n"/>
      <c r="C258" s="17">
        <f>IF($B258="","",TEXT($B258,"ddd"))</f>
        <v/>
      </c>
      <c r="D258" s="46" t="n"/>
      <c r="E258" s="46"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IF(OR($B258="",$I258=""),"",IF(SUMPRODUCT((nrInstrNames&lt;&gt;"")*ISNUMBER(SEARCH(nrInstrNames,$I258)))&gt;0,"OK","UNRECOGNIZED"))</f>
        <v/>
      </c>
      <c r="O258" s="17">
        <f>IF(OR($B258="",$D258="",$E258=""),"",IF($E258=$D258,"CHECK TIMES (start = end)",IF($F258&gt;12,"CHECK TIMES (End is before Start?)","OK")))</f>
        <v/>
      </c>
    </row>
    <row r="259">
      <c r="B259" s="18" t="n"/>
      <c r="C259" s="17">
        <f>IF($B259="","",TEXT($B259,"ddd"))</f>
        <v/>
      </c>
      <c r="D259" s="46" t="n"/>
      <c r="E259" s="46"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IF(OR($B259="",$I259=""),"",IF(SUMPRODUCT((nrInstrNames&lt;&gt;"")*ISNUMBER(SEARCH(nrInstrNames,$I259)))&gt;0,"OK","UNRECOGNIZED"))</f>
        <v/>
      </c>
      <c r="O259" s="17">
        <f>IF(OR($B259="",$D259="",$E259=""),"",IF($E259=$D259,"CHECK TIMES (start = end)",IF($F259&gt;12,"CHECK TIMES (End is before Start?)","OK")))</f>
        <v/>
      </c>
    </row>
    <row r="260">
      <c r="B260" s="18" t="n"/>
      <c r="C260" s="17">
        <f>IF($B260="","",TEXT($B260,"ddd"))</f>
        <v/>
      </c>
      <c r="D260" s="46" t="n"/>
      <c r="E260" s="46"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IF(OR($B260="",$I260=""),"",IF(SUMPRODUCT((nrInstrNames&lt;&gt;"")*ISNUMBER(SEARCH(nrInstrNames,$I260)))&gt;0,"OK","UNRECOGNIZED"))</f>
        <v/>
      </c>
      <c r="O260" s="17">
        <f>IF(OR($B260="",$D260="",$E260=""),"",IF($E260=$D260,"CHECK TIMES (start = end)",IF($F260&gt;12,"CHECK TIMES (End is before Start?)","OK")))</f>
        <v/>
      </c>
    </row>
    <row r="261">
      <c r="B261" s="18" t="n"/>
      <c r="C261" s="17">
        <f>IF($B261="","",TEXT($B261,"ddd"))</f>
        <v/>
      </c>
      <c r="D261" s="46" t="n"/>
      <c r="E261" s="46"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IF(OR($B261="",$I261=""),"",IF(SUMPRODUCT((nrInstrNames&lt;&gt;"")*ISNUMBER(SEARCH(nrInstrNames,$I261)))&gt;0,"OK","UNRECOGNIZED"))</f>
        <v/>
      </c>
      <c r="O261" s="17">
        <f>IF(OR($B261="",$D261="",$E261=""),"",IF($E261=$D261,"CHECK TIMES (start = end)",IF($F261&gt;12,"CHECK TIMES (End is before Start?)","OK")))</f>
        <v/>
      </c>
    </row>
    <row r="262">
      <c r="B262" s="18" t="n"/>
      <c r="C262" s="17">
        <f>IF($B262="","",TEXT($B262,"ddd"))</f>
        <v/>
      </c>
      <c r="D262" s="46" t="n"/>
      <c r="E262" s="46"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IF(OR($B262="",$I262=""),"",IF(SUMPRODUCT((nrInstrNames&lt;&gt;"")*ISNUMBER(SEARCH(nrInstrNames,$I262)))&gt;0,"OK","UNRECOGNIZED"))</f>
        <v/>
      </c>
      <c r="O262" s="17">
        <f>IF(OR($B262="",$D262="",$E262=""),"",IF($E262=$D262,"CHECK TIMES (start = end)",IF($F262&gt;12,"CHECK TIMES (End is before Start?)","OK")))</f>
        <v/>
      </c>
    </row>
    <row r="263">
      <c r="B263" s="18" t="n"/>
      <c r="C263" s="17">
        <f>IF($B263="","",TEXT($B263,"ddd"))</f>
        <v/>
      </c>
      <c r="D263" s="46" t="n"/>
      <c r="E263" s="46"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IF(OR($B263="",$I263=""),"",IF(SUMPRODUCT((nrInstrNames&lt;&gt;"")*ISNUMBER(SEARCH(nrInstrNames,$I263)))&gt;0,"OK","UNRECOGNIZED"))</f>
        <v/>
      </c>
      <c r="O263" s="17">
        <f>IF(OR($B263="",$D263="",$E263=""),"",IF($E263=$D263,"CHECK TIMES (start = end)",IF($F263&gt;12,"CHECK TIMES (End is before Start?)","OK")))</f>
        <v/>
      </c>
    </row>
    <row r="264">
      <c r="B264" s="18" t="n"/>
      <c r="C264" s="17">
        <f>IF($B264="","",TEXT($B264,"ddd"))</f>
        <v/>
      </c>
      <c r="D264" s="46" t="n"/>
      <c r="E264" s="46"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IF(OR($B264="",$I264=""),"",IF(SUMPRODUCT((nrInstrNames&lt;&gt;"")*ISNUMBER(SEARCH(nrInstrNames,$I264)))&gt;0,"OK","UNRECOGNIZED"))</f>
        <v/>
      </c>
      <c r="O264" s="17">
        <f>IF(OR($B264="",$D264="",$E264=""),"",IF($E264=$D264,"CHECK TIMES (start = end)",IF($F264&gt;12,"CHECK TIMES (End is before Start?)","OK")))</f>
        <v/>
      </c>
    </row>
    <row r="265">
      <c r="B265" s="18" t="n"/>
      <c r="C265" s="17">
        <f>IF($B265="","",TEXT($B265,"ddd"))</f>
        <v/>
      </c>
      <c r="D265" s="46" t="n"/>
      <c r="E265" s="46"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IF(OR($B265="",$I265=""),"",IF(SUMPRODUCT((nrInstrNames&lt;&gt;"")*ISNUMBER(SEARCH(nrInstrNames,$I265)))&gt;0,"OK","UNRECOGNIZED"))</f>
        <v/>
      </c>
      <c r="O265" s="17">
        <f>IF(OR($B265="",$D265="",$E265=""),"",IF($E265=$D265,"CHECK TIMES (start = end)",IF($F265&gt;12,"CHECK TIMES (End is before Start?)","OK")))</f>
        <v/>
      </c>
    </row>
    <row r="266">
      <c r="B266" s="18" t="n"/>
      <c r="C266" s="17">
        <f>IF($B266="","",TEXT($B266,"ddd"))</f>
        <v/>
      </c>
      <c r="D266" s="46" t="n"/>
      <c r="E266" s="46"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IF(OR($B266="",$I266=""),"",IF(SUMPRODUCT((nrInstrNames&lt;&gt;"")*ISNUMBER(SEARCH(nrInstrNames,$I266)))&gt;0,"OK","UNRECOGNIZED"))</f>
        <v/>
      </c>
      <c r="O266" s="17">
        <f>IF(OR($B266="",$D266="",$E266=""),"",IF($E266=$D266,"CHECK TIMES (start = end)",IF($F266&gt;12,"CHECK TIMES (End is before Start?)","OK")))</f>
        <v/>
      </c>
    </row>
    <row r="267">
      <c r="B267" s="18" t="n"/>
      <c r="C267" s="17">
        <f>IF($B267="","",TEXT($B267,"ddd"))</f>
        <v/>
      </c>
      <c r="D267" s="46" t="n"/>
      <c r="E267" s="46"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IF(OR($B267="",$I267=""),"",IF(SUMPRODUCT((nrInstrNames&lt;&gt;"")*ISNUMBER(SEARCH(nrInstrNames,$I267)))&gt;0,"OK","UNRECOGNIZED"))</f>
        <v/>
      </c>
      <c r="O267" s="17">
        <f>IF(OR($B267="",$D267="",$E267=""),"",IF($E267=$D267,"CHECK TIMES (start = end)",IF($F267&gt;12,"CHECK TIMES (End is before Start?)","OK")))</f>
        <v/>
      </c>
    </row>
    <row r="268">
      <c r="B268" s="18" t="n"/>
      <c r="C268" s="17">
        <f>IF($B268="","",TEXT($B268,"ddd"))</f>
        <v/>
      </c>
      <c r="D268" s="46" t="n"/>
      <c r="E268" s="46"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IF(OR($B268="",$I268=""),"",IF(SUMPRODUCT((nrInstrNames&lt;&gt;"")*ISNUMBER(SEARCH(nrInstrNames,$I268)))&gt;0,"OK","UNRECOGNIZED"))</f>
        <v/>
      </c>
      <c r="O268" s="17">
        <f>IF(OR($B268="",$D268="",$E268=""),"",IF($E268=$D268,"CHECK TIMES (start = end)",IF($F268&gt;12,"CHECK TIMES (End is before Start?)","OK")))</f>
        <v/>
      </c>
    </row>
    <row r="269">
      <c r="B269" s="18" t="n"/>
      <c r="C269" s="17">
        <f>IF($B269="","",TEXT($B269,"ddd"))</f>
        <v/>
      </c>
      <c r="D269" s="46" t="n"/>
      <c r="E269" s="46"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IF(OR($B269="",$I269=""),"",IF(SUMPRODUCT((nrInstrNames&lt;&gt;"")*ISNUMBER(SEARCH(nrInstrNames,$I269)))&gt;0,"OK","UNRECOGNIZED"))</f>
        <v/>
      </c>
      <c r="O269" s="17">
        <f>IF(OR($B269="",$D269="",$E269=""),"",IF($E269=$D269,"CHECK TIMES (start = end)",IF($F269&gt;12,"CHECK TIMES (End is before Start?)","OK")))</f>
        <v/>
      </c>
    </row>
    <row r="270">
      <c r="B270" s="18" t="n"/>
      <c r="C270" s="17">
        <f>IF($B270="","",TEXT($B270,"ddd"))</f>
        <v/>
      </c>
      <c r="D270" s="46" t="n"/>
      <c r="E270" s="46"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IF(OR($B270="",$I270=""),"",IF(SUMPRODUCT((nrInstrNames&lt;&gt;"")*ISNUMBER(SEARCH(nrInstrNames,$I270)))&gt;0,"OK","UNRECOGNIZED"))</f>
        <v/>
      </c>
      <c r="O270" s="17">
        <f>IF(OR($B270="",$D270="",$E270=""),"",IF($E270=$D270,"CHECK TIMES (start = end)",IF($F270&gt;12,"CHECK TIMES (End is before Start?)","OK")))</f>
        <v/>
      </c>
    </row>
    <row r="271">
      <c r="B271" s="18" t="n"/>
      <c r="C271" s="17">
        <f>IF($B271="","",TEXT($B271,"ddd"))</f>
        <v/>
      </c>
      <c r="D271" s="46" t="n"/>
      <c r="E271" s="46"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IF(OR($B271="",$I271=""),"",IF(SUMPRODUCT((nrInstrNames&lt;&gt;"")*ISNUMBER(SEARCH(nrInstrNames,$I271)))&gt;0,"OK","UNRECOGNIZED"))</f>
        <v/>
      </c>
      <c r="O271" s="17">
        <f>IF(OR($B271="",$D271="",$E271=""),"",IF($E271=$D271,"CHECK TIMES (start = end)",IF($F271&gt;12,"CHECK TIMES (End is before Start?)","OK")))</f>
        <v/>
      </c>
    </row>
    <row r="272">
      <c r="B272" s="18" t="n"/>
      <c r="C272" s="17">
        <f>IF($B272="","",TEXT($B272,"ddd"))</f>
        <v/>
      </c>
      <c r="D272" s="46" t="n"/>
      <c r="E272" s="46"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IF(OR($B272="",$I272=""),"",IF(SUMPRODUCT((nrInstrNames&lt;&gt;"")*ISNUMBER(SEARCH(nrInstrNames,$I272)))&gt;0,"OK","UNRECOGNIZED"))</f>
        <v/>
      </c>
      <c r="O272" s="17">
        <f>IF(OR($B272="",$D272="",$E272=""),"",IF($E272=$D272,"CHECK TIMES (start = end)",IF($F272&gt;12,"CHECK TIMES (End is before Start?)","OK")))</f>
        <v/>
      </c>
    </row>
    <row r="273">
      <c r="B273" s="18" t="n"/>
      <c r="C273" s="17">
        <f>IF($B273="","",TEXT($B273,"ddd"))</f>
        <v/>
      </c>
      <c r="D273" s="46" t="n"/>
      <c r="E273" s="46"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IF(OR($B273="",$I273=""),"",IF(SUMPRODUCT((nrInstrNames&lt;&gt;"")*ISNUMBER(SEARCH(nrInstrNames,$I273)))&gt;0,"OK","UNRECOGNIZED"))</f>
        <v/>
      </c>
      <c r="O273" s="17">
        <f>IF(OR($B273="",$D273="",$E273=""),"",IF($E273=$D273,"CHECK TIMES (start = end)",IF($F273&gt;12,"CHECK TIMES (End is before Start?)","OK")))</f>
        <v/>
      </c>
    </row>
    <row r="274">
      <c r="B274" s="18" t="n"/>
      <c r="C274" s="17">
        <f>IF($B274="","",TEXT($B274,"ddd"))</f>
        <v/>
      </c>
      <c r="D274" s="46" t="n"/>
      <c r="E274" s="46"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IF(OR($B274="",$I274=""),"",IF(SUMPRODUCT((nrInstrNames&lt;&gt;"")*ISNUMBER(SEARCH(nrInstrNames,$I274)))&gt;0,"OK","UNRECOGNIZED"))</f>
        <v/>
      </c>
      <c r="O274" s="17">
        <f>IF(OR($B274="",$D274="",$E274=""),"",IF($E274=$D274,"CHECK TIMES (start = end)",IF($F274&gt;12,"CHECK TIMES (End is before Start?)","OK")))</f>
        <v/>
      </c>
    </row>
    <row r="275">
      <c r="B275" s="18" t="n"/>
      <c r="C275" s="17">
        <f>IF($B275="","",TEXT($B275,"ddd"))</f>
        <v/>
      </c>
      <c r="D275" s="46" t="n"/>
      <c r="E275" s="46"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IF(OR($B275="",$I275=""),"",IF(SUMPRODUCT((nrInstrNames&lt;&gt;"")*ISNUMBER(SEARCH(nrInstrNames,$I275)))&gt;0,"OK","UNRECOGNIZED"))</f>
        <v/>
      </c>
      <c r="O275" s="17">
        <f>IF(OR($B275="",$D275="",$E275=""),"",IF($E275=$D275,"CHECK TIMES (start = end)",IF($F275&gt;12,"CHECK TIMES (End is before Start?)","OK")))</f>
        <v/>
      </c>
    </row>
    <row r="276">
      <c r="B276" s="18" t="n"/>
      <c r="C276" s="17">
        <f>IF($B276="","",TEXT($B276,"ddd"))</f>
        <v/>
      </c>
      <c r="D276" s="46" t="n"/>
      <c r="E276" s="46"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IF(OR($B276="",$I276=""),"",IF(SUMPRODUCT((nrInstrNames&lt;&gt;"")*ISNUMBER(SEARCH(nrInstrNames,$I276)))&gt;0,"OK","UNRECOGNIZED"))</f>
        <v/>
      </c>
      <c r="O276" s="17">
        <f>IF(OR($B276="",$D276="",$E276=""),"",IF($E276=$D276,"CHECK TIMES (start = end)",IF($F276&gt;12,"CHECK TIMES (End is before Start?)","OK")))</f>
        <v/>
      </c>
    </row>
    <row r="277">
      <c r="B277" s="18" t="n"/>
      <c r="C277" s="17">
        <f>IF($B277="","",TEXT($B277,"ddd"))</f>
        <v/>
      </c>
      <c r="D277" s="46" t="n"/>
      <c r="E277" s="46"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IF(OR($B277="",$I277=""),"",IF(SUMPRODUCT((nrInstrNames&lt;&gt;"")*ISNUMBER(SEARCH(nrInstrNames,$I277)))&gt;0,"OK","UNRECOGNIZED"))</f>
        <v/>
      </c>
      <c r="O277" s="17">
        <f>IF(OR($B277="",$D277="",$E277=""),"",IF($E277=$D277,"CHECK TIMES (start = end)",IF($F277&gt;12,"CHECK TIMES (End is before Start?)","OK")))</f>
        <v/>
      </c>
    </row>
    <row r="278">
      <c r="B278" s="18" t="n"/>
      <c r="C278" s="17">
        <f>IF($B278="","",TEXT($B278,"ddd"))</f>
        <v/>
      </c>
      <c r="D278" s="46" t="n"/>
      <c r="E278" s="46"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IF(OR($B278="",$I278=""),"",IF(SUMPRODUCT((nrInstrNames&lt;&gt;"")*ISNUMBER(SEARCH(nrInstrNames,$I278)))&gt;0,"OK","UNRECOGNIZED"))</f>
        <v/>
      </c>
      <c r="O278" s="17">
        <f>IF(OR($B278="",$D278="",$E278=""),"",IF($E278=$D278,"CHECK TIMES (start = end)",IF($F278&gt;12,"CHECK TIMES (End is before Start?)","OK")))</f>
        <v/>
      </c>
    </row>
    <row r="279">
      <c r="B279" s="18" t="n"/>
      <c r="C279" s="17">
        <f>IF($B279="","",TEXT($B279,"ddd"))</f>
        <v/>
      </c>
      <c r="D279" s="46" t="n"/>
      <c r="E279" s="46"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IF(OR($B279="",$I279=""),"",IF(SUMPRODUCT((nrInstrNames&lt;&gt;"")*ISNUMBER(SEARCH(nrInstrNames,$I279)))&gt;0,"OK","UNRECOGNIZED"))</f>
        <v/>
      </c>
      <c r="O279" s="17">
        <f>IF(OR($B279="",$D279="",$E279=""),"",IF($E279=$D279,"CHECK TIMES (start = end)",IF($F279&gt;12,"CHECK TIMES (End is before Start?)","OK")))</f>
        <v/>
      </c>
    </row>
    <row r="280">
      <c r="B280" s="18" t="n"/>
      <c r="C280" s="17">
        <f>IF($B280="","",TEXT($B280,"ddd"))</f>
        <v/>
      </c>
      <c r="D280" s="46" t="n"/>
      <c r="E280" s="46"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IF(OR($B280="",$I280=""),"",IF(SUMPRODUCT((nrInstrNames&lt;&gt;"")*ISNUMBER(SEARCH(nrInstrNames,$I280)))&gt;0,"OK","UNRECOGNIZED"))</f>
        <v/>
      </c>
      <c r="O280" s="17">
        <f>IF(OR($B280="",$D280="",$E280=""),"",IF($E280=$D280,"CHECK TIMES (start = end)",IF($F280&gt;12,"CHECK TIMES (End is before Start?)","OK")))</f>
        <v/>
      </c>
    </row>
    <row r="281">
      <c r="B281" s="18" t="n"/>
      <c r="C281" s="17">
        <f>IF($B281="","",TEXT($B281,"ddd"))</f>
        <v/>
      </c>
      <c r="D281" s="46" t="n"/>
      <c r="E281" s="46"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IF(OR($B281="",$I281=""),"",IF(SUMPRODUCT((nrInstrNames&lt;&gt;"")*ISNUMBER(SEARCH(nrInstrNames,$I281)))&gt;0,"OK","UNRECOGNIZED"))</f>
        <v/>
      </c>
      <c r="O281" s="17">
        <f>IF(OR($B281="",$D281="",$E281=""),"",IF($E281=$D281,"CHECK TIMES (start = end)",IF($F281&gt;12,"CHECK TIMES (End is before Start?)","OK")))</f>
        <v/>
      </c>
    </row>
    <row r="282">
      <c r="B282" s="18" t="n"/>
      <c r="C282" s="17">
        <f>IF($B282="","",TEXT($B282,"ddd"))</f>
        <v/>
      </c>
      <c r="D282" s="46" t="n"/>
      <c r="E282" s="46"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IF(OR($B282="",$I282=""),"",IF(SUMPRODUCT((nrInstrNames&lt;&gt;"")*ISNUMBER(SEARCH(nrInstrNames,$I282)))&gt;0,"OK","UNRECOGNIZED"))</f>
        <v/>
      </c>
      <c r="O282" s="17">
        <f>IF(OR($B282="",$D282="",$E282=""),"",IF($E282=$D282,"CHECK TIMES (start = end)",IF($F282&gt;12,"CHECK TIMES (End is before Start?)","OK")))</f>
        <v/>
      </c>
    </row>
    <row r="283">
      <c r="B283" s="18" t="n"/>
      <c r="C283" s="17">
        <f>IF($B283="","",TEXT($B283,"ddd"))</f>
        <v/>
      </c>
      <c r="D283" s="46" t="n"/>
      <c r="E283" s="46"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IF(OR($B283="",$I283=""),"",IF(SUMPRODUCT((nrInstrNames&lt;&gt;"")*ISNUMBER(SEARCH(nrInstrNames,$I283)))&gt;0,"OK","UNRECOGNIZED"))</f>
        <v/>
      </c>
      <c r="O283" s="17">
        <f>IF(OR($B283="",$D283="",$E283=""),"",IF($E283=$D283,"CHECK TIMES (start = end)",IF($F283&gt;12,"CHECK TIMES (End is before Start?)","OK")))</f>
        <v/>
      </c>
    </row>
    <row r="284">
      <c r="B284" s="18" t="n"/>
      <c r="C284" s="17">
        <f>IF($B284="","",TEXT($B284,"ddd"))</f>
        <v/>
      </c>
      <c r="D284" s="46" t="n"/>
      <c r="E284" s="46"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IF(OR($B284="",$I284=""),"",IF(SUMPRODUCT((nrInstrNames&lt;&gt;"")*ISNUMBER(SEARCH(nrInstrNames,$I284)))&gt;0,"OK","UNRECOGNIZED"))</f>
        <v/>
      </c>
      <c r="O284" s="17">
        <f>IF(OR($B284="",$D284="",$E284=""),"",IF($E284=$D284,"CHECK TIMES (start = end)",IF($F284&gt;12,"CHECK TIMES (End is before Start?)","OK")))</f>
        <v/>
      </c>
    </row>
    <row r="285">
      <c r="B285" s="18" t="n"/>
      <c r="C285" s="17">
        <f>IF($B285="","",TEXT($B285,"ddd"))</f>
        <v/>
      </c>
      <c r="D285" s="46" t="n"/>
      <c r="E285" s="46"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IF(OR($B285="",$I285=""),"",IF(SUMPRODUCT((nrInstrNames&lt;&gt;"")*ISNUMBER(SEARCH(nrInstrNames,$I285)))&gt;0,"OK","UNRECOGNIZED"))</f>
        <v/>
      </c>
      <c r="O285" s="17">
        <f>IF(OR($B285="",$D285="",$E285=""),"",IF($E285=$D285,"CHECK TIMES (start = end)",IF($F285&gt;12,"CHECK TIMES (End is before Start?)","OK")))</f>
        <v/>
      </c>
    </row>
    <row r="286">
      <c r="B286" s="18" t="n"/>
      <c r="C286" s="17">
        <f>IF($B286="","",TEXT($B286,"ddd"))</f>
        <v/>
      </c>
      <c r="D286" s="46" t="n"/>
      <c r="E286" s="46"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IF(OR($B286="",$I286=""),"",IF(SUMPRODUCT((nrInstrNames&lt;&gt;"")*ISNUMBER(SEARCH(nrInstrNames,$I286)))&gt;0,"OK","UNRECOGNIZED"))</f>
        <v/>
      </c>
      <c r="O286" s="17">
        <f>IF(OR($B286="",$D286="",$E286=""),"",IF($E286=$D286,"CHECK TIMES (start = end)",IF($F286&gt;12,"CHECK TIMES (End is before Start?)","OK")))</f>
        <v/>
      </c>
    </row>
    <row r="287">
      <c r="B287" s="18" t="n"/>
      <c r="C287" s="17">
        <f>IF($B287="","",TEXT($B287,"ddd"))</f>
        <v/>
      </c>
      <c r="D287" s="46" t="n"/>
      <c r="E287" s="46"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IF(OR($B287="",$I287=""),"",IF(SUMPRODUCT((nrInstrNames&lt;&gt;"")*ISNUMBER(SEARCH(nrInstrNames,$I287)))&gt;0,"OK","UNRECOGNIZED"))</f>
        <v/>
      </c>
      <c r="O287" s="17">
        <f>IF(OR($B287="",$D287="",$E287=""),"",IF($E287=$D287,"CHECK TIMES (start = end)",IF($F287&gt;12,"CHECK TIMES (End is before Start?)","OK")))</f>
        <v/>
      </c>
    </row>
    <row r="288">
      <c r="B288" s="18" t="n"/>
      <c r="C288" s="17">
        <f>IF($B288="","",TEXT($B288,"ddd"))</f>
        <v/>
      </c>
      <c r="D288" s="46" t="n"/>
      <c r="E288" s="46"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IF(OR($B288="",$I288=""),"",IF(SUMPRODUCT((nrInstrNames&lt;&gt;"")*ISNUMBER(SEARCH(nrInstrNames,$I288)))&gt;0,"OK","UNRECOGNIZED"))</f>
        <v/>
      </c>
      <c r="O288" s="17">
        <f>IF(OR($B288="",$D288="",$E288=""),"",IF($E288=$D288,"CHECK TIMES (start = end)",IF($F288&gt;12,"CHECK TIMES (End is before Start?)","OK")))</f>
        <v/>
      </c>
    </row>
    <row r="289">
      <c r="B289" s="18" t="n"/>
      <c r="C289" s="17">
        <f>IF($B289="","",TEXT($B289,"ddd"))</f>
        <v/>
      </c>
      <c r="D289" s="46" t="n"/>
      <c r="E289" s="46"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IF(OR($B289="",$I289=""),"",IF(SUMPRODUCT((nrInstrNames&lt;&gt;"")*ISNUMBER(SEARCH(nrInstrNames,$I289)))&gt;0,"OK","UNRECOGNIZED"))</f>
        <v/>
      </c>
      <c r="O289" s="17">
        <f>IF(OR($B289="",$D289="",$E289=""),"",IF($E289=$D289,"CHECK TIMES (start = end)",IF($F289&gt;12,"CHECK TIMES (End is before Start?)","OK")))</f>
        <v/>
      </c>
    </row>
    <row r="290">
      <c r="B290" s="18" t="n"/>
      <c r="C290" s="17">
        <f>IF($B290="","",TEXT($B290,"ddd"))</f>
        <v/>
      </c>
      <c r="D290" s="46" t="n"/>
      <c r="E290" s="46"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IF(OR($B290="",$I290=""),"",IF(SUMPRODUCT((nrInstrNames&lt;&gt;"")*ISNUMBER(SEARCH(nrInstrNames,$I290)))&gt;0,"OK","UNRECOGNIZED"))</f>
        <v/>
      </c>
      <c r="O290" s="17">
        <f>IF(OR($B290="",$D290="",$E290=""),"",IF($E290=$D290,"CHECK TIMES (start = end)",IF($F290&gt;12,"CHECK TIMES (End is before Start?)","OK")))</f>
        <v/>
      </c>
    </row>
    <row r="291">
      <c r="B291" s="18" t="n"/>
      <c r="C291" s="17">
        <f>IF($B291="","",TEXT($B291,"ddd"))</f>
        <v/>
      </c>
      <c r="D291" s="46" t="n"/>
      <c r="E291" s="46"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IF(OR($B291="",$I291=""),"",IF(SUMPRODUCT((nrInstrNames&lt;&gt;"")*ISNUMBER(SEARCH(nrInstrNames,$I291)))&gt;0,"OK","UNRECOGNIZED"))</f>
        <v/>
      </c>
      <c r="O291" s="17">
        <f>IF(OR($B291="",$D291="",$E291=""),"",IF($E291=$D291,"CHECK TIMES (start = end)",IF($F291&gt;12,"CHECK TIMES (End is before Start?)","OK")))</f>
        <v/>
      </c>
    </row>
    <row r="292">
      <c r="B292" s="18" t="n"/>
      <c r="C292" s="17">
        <f>IF($B292="","",TEXT($B292,"ddd"))</f>
        <v/>
      </c>
      <c r="D292" s="46" t="n"/>
      <c r="E292" s="46"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IF(OR($B292="",$I292=""),"",IF(SUMPRODUCT((nrInstrNames&lt;&gt;"")*ISNUMBER(SEARCH(nrInstrNames,$I292)))&gt;0,"OK","UNRECOGNIZED"))</f>
        <v/>
      </c>
      <c r="O292" s="17">
        <f>IF(OR($B292="",$D292="",$E292=""),"",IF($E292=$D292,"CHECK TIMES (start = end)",IF($F292&gt;12,"CHECK TIMES (End is before Start?)","OK")))</f>
        <v/>
      </c>
    </row>
    <row r="293">
      <c r="B293" s="18" t="n"/>
      <c r="C293" s="17">
        <f>IF($B293="","",TEXT($B293,"ddd"))</f>
        <v/>
      </c>
      <c r="D293" s="46" t="n"/>
      <c r="E293" s="46"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IF(OR($B293="",$I293=""),"",IF(SUMPRODUCT((nrInstrNames&lt;&gt;"")*ISNUMBER(SEARCH(nrInstrNames,$I293)))&gt;0,"OK","UNRECOGNIZED"))</f>
        <v/>
      </c>
      <c r="O293" s="17">
        <f>IF(OR($B293="",$D293="",$E293=""),"",IF($E293=$D293,"CHECK TIMES (start = end)",IF($F293&gt;12,"CHECK TIMES (End is before Start?)","OK")))</f>
        <v/>
      </c>
    </row>
    <row r="294">
      <c r="B294" s="18" t="n"/>
      <c r="C294" s="17">
        <f>IF($B294="","",TEXT($B294,"ddd"))</f>
        <v/>
      </c>
      <c r="D294" s="46" t="n"/>
      <c r="E294" s="46"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IF(OR($B294="",$I294=""),"",IF(SUMPRODUCT((nrInstrNames&lt;&gt;"")*ISNUMBER(SEARCH(nrInstrNames,$I294)))&gt;0,"OK","UNRECOGNIZED"))</f>
        <v/>
      </c>
      <c r="O294" s="17">
        <f>IF(OR($B294="",$D294="",$E294=""),"",IF($E294=$D294,"CHECK TIMES (start = end)",IF($F294&gt;12,"CHECK TIMES (End is before Start?)","OK")))</f>
        <v/>
      </c>
    </row>
    <row r="295">
      <c r="B295" s="18" t="n"/>
      <c r="C295" s="17">
        <f>IF($B295="","",TEXT($B295,"ddd"))</f>
        <v/>
      </c>
      <c r="D295" s="46" t="n"/>
      <c r="E295" s="46"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IF(OR($B295="",$I295=""),"",IF(SUMPRODUCT((nrInstrNames&lt;&gt;"")*ISNUMBER(SEARCH(nrInstrNames,$I295)))&gt;0,"OK","UNRECOGNIZED"))</f>
        <v/>
      </c>
      <c r="O295" s="17">
        <f>IF(OR($B295="",$D295="",$E295=""),"",IF($E295=$D295,"CHECK TIMES (start = end)",IF($F295&gt;12,"CHECK TIMES (End is before Start?)","OK")))</f>
        <v/>
      </c>
    </row>
    <row r="296">
      <c r="B296" s="18" t="n"/>
      <c r="C296" s="17">
        <f>IF($B296="","",TEXT($B296,"ddd"))</f>
        <v/>
      </c>
      <c r="D296" s="46" t="n"/>
      <c r="E296" s="46"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IF(OR($B296="",$I296=""),"",IF(SUMPRODUCT((nrInstrNames&lt;&gt;"")*ISNUMBER(SEARCH(nrInstrNames,$I296)))&gt;0,"OK","UNRECOGNIZED"))</f>
        <v/>
      </c>
      <c r="O296" s="17">
        <f>IF(OR($B296="",$D296="",$E296=""),"",IF($E296=$D296,"CHECK TIMES (start = end)",IF($F296&gt;12,"CHECK TIMES (End is before Start?)","OK")))</f>
        <v/>
      </c>
    </row>
    <row r="297">
      <c r="B297" s="18" t="n"/>
      <c r="C297" s="17">
        <f>IF($B297="","",TEXT($B297,"ddd"))</f>
        <v/>
      </c>
      <c r="D297" s="46" t="n"/>
      <c r="E297" s="46"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IF(OR($B297="",$I297=""),"",IF(SUMPRODUCT((nrInstrNames&lt;&gt;"")*ISNUMBER(SEARCH(nrInstrNames,$I297)))&gt;0,"OK","UNRECOGNIZED"))</f>
        <v/>
      </c>
      <c r="O297" s="17">
        <f>IF(OR($B297="",$D297="",$E297=""),"",IF($E297=$D297,"CHECK TIMES (start = end)",IF($F297&gt;12,"CHECK TIMES (End is before Start?)","OK")))</f>
        <v/>
      </c>
    </row>
    <row r="298">
      <c r="B298" s="18" t="n"/>
      <c r="C298" s="17">
        <f>IF($B298="","",TEXT($B298,"ddd"))</f>
        <v/>
      </c>
      <c r="D298" s="46" t="n"/>
      <c r="E298" s="46"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IF(OR($B298="",$I298=""),"",IF(SUMPRODUCT((nrInstrNames&lt;&gt;"")*ISNUMBER(SEARCH(nrInstrNames,$I298)))&gt;0,"OK","UNRECOGNIZED"))</f>
        <v/>
      </c>
      <c r="O298" s="17">
        <f>IF(OR($B298="",$D298="",$E298=""),"",IF($E298=$D298,"CHECK TIMES (start = end)",IF($F298&gt;12,"CHECK TIMES (End is before Start?)","OK")))</f>
        <v/>
      </c>
    </row>
    <row r="299">
      <c r="B299" s="18" t="n"/>
      <c r="C299" s="17">
        <f>IF($B299="","",TEXT($B299,"ddd"))</f>
        <v/>
      </c>
      <c r="D299" s="46" t="n"/>
      <c r="E299" s="46"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IF(OR($B299="",$I299=""),"",IF(SUMPRODUCT((nrInstrNames&lt;&gt;"")*ISNUMBER(SEARCH(nrInstrNames,$I299)))&gt;0,"OK","UNRECOGNIZED"))</f>
        <v/>
      </c>
      <c r="O299" s="17">
        <f>IF(OR($B299="",$D299="",$E299=""),"",IF($E299=$D299,"CHECK TIMES (start = end)",IF($F299&gt;12,"CHECK TIMES (End is before Start?)","OK")))</f>
        <v/>
      </c>
    </row>
    <row r="300">
      <c r="B300" s="18" t="n"/>
      <c r="C300" s="17">
        <f>IF($B300="","",TEXT($B300,"ddd"))</f>
        <v/>
      </c>
      <c r="D300" s="46" t="n"/>
      <c r="E300" s="46"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IF(OR($B300="",$I300=""),"",IF(SUMPRODUCT((nrInstrNames&lt;&gt;"")*ISNUMBER(SEARCH(nrInstrNames,$I300)))&gt;0,"OK","UNRECOGNIZED"))</f>
        <v/>
      </c>
      <c r="O300" s="17">
        <f>IF(OR($B300="",$D300="",$E300=""),"",IF($E300=$D300,"CHECK TIMES (start = end)",IF($F300&gt;12,"CHECK TIMES (End is before Start?)","OK")))</f>
        <v/>
      </c>
    </row>
    <row r="301">
      <c r="B301" s="18" t="n"/>
      <c r="C301" s="17">
        <f>IF($B301="","",TEXT($B301,"ddd"))</f>
        <v/>
      </c>
      <c r="D301" s="46" t="n"/>
      <c r="E301" s="46"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IF(OR($B301="",$I301=""),"",IF(SUMPRODUCT((nrInstrNames&lt;&gt;"")*ISNUMBER(SEARCH(nrInstrNames,$I301)))&gt;0,"OK","UNRECOGNIZED"))</f>
        <v/>
      </c>
      <c r="O301" s="17">
        <f>IF(OR($B301="",$D301="",$E301=""),"",IF($E301=$D301,"CHECK TIMES (start = end)",IF($F301&gt;12,"CHECK TIMES (End is before Start?)","OK")))</f>
        <v/>
      </c>
    </row>
    <row r="302">
      <c r="B302" s="18" t="n"/>
      <c r="C302" s="17">
        <f>IF($B302="","",TEXT($B302,"ddd"))</f>
        <v/>
      </c>
      <c r="D302" s="46" t="n"/>
      <c r="E302" s="46"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IF(OR($B302="",$I302=""),"",IF(SUMPRODUCT((nrInstrNames&lt;&gt;"")*ISNUMBER(SEARCH(nrInstrNames,$I302)))&gt;0,"OK","UNRECOGNIZED"))</f>
        <v/>
      </c>
      <c r="O302" s="17">
        <f>IF(OR($B302="",$D302="",$E302=""),"",IF($E302=$D302,"CHECK TIMES (start = end)",IF($F302&gt;12,"CHECK TIMES (End is before Start?)","OK")))</f>
        <v/>
      </c>
    </row>
    <row r="303">
      <c r="B303" s="18" t="n"/>
      <c r="C303" s="17">
        <f>IF($B303="","",TEXT($B303,"ddd"))</f>
        <v/>
      </c>
      <c r="D303" s="46" t="n"/>
      <c r="E303" s="46"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IF(OR($B303="",$I303=""),"",IF(SUMPRODUCT((nrInstrNames&lt;&gt;"")*ISNUMBER(SEARCH(nrInstrNames,$I303)))&gt;0,"OK","UNRECOGNIZED"))</f>
        <v/>
      </c>
      <c r="O303" s="17">
        <f>IF(OR($B303="",$D303="",$E303=""),"",IF($E303=$D303,"CHECK TIMES (start = end)",IF($F303&gt;12,"CHECK TIMES (End is before Start?)","OK")))</f>
        <v/>
      </c>
    </row>
    <row r="304">
      <c r="B304" s="18" t="n"/>
      <c r="C304" s="17">
        <f>IF($B304="","",TEXT($B304,"ddd"))</f>
        <v/>
      </c>
      <c r="D304" s="46" t="n"/>
      <c r="E304" s="46"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IF(OR($B304="",$I304=""),"",IF(SUMPRODUCT((nrInstrNames&lt;&gt;"")*ISNUMBER(SEARCH(nrInstrNames,$I304)))&gt;0,"OK","UNRECOGNIZED"))</f>
        <v/>
      </c>
      <c r="O304" s="17">
        <f>IF(OR($B304="",$D304="",$E304=""),"",IF($E304=$D304,"CHECK TIMES (start = end)",IF($F304&gt;12,"CHECK TIMES (End is before Start?)","OK")))</f>
        <v/>
      </c>
    </row>
    <row r="305">
      <c r="B305" s="18" t="n"/>
      <c r="C305" s="17">
        <f>IF($B305="","",TEXT($B305,"ddd"))</f>
        <v/>
      </c>
      <c r="D305" s="46" t="n"/>
      <c r="E305" s="46"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IF(OR($B305="",$I305=""),"",IF(SUMPRODUCT((nrInstrNames&lt;&gt;"")*ISNUMBER(SEARCH(nrInstrNames,$I305)))&gt;0,"OK","UNRECOGNIZED"))</f>
        <v/>
      </c>
      <c r="O305" s="17">
        <f>IF(OR($B305="",$D305="",$E305=""),"",IF($E305=$D305,"CHECK TIMES (start = end)",IF($F305&gt;12,"CHECK TIMES (End is before Start?)","OK")))</f>
        <v/>
      </c>
    </row>
    <row r="306">
      <c r="B306" s="18" t="n"/>
      <c r="C306" s="17">
        <f>IF($B306="","",TEXT($B306,"ddd"))</f>
        <v/>
      </c>
      <c r="D306" s="46" t="n"/>
      <c r="E306" s="46"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IF(OR($B306="",$I306=""),"",IF(SUMPRODUCT((nrInstrNames&lt;&gt;"")*ISNUMBER(SEARCH(nrInstrNames,$I306)))&gt;0,"OK","UNRECOGNIZED"))</f>
        <v/>
      </c>
      <c r="O306" s="17">
        <f>IF(OR($B306="",$D306="",$E306=""),"",IF($E306=$D306,"CHECK TIMES (start = end)",IF($F306&gt;12,"CHECK TIMES (End is before Start?)","OK")))</f>
        <v/>
      </c>
    </row>
    <row r="307">
      <c r="B307" s="18" t="n"/>
      <c r="C307" s="17">
        <f>IF($B307="","",TEXT($B307,"ddd"))</f>
        <v/>
      </c>
      <c r="D307" s="46" t="n"/>
      <c r="E307" s="46"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IF(OR($B307="",$I307=""),"",IF(SUMPRODUCT((nrInstrNames&lt;&gt;"")*ISNUMBER(SEARCH(nrInstrNames,$I307)))&gt;0,"OK","UNRECOGNIZED"))</f>
        <v/>
      </c>
      <c r="O307" s="17">
        <f>IF(OR($B307="",$D307="",$E307=""),"",IF($E307=$D307,"CHECK TIMES (start = end)",IF($F307&gt;12,"CHECK TIMES (End is before Start?)","OK")))</f>
        <v/>
      </c>
    </row>
    <row r="308">
      <c r="B308" s="18" t="n"/>
      <c r="C308" s="17">
        <f>IF($B308="","",TEXT($B308,"ddd"))</f>
        <v/>
      </c>
      <c r="D308" s="46" t="n"/>
      <c r="E308" s="46"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IF(OR($B308="",$I308=""),"",IF(SUMPRODUCT((nrInstrNames&lt;&gt;"")*ISNUMBER(SEARCH(nrInstrNames,$I308)))&gt;0,"OK","UNRECOGNIZED"))</f>
        <v/>
      </c>
      <c r="O308" s="17">
        <f>IF(OR($B308="",$D308="",$E308=""),"",IF($E308=$D308,"CHECK TIMES (start = end)",IF($F308&gt;12,"CHECK TIMES (End is before Start?)","OK")))</f>
        <v/>
      </c>
    </row>
    <row r="309">
      <c r="B309" s="18" t="n"/>
      <c r="C309" s="17">
        <f>IF($B309="","",TEXT($B309,"ddd"))</f>
        <v/>
      </c>
      <c r="D309" s="46" t="n"/>
      <c r="E309" s="46"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IF(OR($B309="",$I309=""),"",IF(SUMPRODUCT((nrInstrNames&lt;&gt;"")*ISNUMBER(SEARCH(nrInstrNames,$I309)))&gt;0,"OK","UNRECOGNIZED"))</f>
        <v/>
      </c>
      <c r="O309" s="17">
        <f>IF(OR($B309="",$D309="",$E309=""),"",IF($E309=$D309,"CHECK TIMES (start = end)",IF($F309&gt;12,"CHECK TIMES (End is before Start?)","OK")))</f>
        <v/>
      </c>
    </row>
    <row r="310">
      <c r="B310" s="18" t="n"/>
      <c r="C310" s="17">
        <f>IF($B310="","",TEXT($B310,"ddd"))</f>
        <v/>
      </c>
      <c r="D310" s="46" t="n"/>
      <c r="E310" s="46"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IF(OR($B310="",$I310=""),"",IF(SUMPRODUCT((nrInstrNames&lt;&gt;"")*ISNUMBER(SEARCH(nrInstrNames,$I310)))&gt;0,"OK","UNRECOGNIZED"))</f>
        <v/>
      </c>
      <c r="O310" s="17">
        <f>IF(OR($B310="",$D310="",$E310=""),"",IF($E310=$D310,"CHECK TIMES (start = end)",IF($F310&gt;12,"CHECK TIMES (End is before Start?)","OK")))</f>
        <v/>
      </c>
    </row>
    <row r="311">
      <c r="B311" s="18" t="n"/>
      <c r="C311" s="17">
        <f>IF($B311="","",TEXT($B311,"ddd"))</f>
        <v/>
      </c>
      <c r="D311" s="46" t="n"/>
      <c r="E311" s="46"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IF(OR($B311="",$I311=""),"",IF(SUMPRODUCT((nrInstrNames&lt;&gt;"")*ISNUMBER(SEARCH(nrInstrNames,$I311)))&gt;0,"OK","UNRECOGNIZED"))</f>
        <v/>
      </c>
      <c r="O311" s="17">
        <f>IF(OR($B311="",$D311="",$E311=""),"",IF($E311=$D311,"CHECK TIMES (start = end)",IF($F311&gt;12,"CHECK TIMES (End is before Start?)","OK")))</f>
        <v/>
      </c>
    </row>
    <row r="312">
      <c r="B312" s="18" t="n"/>
      <c r="C312" s="17">
        <f>IF($B312="","",TEXT($B312,"ddd"))</f>
        <v/>
      </c>
      <c r="D312" s="46" t="n"/>
      <c r="E312" s="46"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IF(OR($B312="",$I312=""),"",IF(SUMPRODUCT((nrInstrNames&lt;&gt;"")*ISNUMBER(SEARCH(nrInstrNames,$I312)))&gt;0,"OK","UNRECOGNIZED"))</f>
        <v/>
      </c>
      <c r="O312" s="17">
        <f>IF(OR($B312="",$D312="",$E312=""),"",IF($E312=$D312,"CHECK TIMES (start = end)",IF($F312&gt;12,"CHECK TIMES (End is before Start?)","OK")))</f>
        <v/>
      </c>
    </row>
    <row r="313">
      <c r="B313" s="18" t="n"/>
      <c r="C313" s="17">
        <f>IF($B313="","",TEXT($B313,"ddd"))</f>
        <v/>
      </c>
      <c r="D313" s="46" t="n"/>
      <c r="E313" s="46"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IF(OR($B313="",$I313=""),"",IF(SUMPRODUCT((nrInstrNames&lt;&gt;"")*ISNUMBER(SEARCH(nrInstrNames,$I313)))&gt;0,"OK","UNRECOGNIZED"))</f>
        <v/>
      </c>
      <c r="O313" s="17">
        <f>IF(OR($B313="",$D313="",$E313=""),"",IF($E313=$D313,"CHECK TIMES (start = end)",IF($F313&gt;12,"CHECK TIMES (End is before Start?)","OK")))</f>
        <v/>
      </c>
    </row>
    <row r="314">
      <c r="B314" s="18" t="n"/>
      <c r="C314" s="17">
        <f>IF($B314="","",TEXT($B314,"ddd"))</f>
        <v/>
      </c>
      <c r="D314" s="46" t="n"/>
      <c r="E314" s="46"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IF(OR($B314="",$I314=""),"",IF(SUMPRODUCT((nrInstrNames&lt;&gt;"")*ISNUMBER(SEARCH(nrInstrNames,$I314)))&gt;0,"OK","UNRECOGNIZED"))</f>
        <v/>
      </c>
      <c r="O314" s="17">
        <f>IF(OR($B314="",$D314="",$E314=""),"",IF($E314=$D314,"CHECK TIMES (start = end)",IF($F314&gt;12,"CHECK TIMES (End is before Start?)","OK")))</f>
        <v/>
      </c>
    </row>
    <row r="315">
      <c r="B315" s="18" t="n"/>
      <c r="C315" s="17">
        <f>IF($B315="","",TEXT($B315,"ddd"))</f>
        <v/>
      </c>
      <c r="D315" s="46" t="n"/>
      <c r="E315" s="46"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IF(OR($B315="",$I315=""),"",IF(SUMPRODUCT((nrInstrNames&lt;&gt;"")*ISNUMBER(SEARCH(nrInstrNames,$I315)))&gt;0,"OK","UNRECOGNIZED"))</f>
        <v/>
      </c>
      <c r="O315" s="17">
        <f>IF(OR($B315="",$D315="",$E315=""),"",IF($E315=$D315,"CHECK TIMES (start = end)",IF($F315&gt;12,"CHECK TIMES (End is before Start?)","OK")))</f>
        <v/>
      </c>
    </row>
    <row r="316">
      <c r="B316" s="18" t="n"/>
      <c r="C316" s="17">
        <f>IF($B316="","",TEXT($B316,"ddd"))</f>
        <v/>
      </c>
      <c r="D316" s="46" t="n"/>
      <c r="E316" s="46"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IF(OR($B316="",$I316=""),"",IF(SUMPRODUCT((nrInstrNames&lt;&gt;"")*ISNUMBER(SEARCH(nrInstrNames,$I316)))&gt;0,"OK","UNRECOGNIZED"))</f>
        <v/>
      </c>
      <c r="O316" s="17">
        <f>IF(OR($B316="",$D316="",$E316=""),"",IF($E316=$D316,"CHECK TIMES (start = end)",IF($F316&gt;12,"CHECK TIMES (End is before Start?)","OK")))</f>
        <v/>
      </c>
    </row>
    <row r="317">
      <c r="B317" s="18" t="n"/>
      <c r="C317" s="17">
        <f>IF($B317="","",TEXT($B317,"ddd"))</f>
        <v/>
      </c>
      <c r="D317" s="46" t="n"/>
      <c r="E317" s="46"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IF(OR($B317="",$I317=""),"",IF(SUMPRODUCT((nrInstrNames&lt;&gt;"")*ISNUMBER(SEARCH(nrInstrNames,$I317)))&gt;0,"OK","UNRECOGNIZED"))</f>
        <v/>
      </c>
      <c r="O317" s="17">
        <f>IF(OR($B317="",$D317="",$E317=""),"",IF($E317=$D317,"CHECK TIMES (start = end)",IF($F317&gt;12,"CHECK TIMES (End is before Start?)","OK")))</f>
        <v/>
      </c>
    </row>
    <row r="318">
      <c r="B318" s="18" t="n"/>
      <c r="C318" s="17">
        <f>IF($B318="","",TEXT($B318,"ddd"))</f>
        <v/>
      </c>
      <c r="D318" s="46" t="n"/>
      <c r="E318" s="46"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IF(OR($B318="",$I318=""),"",IF(SUMPRODUCT((nrInstrNames&lt;&gt;"")*ISNUMBER(SEARCH(nrInstrNames,$I318)))&gt;0,"OK","UNRECOGNIZED"))</f>
        <v/>
      </c>
      <c r="O318" s="17">
        <f>IF(OR($B318="",$D318="",$E318=""),"",IF($E318=$D318,"CHECK TIMES (start = end)",IF($F318&gt;12,"CHECK TIMES (End is before Start?)","OK")))</f>
        <v/>
      </c>
    </row>
    <row r="319">
      <c r="B319" s="18" t="n"/>
      <c r="C319" s="17">
        <f>IF($B319="","",TEXT($B319,"ddd"))</f>
        <v/>
      </c>
      <c r="D319" s="46" t="n"/>
      <c r="E319" s="46"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IF(OR($B319="",$I319=""),"",IF(SUMPRODUCT((nrInstrNames&lt;&gt;"")*ISNUMBER(SEARCH(nrInstrNames,$I319)))&gt;0,"OK","UNRECOGNIZED"))</f>
        <v/>
      </c>
      <c r="O319" s="17">
        <f>IF(OR($B319="",$D319="",$E319=""),"",IF($E319=$D319,"CHECK TIMES (start = end)",IF($F319&gt;12,"CHECK TIMES (End is before Start?)","OK")))</f>
        <v/>
      </c>
    </row>
    <row r="320">
      <c r="B320" s="18" t="n"/>
      <c r="C320" s="17">
        <f>IF($B320="","",TEXT($B320,"ddd"))</f>
        <v/>
      </c>
      <c r="D320" s="46" t="n"/>
      <c r="E320" s="46"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IF(OR($B320="",$I320=""),"",IF(SUMPRODUCT((nrInstrNames&lt;&gt;"")*ISNUMBER(SEARCH(nrInstrNames,$I320)))&gt;0,"OK","UNRECOGNIZED"))</f>
        <v/>
      </c>
      <c r="O320" s="17">
        <f>IF(OR($B320="",$D320="",$E320=""),"",IF($E320=$D320,"CHECK TIMES (start = end)",IF($F320&gt;12,"CHECK TIMES (End is before Start?)","OK")))</f>
        <v/>
      </c>
    </row>
    <row r="321">
      <c r="B321" s="18" t="n"/>
      <c r="C321" s="17">
        <f>IF($B321="","",TEXT($B321,"ddd"))</f>
        <v/>
      </c>
      <c r="D321" s="46" t="n"/>
      <c r="E321" s="46"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IF(OR($B321="",$I321=""),"",IF(SUMPRODUCT((nrInstrNames&lt;&gt;"")*ISNUMBER(SEARCH(nrInstrNames,$I321)))&gt;0,"OK","UNRECOGNIZED"))</f>
        <v/>
      </c>
      <c r="O321" s="17">
        <f>IF(OR($B321="",$D321="",$E321=""),"",IF($E321=$D321,"CHECK TIMES (start = end)",IF($F321&gt;12,"CHECK TIMES (End is before Start?)","OK")))</f>
        <v/>
      </c>
    </row>
    <row r="322">
      <c r="B322" s="18" t="n"/>
      <c r="C322" s="17">
        <f>IF($B322="","",TEXT($B322,"ddd"))</f>
        <v/>
      </c>
      <c r="D322" s="46" t="n"/>
      <c r="E322" s="46"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IF(OR($B322="",$I322=""),"",IF(SUMPRODUCT((nrInstrNames&lt;&gt;"")*ISNUMBER(SEARCH(nrInstrNames,$I322)))&gt;0,"OK","UNRECOGNIZED"))</f>
        <v/>
      </c>
      <c r="O322" s="17">
        <f>IF(OR($B322="",$D322="",$E322=""),"",IF($E322=$D322,"CHECK TIMES (start = end)",IF($F322&gt;12,"CHECK TIMES (End is before Start?)","OK")))</f>
        <v/>
      </c>
    </row>
    <row r="323">
      <c r="B323" s="18" t="n"/>
      <c r="C323" s="17">
        <f>IF($B323="","",TEXT($B323,"ddd"))</f>
        <v/>
      </c>
      <c r="D323" s="46" t="n"/>
      <c r="E323" s="46"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IF(OR($B323="",$I323=""),"",IF(SUMPRODUCT((nrInstrNames&lt;&gt;"")*ISNUMBER(SEARCH(nrInstrNames,$I323)))&gt;0,"OK","UNRECOGNIZED"))</f>
        <v/>
      </c>
      <c r="O323" s="17">
        <f>IF(OR($B323="",$D323="",$E323=""),"",IF($E323=$D323,"CHECK TIMES (start = end)",IF($F323&gt;12,"CHECK TIMES (End is before Start?)","OK")))</f>
        <v/>
      </c>
    </row>
    <row r="324">
      <c r="B324" s="18" t="n"/>
      <c r="C324" s="17">
        <f>IF($B324="","",TEXT($B324,"ddd"))</f>
        <v/>
      </c>
      <c r="D324" s="46" t="n"/>
      <c r="E324" s="46"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IF(OR($B324="",$I324=""),"",IF(SUMPRODUCT((nrInstrNames&lt;&gt;"")*ISNUMBER(SEARCH(nrInstrNames,$I324)))&gt;0,"OK","UNRECOGNIZED"))</f>
        <v/>
      </c>
      <c r="O324" s="17">
        <f>IF(OR($B324="",$D324="",$E324=""),"",IF($E324=$D324,"CHECK TIMES (start = end)",IF($F324&gt;12,"CHECK TIMES (End is before Start?)","OK")))</f>
        <v/>
      </c>
    </row>
    <row r="325">
      <c r="B325" s="18" t="n"/>
      <c r="C325" s="17">
        <f>IF($B325="","",TEXT($B325,"ddd"))</f>
        <v/>
      </c>
      <c r="D325" s="46" t="n"/>
      <c r="E325" s="46"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IF(OR($B325="",$I325=""),"",IF(SUMPRODUCT((nrInstrNames&lt;&gt;"")*ISNUMBER(SEARCH(nrInstrNames,$I325)))&gt;0,"OK","UNRECOGNIZED"))</f>
        <v/>
      </c>
      <c r="O325" s="17">
        <f>IF(OR($B325="",$D325="",$E325=""),"",IF($E325=$D325,"CHECK TIMES (start = end)",IF($F325&gt;12,"CHECK TIMES (End is before Start?)","OK")))</f>
        <v/>
      </c>
    </row>
    <row r="326">
      <c r="B326" s="18" t="n"/>
      <c r="C326" s="17">
        <f>IF($B326="","",TEXT($B326,"ddd"))</f>
        <v/>
      </c>
      <c r="D326" s="46" t="n"/>
      <c r="E326" s="46"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IF(OR($B326="",$I326=""),"",IF(SUMPRODUCT((nrInstrNames&lt;&gt;"")*ISNUMBER(SEARCH(nrInstrNames,$I326)))&gt;0,"OK","UNRECOGNIZED"))</f>
        <v/>
      </c>
      <c r="O326" s="17">
        <f>IF(OR($B326="",$D326="",$E326=""),"",IF($E326=$D326,"CHECK TIMES (start = end)",IF($F326&gt;12,"CHECK TIMES (End is before Start?)","OK")))</f>
        <v/>
      </c>
    </row>
    <row r="327">
      <c r="B327" s="18" t="n"/>
      <c r="C327" s="17">
        <f>IF($B327="","",TEXT($B327,"ddd"))</f>
        <v/>
      </c>
      <c r="D327" s="46" t="n"/>
      <c r="E327" s="46"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IF(OR($B327="",$I327=""),"",IF(SUMPRODUCT((nrInstrNames&lt;&gt;"")*ISNUMBER(SEARCH(nrInstrNames,$I327)))&gt;0,"OK","UNRECOGNIZED"))</f>
        <v/>
      </c>
      <c r="O327" s="17">
        <f>IF(OR($B327="",$D327="",$E327=""),"",IF($E327=$D327,"CHECK TIMES (start = end)",IF($F327&gt;12,"CHECK TIMES (End is before Start?)","OK")))</f>
        <v/>
      </c>
    </row>
    <row r="328">
      <c r="B328" s="18" t="n"/>
      <c r="C328" s="17">
        <f>IF($B328="","",TEXT($B328,"ddd"))</f>
        <v/>
      </c>
      <c r="D328" s="46" t="n"/>
      <c r="E328" s="46"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IF(OR($B328="",$I328=""),"",IF(SUMPRODUCT((nrInstrNames&lt;&gt;"")*ISNUMBER(SEARCH(nrInstrNames,$I328)))&gt;0,"OK","UNRECOGNIZED"))</f>
        <v/>
      </c>
      <c r="O328" s="17">
        <f>IF(OR($B328="",$D328="",$E328=""),"",IF($E328=$D328,"CHECK TIMES (start = end)",IF($F328&gt;12,"CHECK TIMES (End is before Start?)","OK")))</f>
        <v/>
      </c>
    </row>
    <row r="329">
      <c r="B329" s="18" t="n"/>
      <c r="C329" s="17">
        <f>IF($B329="","",TEXT($B329,"ddd"))</f>
        <v/>
      </c>
      <c r="D329" s="46" t="n"/>
      <c r="E329" s="46"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IF(OR($B329="",$I329=""),"",IF(SUMPRODUCT((nrInstrNames&lt;&gt;"")*ISNUMBER(SEARCH(nrInstrNames,$I329)))&gt;0,"OK","UNRECOGNIZED"))</f>
        <v/>
      </c>
      <c r="O329" s="17">
        <f>IF(OR($B329="",$D329="",$E329=""),"",IF($E329=$D329,"CHECK TIMES (start = end)",IF($F329&gt;12,"CHECK TIMES (End is before Start?)","OK")))</f>
        <v/>
      </c>
    </row>
    <row r="330">
      <c r="B330" s="18" t="n"/>
      <c r="C330" s="17">
        <f>IF($B330="","",TEXT($B330,"ddd"))</f>
        <v/>
      </c>
      <c r="D330" s="46" t="n"/>
      <c r="E330" s="46"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IF(OR($B330="",$I330=""),"",IF(SUMPRODUCT((nrInstrNames&lt;&gt;"")*ISNUMBER(SEARCH(nrInstrNames,$I330)))&gt;0,"OK","UNRECOGNIZED"))</f>
        <v/>
      </c>
      <c r="O330" s="17">
        <f>IF(OR($B330="",$D330="",$E330=""),"",IF($E330=$D330,"CHECK TIMES (start = end)",IF($F330&gt;12,"CHECK TIMES (End is before Start?)","OK")))</f>
        <v/>
      </c>
    </row>
    <row r="331">
      <c r="B331" s="18" t="n"/>
      <c r="C331" s="17">
        <f>IF($B331="","",TEXT($B331,"ddd"))</f>
        <v/>
      </c>
      <c r="D331" s="46" t="n"/>
      <c r="E331" s="46"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IF(OR($B331="",$I331=""),"",IF(SUMPRODUCT((nrInstrNames&lt;&gt;"")*ISNUMBER(SEARCH(nrInstrNames,$I331)))&gt;0,"OK","UNRECOGNIZED"))</f>
        <v/>
      </c>
      <c r="O331" s="17">
        <f>IF(OR($B331="",$D331="",$E331=""),"",IF($E331=$D331,"CHECK TIMES (start = end)",IF($F331&gt;12,"CHECK TIMES (End is before Start?)","OK")))</f>
        <v/>
      </c>
    </row>
    <row r="332">
      <c r="B332" s="18" t="n"/>
      <c r="C332" s="17">
        <f>IF($B332="","",TEXT($B332,"ddd"))</f>
        <v/>
      </c>
      <c r="D332" s="46" t="n"/>
      <c r="E332" s="46"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IF(OR($B332="",$I332=""),"",IF(SUMPRODUCT((nrInstrNames&lt;&gt;"")*ISNUMBER(SEARCH(nrInstrNames,$I332)))&gt;0,"OK","UNRECOGNIZED"))</f>
        <v/>
      </c>
      <c r="O332" s="17">
        <f>IF(OR($B332="",$D332="",$E332=""),"",IF($E332=$D332,"CHECK TIMES (start = end)",IF($F332&gt;12,"CHECK TIMES (End is before Start?)","OK")))</f>
        <v/>
      </c>
    </row>
    <row r="333">
      <c r="B333" s="18" t="n"/>
      <c r="C333" s="17">
        <f>IF($B333="","",TEXT($B333,"ddd"))</f>
        <v/>
      </c>
      <c r="D333" s="46" t="n"/>
      <c r="E333" s="46"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IF(OR($B333="",$I333=""),"",IF(SUMPRODUCT((nrInstrNames&lt;&gt;"")*ISNUMBER(SEARCH(nrInstrNames,$I333)))&gt;0,"OK","UNRECOGNIZED"))</f>
        <v/>
      </c>
      <c r="O333" s="17">
        <f>IF(OR($B333="",$D333="",$E333=""),"",IF($E333=$D333,"CHECK TIMES (start = end)",IF($F333&gt;12,"CHECK TIMES (End is before Start?)","OK")))</f>
        <v/>
      </c>
    </row>
    <row r="334">
      <c r="B334" s="18" t="n"/>
      <c r="C334" s="17">
        <f>IF($B334="","",TEXT($B334,"ddd"))</f>
        <v/>
      </c>
      <c r="D334" s="46" t="n"/>
      <c r="E334" s="46"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IF(OR($B334="",$I334=""),"",IF(SUMPRODUCT((nrInstrNames&lt;&gt;"")*ISNUMBER(SEARCH(nrInstrNames,$I334)))&gt;0,"OK","UNRECOGNIZED"))</f>
        <v/>
      </c>
      <c r="O334" s="17">
        <f>IF(OR($B334="",$D334="",$E334=""),"",IF($E334=$D334,"CHECK TIMES (start = end)",IF($F334&gt;12,"CHECK TIMES (End is before Start?)","OK")))</f>
        <v/>
      </c>
    </row>
    <row r="335">
      <c r="B335" s="18" t="n"/>
      <c r="C335" s="17">
        <f>IF($B335="","",TEXT($B335,"ddd"))</f>
        <v/>
      </c>
      <c r="D335" s="46" t="n"/>
      <c r="E335" s="46"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IF(OR($B335="",$I335=""),"",IF(SUMPRODUCT((nrInstrNames&lt;&gt;"")*ISNUMBER(SEARCH(nrInstrNames,$I335)))&gt;0,"OK","UNRECOGNIZED"))</f>
        <v/>
      </c>
      <c r="O335" s="17">
        <f>IF(OR($B335="",$D335="",$E335=""),"",IF($E335=$D335,"CHECK TIMES (start = end)",IF($F335&gt;12,"CHECK TIMES (End is before Start?)","OK")))</f>
        <v/>
      </c>
    </row>
    <row r="336">
      <c r="B336" s="18" t="n"/>
      <c r="C336" s="17">
        <f>IF($B336="","",TEXT($B336,"ddd"))</f>
        <v/>
      </c>
      <c r="D336" s="46" t="n"/>
      <c r="E336" s="46"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IF(OR($B336="",$I336=""),"",IF(SUMPRODUCT((nrInstrNames&lt;&gt;"")*ISNUMBER(SEARCH(nrInstrNames,$I336)))&gt;0,"OK","UNRECOGNIZED"))</f>
        <v/>
      </c>
      <c r="O336" s="17">
        <f>IF(OR($B336="",$D336="",$E336=""),"",IF($E336=$D336,"CHECK TIMES (start = end)",IF($F336&gt;12,"CHECK TIMES (End is before Start?)","OK")))</f>
        <v/>
      </c>
    </row>
    <row r="337">
      <c r="B337" s="18" t="n"/>
      <c r="C337" s="17">
        <f>IF($B337="","",TEXT($B337,"ddd"))</f>
        <v/>
      </c>
      <c r="D337" s="46" t="n"/>
      <c r="E337" s="46"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IF(OR($B337="",$I337=""),"",IF(SUMPRODUCT((nrInstrNames&lt;&gt;"")*ISNUMBER(SEARCH(nrInstrNames,$I337)))&gt;0,"OK","UNRECOGNIZED"))</f>
        <v/>
      </c>
      <c r="O337" s="17">
        <f>IF(OR($B337="",$D337="",$E337=""),"",IF($E337=$D337,"CHECK TIMES (start = end)",IF($F337&gt;12,"CHECK TIMES (End is before Start?)","OK")))</f>
        <v/>
      </c>
    </row>
    <row r="338">
      <c r="B338" s="18" t="n"/>
      <c r="C338" s="17">
        <f>IF($B338="","",TEXT($B338,"ddd"))</f>
        <v/>
      </c>
      <c r="D338" s="46" t="n"/>
      <c r="E338" s="46"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IF(OR($B338="",$I338=""),"",IF(SUMPRODUCT((nrInstrNames&lt;&gt;"")*ISNUMBER(SEARCH(nrInstrNames,$I338)))&gt;0,"OK","UNRECOGNIZED"))</f>
        <v/>
      </c>
      <c r="O338" s="17">
        <f>IF(OR($B338="",$D338="",$E338=""),"",IF($E338=$D338,"CHECK TIMES (start = end)",IF($F338&gt;12,"CHECK TIMES (End is before Start?)","OK")))</f>
        <v/>
      </c>
    </row>
    <row r="339">
      <c r="B339" s="18" t="n"/>
      <c r="C339" s="17">
        <f>IF($B339="","",TEXT($B339,"ddd"))</f>
        <v/>
      </c>
      <c r="D339" s="46" t="n"/>
      <c r="E339" s="46"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IF(OR($B339="",$I339=""),"",IF(SUMPRODUCT((nrInstrNames&lt;&gt;"")*ISNUMBER(SEARCH(nrInstrNames,$I339)))&gt;0,"OK","UNRECOGNIZED"))</f>
        <v/>
      </c>
      <c r="O339" s="17">
        <f>IF(OR($B339="",$D339="",$E339=""),"",IF($E339=$D339,"CHECK TIMES (start = end)",IF($F339&gt;12,"CHECK TIMES (End is before Start?)","OK")))</f>
        <v/>
      </c>
    </row>
    <row r="340">
      <c r="B340" s="18" t="n"/>
      <c r="C340" s="17">
        <f>IF($B340="","",TEXT($B340,"ddd"))</f>
        <v/>
      </c>
      <c r="D340" s="46" t="n"/>
      <c r="E340" s="46"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IF(OR($B340="",$I340=""),"",IF(SUMPRODUCT((nrInstrNames&lt;&gt;"")*ISNUMBER(SEARCH(nrInstrNames,$I340)))&gt;0,"OK","UNRECOGNIZED"))</f>
        <v/>
      </c>
      <c r="O340" s="17">
        <f>IF(OR($B340="",$D340="",$E340=""),"",IF($E340=$D340,"CHECK TIMES (start = end)",IF($F340&gt;12,"CHECK TIMES (End is before Start?)","OK")))</f>
        <v/>
      </c>
    </row>
    <row r="341">
      <c r="B341" s="18" t="n"/>
      <c r="C341" s="17">
        <f>IF($B341="","",TEXT($B341,"ddd"))</f>
        <v/>
      </c>
      <c r="D341" s="46" t="n"/>
      <c r="E341" s="46"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IF(OR($B341="",$I341=""),"",IF(SUMPRODUCT((nrInstrNames&lt;&gt;"")*ISNUMBER(SEARCH(nrInstrNames,$I341)))&gt;0,"OK","UNRECOGNIZED"))</f>
        <v/>
      </c>
      <c r="O341" s="17">
        <f>IF(OR($B341="",$D341="",$E341=""),"",IF($E341=$D341,"CHECK TIMES (start = end)",IF($F341&gt;12,"CHECK TIMES (End is before Start?)","OK")))</f>
        <v/>
      </c>
    </row>
    <row r="342">
      <c r="B342" s="18" t="n"/>
      <c r="C342" s="17">
        <f>IF($B342="","",TEXT($B342,"ddd"))</f>
        <v/>
      </c>
      <c r="D342" s="46" t="n"/>
      <c r="E342" s="46"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IF(OR($B342="",$I342=""),"",IF(SUMPRODUCT((nrInstrNames&lt;&gt;"")*ISNUMBER(SEARCH(nrInstrNames,$I342)))&gt;0,"OK","UNRECOGNIZED"))</f>
        <v/>
      </c>
      <c r="O342" s="17">
        <f>IF(OR($B342="",$D342="",$E342=""),"",IF($E342=$D342,"CHECK TIMES (start = end)",IF($F342&gt;12,"CHECK TIMES (End is before Start?)","OK")))</f>
        <v/>
      </c>
    </row>
    <row r="343">
      <c r="B343" s="18" t="n"/>
      <c r="C343" s="17">
        <f>IF($B343="","",TEXT($B343,"ddd"))</f>
        <v/>
      </c>
      <c r="D343" s="46" t="n"/>
      <c r="E343" s="46"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IF(OR($B343="",$I343=""),"",IF(SUMPRODUCT((nrInstrNames&lt;&gt;"")*ISNUMBER(SEARCH(nrInstrNames,$I343)))&gt;0,"OK","UNRECOGNIZED"))</f>
        <v/>
      </c>
      <c r="O343" s="17">
        <f>IF(OR($B343="",$D343="",$E343=""),"",IF($E343=$D343,"CHECK TIMES (start = end)",IF($F343&gt;12,"CHECK TIMES (End is before Start?)","OK")))</f>
        <v/>
      </c>
    </row>
    <row r="344">
      <c r="B344" s="18" t="n"/>
      <c r="C344" s="17">
        <f>IF($B344="","",TEXT($B344,"ddd"))</f>
        <v/>
      </c>
      <c r="D344" s="46" t="n"/>
      <c r="E344" s="46"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IF(OR($B344="",$I344=""),"",IF(SUMPRODUCT((nrInstrNames&lt;&gt;"")*ISNUMBER(SEARCH(nrInstrNames,$I344)))&gt;0,"OK","UNRECOGNIZED"))</f>
        <v/>
      </c>
      <c r="O344" s="17">
        <f>IF(OR($B344="",$D344="",$E344=""),"",IF($E344=$D344,"CHECK TIMES (start = end)",IF($F344&gt;12,"CHECK TIMES (End is before Start?)","OK")))</f>
        <v/>
      </c>
    </row>
    <row r="345">
      <c r="B345" s="18" t="n"/>
      <c r="C345" s="17">
        <f>IF($B345="","",TEXT($B345,"ddd"))</f>
        <v/>
      </c>
      <c r="D345" s="46" t="n"/>
      <c r="E345" s="46"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IF(OR($B345="",$I345=""),"",IF(SUMPRODUCT((nrInstrNames&lt;&gt;"")*ISNUMBER(SEARCH(nrInstrNames,$I345)))&gt;0,"OK","UNRECOGNIZED"))</f>
        <v/>
      </c>
      <c r="O345" s="17">
        <f>IF(OR($B345="",$D345="",$E345=""),"",IF($E345=$D345,"CHECK TIMES (start = end)",IF($F345&gt;12,"CHECK TIMES (End is before Start?)","OK")))</f>
        <v/>
      </c>
    </row>
    <row r="346">
      <c r="B346" s="18" t="n"/>
      <c r="C346" s="17">
        <f>IF($B346="","",TEXT($B346,"ddd"))</f>
        <v/>
      </c>
      <c r="D346" s="46" t="n"/>
      <c r="E346" s="46"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IF(OR($B346="",$I346=""),"",IF(SUMPRODUCT((nrInstrNames&lt;&gt;"")*ISNUMBER(SEARCH(nrInstrNames,$I346)))&gt;0,"OK","UNRECOGNIZED"))</f>
        <v/>
      </c>
      <c r="O346" s="17">
        <f>IF(OR($B346="",$D346="",$E346=""),"",IF($E346=$D346,"CHECK TIMES (start = end)",IF($F346&gt;12,"CHECK TIMES (End is before Start?)","OK")))</f>
        <v/>
      </c>
    </row>
    <row r="347">
      <c r="B347" s="18" t="n"/>
      <c r="C347" s="17">
        <f>IF($B347="","",TEXT($B347,"ddd"))</f>
        <v/>
      </c>
      <c r="D347" s="46" t="n"/>
      <c r="E347" s="46"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IF(OR($B347="",$I347=""),"",IF(SUMPRODUCT((nrInstrNames&lt;&gt;"")*ISNUMBER(SEARCH(nrInstrNames,$I347)))&gt;0,"OK","UNRECOGNIZED"))</f>
        <v/>
      </c>
      <c r="O347" s="17">
        <f>IF(OR($B347="",$D347="",$E347=""),"",IF($E347=$D347,"CHECK TIMES (start = end)",IF($F347&gt;12,"CHECK TIMES (End is before Start?)","OK")))</f>
        <v/>
      </c>
    </row>
    <row r="348">
      <c r="B348" s="18" t="n"/>
      <c r="C348" s="17">
        <f>IF($B348="","",TEXT($B348,"ddd"))</f>
        <v/>
      </c>
      <c r="D348" s="46" t="n"/>
      <c r="E348" s="46"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IF(OR($B348="",$I348=""),"",IF(SUMPRODUCT((nrInstrNames&lt;&gt;"")*ISNUMBER(SEARCH(nrInstrNames,$I348)))&gt;0,"OK","UNRECOGNIZED"))</f>
        <v/>
      </c>
      <c r="O348" s="17">
        <f>IF(OR($B348="",$D348="",$E348=""),"",IF($E348=$D348,"CHECK TIMES (start = end)",IF($F348&gt;12,"CHECK TIMES (End is before Start?)","OK")))</f>
        <v/>
      </c>
    </row>
    <row r="349">
      <c r="B349" s="18" t="n"/>
      <c r="C349" s="17">
        <f>IF($B349="","",TEXT($B349,"ddd"))</f>
        <v/>
      </c>
      <c r="D349" s="46" t="n"/>
      <c r="E349" s="46"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IF(OR($B349="",$I349=""),"",IF(SUMPRODUCT((nrInstrNames&lt;&gt;"")*ISNUMBER(SEARCH(nrInstrNames,$I349)))&gt;0,"OK","UNRECOGNIZED"))</f>
        <v/>
      </c>
      <c r="O349" s="17">
        <f>IF(OR($B349="",$D349="",$E349=""),"",IF($E349=$D349,"CHECK TIMES (start = end)",IF($F349&gt;12,"CHECK TIMES (End is before Start?)","OK")))</f>
        <v/>
      </c>
    </row>
    <row r="350">
      <c r="B350" s="18" t="n"/>
      <c r="C350" s="17">
        <f>IF($B350="","",TEXT($B350,"ddd"))</f>
        <v/>
      </c>
      <c r="D350" s="46" t="n"/>
      <c r="E350" s="46"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IF(OR($B350="",$I350=""),"",IF(SUMPRODUCT((nrInstrNames&lt;&gt;"")*ISNUMBER(SEARCH(nrInstrNames,$I350)))&gt;0,"OK","UNRECOGNIZED"))</f>
        <v/>
      </c>
      <c r="O350" s="17">
        <f>IF(OR($B350="",$D350="",$E350=""),"",IF($E350=$D350,"CHECK TIMES (start = end)",IF($F350&gt;12,"CHECK TIMES (End is before Start?)","OK")))</f>
        <v/>
      </c>
    </row>
    <row r="351">
      <c r="B351" s="18" t="n"/>
      <c r="C351" s="17">
        <f>IF($B351="","",TEXT($B351,"ddd"))</f>
        <v/>
      </c>
      <c r="D351" s="46" t="n"/>
      <c r="E351" s="46"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IF(OR($B351="",$I351=""),"",IF(SUMPRODUCT((nrInstrNames&lt;&gt;"")*ISNUMBER(SEARCH(nrInstrNames,$I351)))&gt;0,"OK","UNRECOGNIZED"))</f>
        <v/>
      </c>
      <c r="O351" s="17">
        <f>IF(OR($B351="",$D351="",$E351=""),"",IF($E351=$D351,"CHECK TIMES (start = end)",IF($F351&gt;12,"CHECK TIMES (End is before Start?)","OK")))</f>
        <v/>
      </c>
    </row>
    <row r="352">
      <c r="B352" s="18" t="n"/>
      <c r="C352" s="17">
        <f>IF($B352="","",TEXT($B352,"ddd"))</f>
        <v/>
      </c>
      <c r="D352" s="46" t="n"/>
      <c r="E352" s="46"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IF(OR($B352="",$I352=""),"",IF(SUMPRODUCT((nrInstrNames&lt;&gt;"")*ISNUMBER(SEARCH(nrInstrNames,$I352)))&gt;0,"OK","UNRECOGNIZED"))</f>
        <v/>
      </c>
      <c r="O352" s="17">
        <f>IF(OR($B352="",$D352="",$E352=""),"",IF($E352=$D352,"CHECK TIMES (start = end)",IF($F352&gt;12,"CHECK TIMES (End is before Start?)","OK")))</f>
        <v/>
      </c>
    </row>
    <row r="353">
      <c r="B353" s="18" t="n"/>
      <c r="C353" s="17">
        <f>IF($B353="","",TEXT($B353,"ddd"))</f>
        <v/>
      </c>
      <c r="D353" s="46" t="n"/>
      <c r="E353" s="46"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IF(OR($B353="",$I353=""),"",IF(SUMPRODUCT((nrInstrNames&lt;&gt;"")*ISNUMBER(SEARCH(nrInstrNames,$I353)))&gt;0,"OK","UNRECOGNIZED"))</f>
        <v/>
      </c>
      <c r="O353" s="17">
        <f>IF(OR($B353="",$D353="",$E353=""),"",IF($E353=$D353,"CHECK TIMES (start = end)",IF($F353&gt;12,"CHECK TIMES (End is before Start?)","OK")))</f>
        <v/>
      </c>
    </row>
    <row r="354">
      <c r="B354" s="18" t="n"/>
      <c r="C354" s="17">
        <f>IF($B354="","",TEXT($B354,"ddd"))</f>
        <v/>
      </c>
      <c r="D354" s="46" t="n"/>
      <c r="E354" s="46"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IF(OR($B354="",$I354=""),"",IF(SUMPRODUCT((nrInstrNames&lt;&gt;"")*ISNUMBER(SEARCH(nrInstrNames,$I354)))&gt;0,"OK","UNRECOGNIZED"))</f>
        <v/>
      </c>
      <c r="O354" s="17">
        <f>IF(OR($B354="",$D354="",$E354=""),"",IF($E354=$D354,"CHECK TIMES (start = end)",IF($F354&gt;12,"CHECK TIMES (End is before Start?)","OK")))</f>
        <v/>
      </c>
    </row>
    <row r="355">
      <c r="B355" s="18" t="n"/>
      <c r="C355" s="17">
        <f>IF($B355="","",TEXT($B355,"ddd"))</f>
        <v/>
      </c>
      <c r="D355" s="46" t="n"/>
      <c r="E355" s="46"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IF(OR($B355="",$I355=""),"",IF(SUMPRODUCT((nrInstrNames&lt;&gt;"")*ISNUMBER(SEARCH(nrInstrNames,$I355)))&gt;0,"OK","UNRECOGNIZED"))</f>
        <v/>
      </c>
      <c r="O355" s="17">
        <f>IF(OR($B355="",$D355="",$E355=""),"",IF($E355=$D355,"CHECK TIMES (start = end)",IF($F355&gt;12,"CHECK TIMES (End is before Start?)","OK")))</f>
        <v/>
      </c>
    </row>
    <row r="356">
      <c r="B356" s="18" t="n"/>
      <c r="C356" s="17">
        <f>IF($B356="","",TEXT($B356,"ddd"))</f>
        <v/>
      </c>
      <c r="D356" s="46" t="n"/>
      <c r="E356" s="46"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IF(OR($B356="",$I356=""),"",IF(SUMPRODUCT((nrInstrNames&lt;&gt;"")*ISNUMBER(SEARCH(nrInstrNames,$I356)))&gt;0,"OK","UNRECOGNIZED"))</f>
        <v/>
      </c>
      <c r="O356" s="17">
        <f>IF(OR($B356="",$D356="",$E356=""),"",IF($E356=$D356,"CHECK TIMES (start = end)",IF($F356&gt;12,"CHECK TIMES (End is before Start?)","OK")))</f>
        <v/>
      </c>
    </row>
    <row r="357">
      <c r="B357" s="18" t="n"/>
      <c r="C357" s="17">
        <f>IF($B357="","",TEXT($B357,"ddd"))</f>
        <v/>
      </c>
      <c r="D357" s="46" t="n"/>
      <c r="E357" s="46"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IF(OR($B357="",$I357=""),"",IF(SUMPRODUCT((nrInstrNames&lt;&gt;"")*ISNUMBER(SEARCH(nrInstrNames,$I357)))&gt;0,"OK","UNRECOGNIZED"))</f>
        <v/>
      </c>
      <c r="O357" s="17">
        <f>IF(OR($B357="",$D357="",$E357=""),"",IF($E357=$D357,"CHECK TIMES (start = end)",IF($F357&gt;12,"CHECK TIMES (End is before Start?)","OK")))</f>
        <v/>
      </c>
    </row>
    <row r="358">
      <c r="B358" s="18" t="n"/>
      <c r="C358" s="17">
        <f>IF($B358="","",TEXT($B358,"ddd"))</f>
        <v/>
      </c>
      <c r="D358" s="46" t="n"/>
      <c r="E358" s="46"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IF(OR($B358="",$I358=""),"",IF(SUMPRODUCT((nrInstrNames&lt;&gt;"")*ISNUMBER(SEARCH(nrInstrNames,$I358)))&gt;0,"OK","UNRECOGNIZED"))</f>
        <v/>
      </c>
      <c r="O358" s="17">
        <f>IF(OR($B358="",$D358="",$E358=""),"",IF($E358=$D358,"CHECK TIMES (start = end)",IF($F358&gt;12,"CHECK TIMES (End is before Start?)","OK")))</f>
        <v/>
      </c>
    </row>
    <row r="359">
      <c r="B359" s="18" t="n"/>
      <c r="C359" s="17">
        <f>IF($B359="","",TEXT($B359,"ddd"))</f>
        <v/>
      </c>
      <c r="D359" s="46" t="n"/>
      <c r="E359" s="46"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IF(OR($B359="",$I359=""),"",IF(SUMPRODUCT((nrInstrNames&lt;&gt;"")*ISNUMBER(SEARCH(nrInstrNames,$I359)))&gt;0,"OK","UNRECOGNIZED"))</f>
        <v/>
      </c>
      <c r="O359" s="17">
        <f>IF(OR($B359="",$D359="",$E359=""),"",IF($E359=$D359,"CHECK TIMES (start = end)",IF($F359&gt;12,"CHECK TIMES (End is before Start?)","OK")))</f>
        <v/>
      </c>
    </row>
    <row r="360">
      <c r="B360" s="18" t="n"/>
      <c r="C360" s="17">
        <f>IF($B360="","",TEXT($B360,"ddd"))</f>
        <v/>
      </c>
      <c r="D360" s="46" t="n"/>
      <c r="E360" s="46"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IF(OR($B360="",$I360=""),"",IF(SUMPRODUCT((nrInstrNames&lt;&gt;"")*ISNUMBER(SEARCH(nrInstrNames,$I360)))&gt;0,"OK","UNRECOGNIZED"))</f>
        <v/>
      </c>
      <c r="O360" s="17">
        <f>IF(OR($B360="",$D360="",$E360=""),"",IF($E360=$D360,"CHECK TIMES (start = end)",IF($F360&gt;12,"CHECK TIMES (End is before Start?)","OK")))</f>
        <v/>
      </c>
    </row>
    <row r="361">
      <c r="B361" s="18" t="n"/>
      <c r="C361" s="17">
        <f>IF($B361="","",TEXT($B361,"ddd"))</f>
        <v/>
      </c>
      <c r="D361" s="46" t="n"/>
      <c r="E361" s="46"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IF(OR($B361="",$I361=""),"",IF(SUMPRODUCT((nrInstrNames&lt;&gt;"")*ISNUMBER(SEARCH(nrInstrNames,$I361)))&gt;0,"OK","UNRECOGNIZED"))</f>
        <v/>
      </c>
      <c r="O361" s="17">
        <f>IF(OR($B361="",$D361="",$E361=""),"",IF($E361=$D361,"CHECK TIMES (start = end)",IF($F361&gt;12,"CHECK TIMES (End is before Start?)","OK")))</f>
        <v/>
      </c>
    </row>
    <row r="362">
      <c r="B362" s="18" t="n"/>
      <c r="C362" s="17">
        <f>IF($B362="","",TEXT($B362,"ddd"))</f>
        <v/>
      </c>
      <c r="D362" s="46" t="n"/>
      <c r="E362" s="46"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IF(OR($B362="",$I362=""),"",IF(SUMPRODUCT((nrInstrNames&lt;&gt;"")*ISNUMBER(SEARCH(nrInstrNames,$I362)))&gt;0,"OK","UNRECOGNIZED"))</f>
        <v/>
      </c>
      <c r="O362" s="17">
        <f>IF(OR($B362="",$D362="",$E362=""),"",IF($E362=$D362,"CHECK TIMES (start = end)",IF($F362&gt;12,"CHECK TIMES (End is before Start?)","OK")))</f>
        <v/>
      </c>
    </row>
    <row r="363">
      <c r="B363" s="18" t="n"/>
      <c r="C363" s="17">
        <f>IF($B363="","",TEXT($B363,"ddd"))</f>
        <v/>
      </c>
      <c r="D363" s="46" t="n"/>
      <c r="E363" s="46"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IF(OR($B363="",$I363=""),"",IF(SUMPRODUCT((nrInstrNames&lt;&gt;"")*ISNUMBER(SEARCH(nrInstrNames,$I363)))&gt;0,"OK","UNRECOGNIZED"))</f>
        <v/>
      </c>
      <c r="O363" s="17">
        <f>IF(OR($B363="",$D363="",$E363=""),"",IF($E363=$D363,"CHECK TIMES (start = end)",IF($F363&gt;12,"CHECK TIMES (End is before Start?)","OK")))</f>
        <v/>
      </c>
    </row>
    <row r="364">
      <c r="B364" s="18" t="n"/>
      <c r="C364" s="17">
        <f>IF($B364="","",TEXT($B364,"ddd"))</f>
        <v/>
      </c>
      <c r="D364" s="46" t="n"/>
      <c r="E364" s="46"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IF(OR($B364="",$I364=""),"",IF(SUMPRODUCT((nrInstrNames&lt;&gt;"")*ISNUMBER(SEARCH(nrInstrNames,$I364)))&gt;0,"OK","UNRECOGNIZED"))</f>
        <v/>
      </c>
      <c r="O364" s="17">
        <f>IF(OR($B364="",$D364="",$E364=""),"",IF($E364=$D364,"CHECK TIMES (start = end)",IF($F364&gt;12,"CHECK TIMES (End is before Start?)","OK")))</f>
        <v/>
      </c>
    </row>
    <row r="365">
      <c r="B365" s="18" t="n"/>
      <c r="C365" s="17">
        <f>IF($B365="","",TEXT($B365,"ddd"))</f>
        <v/>
      </c>
      <c r="D365" s="46" t="n"/>
      <c r="E365" s="46"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IF(OR($B365="",$I365=""),"",IF(SUMPRODUCT((nrInstrNames&lt;&gt;"")*ISNUMBER(SEARCH(nrInstrNames,$I365)))&gt;0,"OK","UNRECOGNIZED"))</f>
        <v/>
      </c>
      <c r="O365" s="17">
        <f>IF(OR($B365="",$D365="",$E365=""),"",IF($E365=$D365,"CHECK TIMES (start = end)",IF($F365&gt;12,"CHECK TIMES (End is before Start?)","OK")))</f>
        <v/>
      </c>
    </row>
    <row r="366">
      <c r="B366" s="18" t="n"/>
      <c r="C366" s="17">
        <f>IF($B366="","",TEXT($B366,"ddd"))</f>
        <v/>
      </c>
      <c r="D366" s="46" t="n"/>
      <c r="E366" s="46"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IF(OR($B366="",$I366=""),"",IF(SUMPRODUCT((nrInstrNames&lt;&gt;"")*ISNUMBER(SEARCH(nrInstrNames,$I366)))&gt;0,"OK","UNRECOGNIZED"))</f>
        <v/>
      </c>
      <c r="O366" s="17">
        <f>IF(OR($B366="",$D366="",$E366=""),"",IF($E366=$D366,"CHECK TIMES (start = end)",IF($F366&gt;12,"CHECK TIMES (End is before Start?)","OK")))</f>
        <v/>
      </c>
    </row>
    <row r="367">
      <c r="B367" s="18" t="n"/>
      <c r="C367" s="17">
        <f>IF($B367="","",TEXT($B367,"ddd"))</f>
        <v/>
      </c>
      <c r="D367" s="46" t="n"/>
      <c r="E367" s="46"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IF(OR($B367="",$I367=""),"",IF(SUMPRODUCT((nrInstrNames&lt;&gt;"")*ISNUMBER(SEARCH(nrInstrNames,$I367)))&gt;0,"OK","UNRECOGNIZED"))</f>
        <v/>
      </c>
      <c r="O367" s="17">
        <f>IF(OR($B367="",$D367="",$E367=""),"",IF($E367=$D367,"CHECK TIMES (start = end)",IF($F367&gt;12,"CHECK TIMES (End is before Start?)","OK")))</f>
        <v/>
      </c>
    </row>
    <row r="368">
      <c r="B368" s="18" t="n"/>
      <c r="C368" s="17">
        <f>IF($B368="","",TEXT($B368,"ddd"))</f>
        <v/>
      </c>
      <c r="D368" s="46" t="n"/>
      <c r="E368" s="46"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IF(OR($B368="",$I368=""),"",IF(SUMPRODUCT((nrInstrNames&lt;&gt;"")*ISNUMBER(SEARCH(nrInstrNames,$I368)))&gt;0,"OK","UNRECOGNIZED"))</f>
        <v/>
      </c>
      <c r="O368" s="17">
        <f>IF(OR($B368="",$D368="",$E368=""),"",IF($E368=$D368,"CHECK TIMES (start = end)",IF($F368&gt;12,"CHECK TIMES (End is before Start?)","OK")))</f>
        <v/>
      </c>
    </row>
    <row r="369">
      <c r="B369" s="18" t="n"/>
      <c r="C369" s="17">
        <f>IF($B369="","",TEXT($B369,"ddd"))</f>
        <v/>
      </c>
      <c r="D369" s="46" t="n"/>
      <c r="E369" s="46"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IF(OR($B369="",$I369=""),"",IF(SUMPRODUCT((nrInstrNames&lt;&gt;"")*ISNUMBER(SEARCH(nrInstrNames,$I369)))&gt;0,"OK","UNRECOGNIZED"))</f>
        <v/>
      </c>
      <c r="O369" s="17">
        <f>IF(OR($B369="",$D369="",$E369=""),"",IF($E369=$D369,"CHECK TIMES (start = end)",IF($F369&gt;12,"CHECK TIMES (End is before Start?)","OK")))</f>
        <v/>
      </c>
    </row>
    <row r="370">
      <c r="B370" s="18" t="n"/>
      <c r="C370" s="17">
        <f>IF($B370="","",TEXT($B370,"ddd"))</f>
        <v/>
      </c>
      <c r="D370" s="46" t="n"/>
      <c r="E370" s="46"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IF(OR($B370="",$I370=""),"",IF(SUMPRODUCT((nrInstrNames&lt;&gt;"")*ISNUMBER(SEARCH(nrInstrNames,$I370)))&gt;0,"OK","UNRECOGNIZED"))</f>
        <v/>
      </c>
      <c r="O370" s="17">
        <f>IF(OR($B370="",$D370="",$E370=""),"",IF($E370=$D370,"CHECK TIMES (start = end)",IF($F370&gt;12,"CHECK TIMES (End is before Start?)","OK")))</f>
        <v/>
      </c>
    </row>
    <row r="371">
      <c r="B371" s="18" t="n"/>
      <c r="C371" s="17">
        <f>IF($B371="","",TEXT($B371,"ddd"))</f>
        <v/>
      </c>
      <c r="D371" s="46" t="n"/>
      <c r="E371" s="46"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IF(OR($B371="",$I371=""),"",IF(SUMPRODUCT((nrInstrNames&lt;&gt;"")*ISNUMBER(SEARCH(nrInstrNames,$I371)))&gt;0,"OK","UNRECOGNIZED"))</f>
        <v/>
      </c>
      <c r="O371" s="17">
        <f>IF(OR($B371="",$D371="",$E371=""),"",IF($E371=$D371,"CHECK TIMES (start = end)",IF($F371&gt;12,"CHECK TIMES (End is before Start?)","OK")))</f>
        <v/>
      </c>
    </row>
    <row r="372">
      <c r="B372" s="18" t="n"/>
      <c r="C372" s="17">
        <f>IF($B372="","",TEXT($B372,"ddd"))</f>
        <v/>
      </c>
      <c r="D372" s="46" t="n"/>
      <c r="E372" s="46"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IF(OR($B372="",$I372=""),"",IF(SUMPRODUCT((nrInstrNames&lt;&gt;"")*ISNUMBER(SEARCH(nrInstrNames,$I372)))&gt;0,"OK","UNRECOGNIZED"))</f>
        <v/>
      </c>
      <c r="O372" s="17">
        <f>IF(OR($B372="",$D372="",$E372=""),"",IF($E372=$D372,"CHECK TIMES (start = end)",IF($F372&gt;12,"CHECK TIMES (End is before Start?)","OK")))</f>
        <v/>
      </c>
    </row>
    <row r="373">
      <c r="B373" s="18" t="n"/>
      <c r="C373" s="17">
        <f>IF($B373="","",TEXT($B373,"ddd"))</f>
        <v/>
      </c>
      <c r="D373" s="46" t="n"/>
      <c r="E373" s="46"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IF(OR($B373="",$I373=""),"",IF(SUMPRODUCT((nrInstrNames&lt;&gt;"")*ISNUMBER(SEARCH(nrInstrNames,$I373)))&gt;0,"OK","UNRECOGNIZED"))</f>
        <v/>
      </c>
      <c r="O373" s="17">
        <f>IF(OR($B373="",$D373="",$E373=""),"",IF($E373=$D373,"CHECK TIMES (start = end)",IF($F373&gt;12,"CHECK TIMES (End is before Start?)","OK")))</f>
        <v/>
      </c>
    </row>
    <row r="374">
      <c r="B374" s="18" t="n"/>
      <c r="C374" s="17">
        <f>IF($B374="","",TEXT($B374,"ddd"))</f>
        <v/>
      </c>
      <c r="D374" s="46" t="n"/>
      <c r="E374" s="46"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IF(OR($B374="",$I374=""),"",IF(SUMPRODUCT((nrInstrNames&lt;&gt;"")*ISNUMBER(SEARCH(nrInstrNames,$I374)))&gt;0,"OK","UNRECOGNIZED"))</f>
        <v/>
      </c>
      <c r="O374" s="17">
        <f>IF(OR($B374="",$D374="",$E374=""),"",IF($E374=$D374,"CHECK TIMES (start = end)",IF($F374&gt;12,"CHECK TIMES (End is before Start?)","OK")))</f>
        <v/>
      </c>
    </row>
    <row r="375">
      <c r="B375" s="18" t="n"/>
      <c r="C375" s="17">
        <f>IF($B375="","",TEXT($B375,"ddd"))</f>
        <v/>
      </c>
      <c r="D375" s="46" t="n"/>
      <c r="E375" s="46"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IF(OR($B375="",$I375=""),"",IF(SUMPRODUCT((nrInstrNames&lt;&gt;"")*ISNUMBER(SEARCH(nrInstrNames,$I375)))&gt;0,"OK","UNRECOGNIZED"))</f>
        <v/>
      </c>
      <c r="O375" s="17">
        <f>IF(OR($B375="",$D375="",$E375=""),"",IF($E375=$D375,"CHECK TIMES (start = end)",IF($F375&gt;12,"CHECK TIMES (End is before Start?)","OK")))</f>
        <v/>
      </c>
    </row>
    <row r="376">
      <c r="B376" s="18" t="n"/>
      <c r="C376" s="17">
        <f>IF($B376="","",TEXT($B376,"ddd"))</f>
        <v/>
      </c>
      <c r="D376" s="46" t="n"/>
      <c r="E376" s="46"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IF(OR($B376="",$I376=""),"",IF(SUMPRODUCT((nrInstrNames&lt;&gt;"")*ISNUMBER(SEARCH(nrInstrNames,$I376)))&gt;0,"OK","UNRECOGNIZED"))</f>
        <v/>
      </c>
      <c r="O376" s="17">
        <f>IF(OR($B376="",$D376="",$E376=""),"",IF($E376=$D376,"CHECK TIMES (start = end)",IF($F376&gt;12,"CHECK TIMES (End is before Start?)","OK")))</f>
        <v/>
      </c>
    </row>
    <row r="377">
      <c r="B377" s="18" t="n"/>
      <c r="C377" s="17">
        <f>IF($B377="","",TEXT($B377,"ddd"))</f>
        <v/>
      </c>
      <c r="D377" s="46" t="n"/>
      <c r="E377" s="46"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IF(OR($B377="",$I377=""),"",IF(SUMPRODUCT((nrInstrNames&lt;&gt;"")*ISNUMBER(SEARCH(nrInstrNames,$I377)))&gt;0,"OK","UNRECOGNIZED"))</f>
        <v/>
      </c>
      <c r="O377" s="17">
        <f>IF(OR($B377="",$D377="",$E377=""),"",IF($E377=$D377,"CHECK TIMES (start = end)",IF($F377&gt;12,"CHECK TIMES (End is before Start?)","OK")))</f>
        <v/>
      </c>
    </row>
    <row r="378">
      <c r="B378" s="18" t="n"/>
      <c r="C378" s="17">
        <f>IF($B378="","",TEXT($B378,"ddd"))</f>
        <v/>
      </c>
      <c r="D378" s="46" t="n"/>
      <c r="E378" s="46"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IF(OR($B378="",$I378=""),"",IF(SUMPRODUCT((nrInstrNames&lt;&gt;"")*ISNUMBER(SEARCH(nrInstrNames,$I378)))&gt;0,"OK","UNRECOGNIZED"))</f>
        <v/>
      </c>
      <c r="O378" s="17">
        <f>IF(OR($B378="",$D378="",$E378=""),"",IF($E378=$D378,"CHECK TIMES (start = end)",IF($F378&gt;12,"CHECK TIMES (End is before Start?)","OK")))</f>
        <v/>
      </c>
    </row>
    <row r="379">
      <c r="B379" s="18" t="n"/>
      <c r="C379" s="17">
        <f>IF($B379="","",TEXT($B379,"ddd"))</f>
        <v/>
      </c>
      <c r="D379" s="46" t="n"/>
      <c r="E379" s="46"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IF(OR($B379="",$I379=""),"",IF(SUMPRODUCT((nrInstrNames&lt;&gt;"")*ISNUMBER(SEARCH(nrInstrNames,$I379)))&gt;0,"OK","UNRECOGNIZED"))</f>
        <v/>
      </c>
      <c r="O379" s="17">
        <f>IF(OR($B379="",$D379="",$E379=""),"",IF($E379=$D379,"CHECK TIMES (start = end)",IF($F379&gt;12,"CHECK TIMES (End is before Start?)","OK")))</f>
        <v/>
      </c>
    </row>
    <row r="380">
      <c r="B380" s="18" t="n"/>
      <c r="C380" s="17">
        <f>IF($B380="","",TEXT($B380,"ddd"))</f>
        <v/>
      </c>
      <c r="D380" s="46" t="n"/>
      <c r="E380" s="46"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IF(OR($B380="",$I380=""),"",IF(SUMPRODUCT((nrInstrNames&lt;&gt;"")*ISNUMBER(SEARCH(nrInstrNames,$I380)))&gt;0,"OK","UNRECOGNIZED"))</f>
        <v/>
      </c>
      <c r="O380" s="17">
        <f>IF(OR($B380="",$D380="",$E380=""),"",IF($E380=$D380,"CHECK TIMES (start = end)",IF($F380&gt;12,"CHECK TIMES (End is before Start?)","OK")))</f>
        <v/>
      </c>
    </row>
    <row r="381">
      <c r="B381" s="18" t="n"/>
      <c r="C381" s="17">
        <f>IF($B381="","",TEXT($B381,"ddd"))</f>
        <v/>
      </c>
      <c r="D381" s="46" t="n"/>
      <c r="E381" s="46"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IF(OR($B381="",$I381=""),"",IF(SUMPRODUCT((nrInstrNames&lt;&gt;"")*ISNUMBER(SEARCH(nrInstrNames,$I381)))&gt;0,"OK","UNRECOGNIZED"))</f>
        <v/>
      </c>
      <c r="O381" s="17">
        <f>IF(OR($B381="",$D381="",$E381=""),"",IF($E381=$D381,"CHECK TIMES (start = end)",IF($F381&gt;12,"CHECK TIMES (End is before Start?)","OK")))</f>
        <v/>
      </c>
    </row>
    <row r="382">
      <c r="B382" s="18" t="n"/>
      <c r="C382" s="17">
        <f>IF($B382="","",TEXT($B382,"ddd"))</f>
        <v/>
      </c>
      <c r="D382" s="46" t="n"/>
      <c r="E382" s="46"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IF(OR($B382="",$I382=""),"",IF(SUMPRODUCT((nrInstrNames&lt;&gt;"")*ISNUMBER(SEARCH(nrInstrNames,$I382)))&gt;0,"OK","UNRECOGNIZED"))</f>
        <v/>
      </c>
      <c r="O382" s="17">
        <f>IF(OR($B382="",$D382="",$E382=""),"",IF($E382=$D382,"CHECK TIMES (start = end)",IF($F382&gt;12,"CHECK TIMES (End is before Start?)","OK")))</f>
        <v/>
      </c>
    </row>
    <row r="383">
      <c r="B383" s="18" t="n"/>
      <c r="C383" s="17">
        <f>IF($B383="","",TEXT($B383,"ddd"))</f>
        <v/>
      </c>
      <c r="D383" s="46" t="n"/>
      <c r="E383" s="46"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IF(OR($B383="",$I383=""),"",IF(SUMPRODUCT((nrInstrNames&lt;&gt;"")*ISNUMBER(SEARCH(nrInstrNames,$I383)))&gt;0,"OK","UNRECOGNIZED"))</f>
        <v/>
      </c>
      <c r="O383" s="17">
        <f>IF(OR($B383="",$D383="",$E383=""),"",IF($E383=$D383,"CHECK TIMES (start = end)",IF($F383&gt;12,"CHECK TIMES (End is before Start?)","OK")))</f>
        <v/>
      </c>
    </row>
    <row r="384">
      <c r="B384" s="18" t="n"/>
      <c r="C384" s="17">
        <f>IF($B384="","",TEXT($B384,"ddd"))</f>
        <v/>
      </c>
      <c r="D384" s="46" t="n"/>
      <c r="E384" s="46"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IF(OR($B384="",$I384=""),"",IF(SUMPRODUCT((nrInstrNames&lt;&gt;"")*ISNUMBER(SEARCH(nrInstrNames,$I384)))&gt;0,"OK","UNRECOGNIZED"))</f>
        <v/>
      </c>
      <c r="O384" s="17">
        <f>IF(OR($B384="",$D384="",$E384=""),"",IF($E384=$D384,"CHECK TIMES (start = end)",IF($F384&gt;12,"CHECK TIMES (End is before Start?)","OK")))</f>
        <v/>
      </c>
    </row>
    <row r="385">
      <c r="B385" s="18" t="n"/>
      <c r="C385" s="17">
        <f>IF($B385="","",TEXT($B385,"ddd"))</f>
        <v/>
      </c>
      <c r="D385" s="46" t="n"/>
      <c r="E385" s="46"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IF(OR($B385="",$I385=""),"",IF(SUMPRODUCT((nrInstrNames&lt;&gt;"")*ISNUMBER(SEARCH(nrInstrNames,$I385)))&gt;0,"OK","UNRECOGNIZED"))</f>
        <v/>
      </c>
      <c r="O385" s="17">
        <f>IF(OR($B385="",$D385="",$E385=""),"",IF($E385=$D385,"CHECK TIMES (start = end)",IF($F385&gt;12,"CHECK TIMES (End is before Start?)","OK")))</f>
        <v/>
      </c>
    </row>
    <row r="386">
      <c r="B386" s="18" t="n"/>
      <c r="C386" s="17">
        <f>IF($B386="","",TEXT($B386,"ddd"))</f>
        <v/>
      </c>
      <c r="D386" s="46" t="n"/>
      <c r="E386" s="46"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IF(OR($B386="",$I386=""),"",IF(SUMPRODUCT((nrInstrNames&lt;&gt;"")*ISNUMBER(SEARCH(nrInstrNames,$I386)))&gt;0,"OK","UNRECOGNIZED"))</f>
        <v/>
      </c>
      <c r="O386" s="17">
        <f>IF(OR($B386="",$D386="",$E386=""),"",IF($E386=$D386,"CHECK TIMES (start = end)",IF($F386&gt;12,"CHECK TIMES (End is before Start?)","OK")))</f>
        <v/>
      </c>
    </row>
    <row r="387">
      <c r="B387" s="18" t="n"/>
      <c r="C387" s="17">
        <f>IF($B387="","",TEXT($B387,"ddd"))</f>
        <v/>
      </c>
      <c r="D387" s="46" t="n"/>
      <c r="E387" s="46"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IF(OR($B387="",$I387=""),"",IF(SUMPRODUCT((nrInstrNames&lt;&gt;"")*ISNUMBER(SEARCH(nrInstrNames,$I387)))&gt;0,"OK","UNRECOGNIZED"))</f>
        <v/>
      </c>
      <c r="O387" s="17">
        <f>IF(OR($B387="",$D387="",$E387=""),"",IF($E387=$D387,"CHECK TIMES (start = end)",IF($F387&gt;12,"CHECK TIMES (End is before Start?)","OK")))</f>
        <v/>
      </c>
    </row>
    <row r="388">
      <c r="B388" s="18" t="n"/>
      <c r="C388" s="17">
        <f>IF($B388="","",TEXT($B388,"ddd"))</f>
        <v/>
      </c>
      <c r="D388" s="46" t="n"/>
      <c r="E388" s="46"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IF(OR($B388="",$I388=""),"",IF(SUMPRODUCT((nrInstrNames&lt;&gt;"")*ISNUMBER(SEARCH(nrInstrNames,$I388)))&gt;0,"OK","UNRECOGNIZED"))</f>
        <v/>
      </c>
      <c r="O388" s="17">
        <f>IF(OR($B388="",$D388="",$E388=""),"",IF($E388=$D388,"CHECK TIMES (start = end)",IF($F388&gt;12,"CHECK TIMES (End is before Start?)","OK")))</f>
        <v/>
      </c>
    </row>
    <row r="389">
      <c r="B389" s="18" t="n"/>
      <c r="C389" s="17">
        <f>IF($B389="","",TEXT($B389,"ddd"))</f>
        <v/>
      </c>
      <c r="D389" s="46" t="n"/>
      <c r="E389" s="46"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IF(OR($B389="",$I389=""),"",IF(SUMPRODUCT((nrInstrNames&lt;&gt;"")*ISNUMBER(SEARCH(nrInstrNames,$I389)))&gt;0,"OK","UNRECOGNIZED"))</f>
        <v/>
      </c>
      <c r="O389" s="17">
        <f>IF(OR($B389="",$D389="",$E389=""),"",IF($E389=$D389,"CHECK TIMES (start = end)",IF($F389&gt;12,"CHECK TIMES (End is before Start?)","OK")))</f>
        <v/>
      </c>
    </row>
    <row r="390">
      <c r="B390" s="18" t="n"/>
      <c r="C390" s="17">
        <f>IF($B390="","",TEXT($B390,"ddd"))</f>
        <v/>
      </c>
      <c r="D390" s="46" t="n"/>
      <c r="E390" s="46"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IF(OR($B390="",$I390=""),"",IF(SUMPRODUCT((nrInstrNames&lt;&gt;"")*ISNUMBER(SEARCH(nrInstrNames,$I390)))&gt;0,"OK","UNRECOGNIZED"))</f>
        <v/>
      </c>
      <c r="O390" s="17">
        <f>IF(OR($B390="",$D390="",$E390=""),"",IF($E390=$D390,"CHECK TIMES (start = end)",IF($F390&gt;12,"CHECK TIMES (End is before Start?)","OK")))</f>
        <v/>
      </c>
    </row>
    <row r="391">
      <c r="B391" s="18" t="n"/>
      <c r="C391" s="17">
        <f>IF($B391="","",TEXT($B391,"ddd"))</f>
        <v/>
      </c>
      <c r="D391" s="46" t="n"/>
      <c r="E391" s="46"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IF(OR($B391="",$I391=""),"",IF(SUMPRODUCT((nrInstrNames&lt;&gt;"")*ISNUMBER(SEARCH(nrInstrNames,$I391)))&gt;0,"OK","UNRECOGNIZED"))</f>
        <v/>
      </c>
      <c r="O391" s="17">
        <f>IF(OR($B391="",$D391="",$E391=""),"",IF($E391=$D391,"CHECK TIMES (start = end)",IF($F391&gt;12,"CHECK TIMES (End is before Start?)","OK")))</f>
        <v/>
      </c>
    </row>
    <row r="392">
      <c r="B392" s="18" t="n"/>
      <c r="C392" s="17">
        <f>IF($B392="","",TEXT($B392,"ddd"))</f>
        <v/>
      </c>
      <c r="D392" s="46" t="n"/>
      <c r="E392" s="46"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IF(OR($B392="",$I392=""),"",IF(SUMPRODUCT((nrInstrNames&lt;&gt;"")*ISNUMBER(SEARCH(nrInstrNames,$I392)))&gt;0,"OK","UNRECOGNIZED"))</f>
        <v/>
      </c>
      <c r="O392" s="17">
        <f>IF(OR($B392="",$D392="",$E392=""),"",IF($E392=$D392,"CHECK TIMES (start = end)",IF($F392&gt;12,"CHECK TIMES (End is before Start?)","OK")))</f>
        <v/>
      </c>
    </row>
    <row r="393">
      <c r="B393" s="18" t="n"/>
      <c r="C393" s="17">
        <f>IF($B393="","",TEXT($B393,"ddd"))</f>
        <v/>
      </c>
      <c r="D393" s="46" t="n"/>
      <c r="E393" s="46"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IF(OR($B393="",$I393=""),"",IF(SUMPRODUCT((nrInstrNames&lt;&gt;"")*ISNUMBER(SEARCH(nrInstrNames,$I393)))&gt;0,"OK","UNRECOGNIZED"))</f>
        <v/>
      </c>
      <c r="O393" s="17">
        <f>IF(OR($B393="",$D393="",$E393=""),"",IF($E393=$D393,"CHECK TIMES (start = end)",IF($F393&gt;12,"CHECK TIMES (End is before Start?)","OK")))</f>
        <v/>
      </c>
    </row>
    <row r="394">
      <c r="B394" s="18" t="n"/>
      <c r="C394" s="17">
        <f>IF($B394="","",TEXT($B394,"ddd"))</f>
        <v/>
      </c>
      <c r="D394" s="46" t="n"/>
      <c r="E394" s="46"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IF(OR($B394="",$I394=""),"",IF(SUMPRODUCT((nrInstrNames&lt;&gt;"")*ISNUMBER(SEARCH(nrInstrNames,$I394)))&gt;0,"OK","UNRECOGNIZED"))</f>
        <v/>
      </c>
      <c r="O394" s="17">
        <f>IF(OR($B394="",$D394="",$E394=""),"",IF($E394=$D394,"CHECK TIMES (start = end)",IF($F394&gt;12,"CHECK TIMES (End is before Start?)","OK")))</f>
        <v/>
      </c>
    </row>
    <row r="395">
      <c r="B395" s="18" t="n"/>
      <c r="C395" s="17">
        <f>IF($B395="","",TEXT($B395,"ddd"))</f>
        <v/>
      </c>
      <c r="D395" s="46" t="n"/>
      <c r="E395" s="46"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IF(OR($B395="",$I395=""),"",IF(SUMPRODUCT((nrInstrNames&lt;&gt;"")*ISNUMBER(SEARCH(nrInstrNames,$I395)))&gt;0,"OK","UNRECOGNIZED"))</f>
        <v/>
      </c>
      <c r="O395" s="17">
        <f>IF(OR($B395="",$D395="",$E395=""),"",IF($E395=$D395,"CHECK TIMES (start = end)",IF($F395&gt;12,"CHECK TIMES (End is before Start?)","OK")))</f>
        <v/>
      </c>
    </row>
    <row r="396">
      <c r="B396" s="18" t="n"/>
      <c r="C396" s="17">
        <f>IF($B396="","",TEXT($B396,"ddd"))</f>
        <v/>
      </c>
      <c r="D396" s="46" t="n"/>
      <c r="E396" s="46"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IF(OR($B396="",$I396=""),"",IF(SUMPRODUCT((nrInstrNames&lt;&gt;"")*ISNUMBER(SEARCH(nrInstrNames,$I396)))&gt;0,"OK","UNRECOGNIZED"))</f>
        <v/>
      </c>
      <c r="O396" s="17">
        <f>IF(OR($B396="",$D396="",$E396=""),"",IF($E396=$D396,"CHECK TIMES (start = end)",IF($F396&gt;12,"CHECK TIMES (End is before Start?)","OK")))</f>
        <v/>
      </c>
    </row>
    <row r="397">
      <c r="B397" s="18" t="n"/>
      <c r="C397" s="17">
        <f>IF($B397="","",TEXT($B397,"ddd"))</f>
        <v/>
      </c>
      <c r="D397" s="46" t="n"/>
      <c r="E397" s="46"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IF(OR($B397="",$I397=""),"",IF(SUMPRODUCT((nrInstrNames&lt;&gt;"")*ISNUMBER(SEARCH(nrInstrNames,$I397)))&gt;0,"OK","UNRECOGNIZED"))</f>
        <v/>
      </c>
      <c r="O397" s="17">
        <f>IF(OR($B397="",$D397="",$E397=""),"",IF($E397=$D397,"CHECK TIMES (start = end)",IF($F397&gt;12,"CHECK TIMES (End is before Start?)","OK")))</f>
        <v/>
      </c>
    </row>
    <row r="398">
      <c r="B398" s="18" t="n"/>
      <c r="C398" s="17">
        <f>IF($B398="","",TEXT($B398,"ddd"))</f>
        <v/>
      </c>
      <c r="D398" s="46" t="n"/>
      <c r="E398" s="46"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IF(OR($B398="",$I398=""),"",IF(SUMPRODUCT((nrInstrNames&lt;&gt;"")*ISNUMBER(SEARCH(nrInstrNames,$I398)))&gt;0,"OK","UNRECOGNIZED"))</f>
        <v/>
      </c>
      <c r="O398" s="17">
        <f>IF(OR($B398="",$D398="",$E398=""),"",IF($E398=$D398,"CHECK TIMES (start = end)",IF($F398&gt;12,"CHECK TIMES (End is before Start?)","OK")))</f>
        <v/>
      </c>
    </row>
    <row r="399">
      <c r="B399" s="18" t="n"/>
      <c r="C399" s="17">
        <f>IF($B399="","",TEXT($B399,"ddd"))</f>
        <v/>
      </c>
      <c r="D399" s="46" t="n"/>
      <c r="E399" s="46"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IF(OR($B399="",$I399=""),"",IF(SUMPRODUCT((nrInstrNames&lt;&gt;"")*ISNUMBER(SEARCH(nrInstrNames,$I399)))&gt;0,"OK","UNRECOGNIZED"))</f>
        <v/>
      </c>
      <c r="O399" s="17">
        <f>IF(OR($B399="",$D399="",$E399=""),"",IF($E399=$D399,"CHECK TIMES (start = end)",IF($F399&gt;12,"CHECK TIMES (End is before Start?)","OK")))</f>
        <v/>
      </c>
    </row>
    <row r="400">
      <c r="B400" s="18" t="n"/>
      <c r="C400" s="17">
        <f>IF($B400="","",TEXT($B400,"ddd"))</f>
        <v/>
      </c>
      <c r="D400" s="46" t="n"/>
      <c r="E400" s="46"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IF(OR($B400="",$I400=""),"",IF(SUMPRODUCT((nrInstrNames&lt;&gt;"")*ISNUMBER(SEARCH(nrInstrNames,$I400)))&gt;0,"OK","UNRECOGNIZED"))</f>
        <v/>
      </c>
      <c r="O400" s="17">
        <f>IF(OR($B400="",$D400="",$E400=""),"",IF($E400=$D400,"CHECK TIMES (start = end)",IF($F400&gt;12,"CHECK TIMES (End is before Start?)","OK")))</f>
        <v/>
      </c>
    </row>
    <row r="401">
      <c r="B401" s="18" t="n"/>
      <c r="C401" s="17">
        <f>IF($B401="","",TEXT($B401,"ddd"))</f>
        <v/>
      </c>
      <c r="D401" s="46" t="n"/>
      <c r="E401" s="46"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IF(OR($B401="",$I401=""),"",IF(SUMPRODUCT((nrInstrNames&lt;&gt;"")*ISNUMBER(SEARCH(nrInstrNames,$I401)))&gt;0,"OK","UNRECOGNIZED"))</f>
        <v/>
      </c>
      <c r="O401" s="17">
        <f>IF(OR($B401="",$D401="",$E401=""),"",IF($E401=$D401,"CHECK TIMES (start = end)",IF($F401&gt;12,"CHECK TIMES (End is before Start?)","OK")))</f>
        <v/>
      </c>
    </row>
    <row r="402">
      <c r="B402" s="18" t="n"/>
      <c r="C402" s="17">
        <f>IF($B402="","",TEXT($B402,"ddd"))</f>
        <v/>
      </c>
      <c r="D402" s="46" t="n"/>
      <c r="E402" s="46"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IF(OR($B402="",$I402=""),"",IF(SUMPRODUCT((nrInstrNames&lt;&gt;"")*ISNUMBER(SEARCH(nrInstrNames,$I402)))&gt;0,"OK","UNRECOGNIZED"))</f>
        <v/>
      </c>
      <c r="O402" s="17">
        <f>IF(OR($B402="",$D402="",$E402=""),"",IF($E402=$D402,"CHECK TIMES (start = end)",IF($F402&gt;12,"CHECK TIMES (End is before Start?)","OK")))</f>
        <v/>
      </c>
    </row>
    <row r="403">
      <c r="B403" s="18" t="n"/>
      <c r="C403" s="17">
        <f>IF($B403="","",TEXT($B403,"ddd"))</f>
        <v/>
      </c>
      <c r="D403" s="46" t="n"/>
      <c r="E403" s="46"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IF(OR($B403="",$I403=""),"",IF(SUMPRODUCT((nrInstrNames&lt;&gt;"")*ISNUMBER(SEARCH(nrInstrNames,$I403)))&gt;0,"OK","UNRECOGNIZED"))</f>
        <v/>
      </c>
      <c r="O403" s="17">
        <f>IF(OR($B403="",$D403="",$E403=""),"",IF($E403=$D403,"CHECK TIMES (start = end)",IF($F403&gt;12,"CHECK TIMES (End is before Start?)","OK")))</f>
        <v/>
      </c>
    </row>
    <row r="404">
      <c r="B404" s="18" t="n"/>
      <c r="C404" s="17">
        <f>IF($B404="","",TEXT($B404,"ddd"))</f>
        <v/>
      </c>
      <c r="D404" s="46" t="n"/>
      <c r="E404" s="46"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IF(OR($B404="",$I404=""),"",IF(SUMPRODUCT((nrInstrNames&lt;&gt;"")*ISNUMBER(SEARCH(nrInstrNames,$I404)))&gt;0,"OK","UNRECOGNIZED"))</f>
        <v/>
      </c>
      <c r="O404" s="17">
        <f>IF(OR($B404="",$D404="",$E404=""),"",IF($E404=$D404,"CHECK TIMES (start = end)",IF($F404&gt;12,"CHECK TIMES (End is before Start?)","OK")))</f>
        <v/>
      </c>
    </row>
    <row r="405">
      <c r="B405" s="18" t="n"/>
      <c r="C405" s="17">
        <f>IF($B405="","",TEXT($B405,"ddd"))</f>
        <v/>
      </c>
      <c r="D405" s="46" t="n"/>
      <c r="E405" s="46"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IF(OR($B405="",$I405=""),"",IF(SUMPRODUCT((nrInstrNames&lt;&gt;"")*ISNUMBER(SEARCH(nrInstrNames,$I405)))&gt;0,"OK","UNRECOGNIZED"))</f>
        <v/>
      </c>
      <c r="O405" s="17">
        <f>IF(OR($B405="",$D405="",$E405=""),"",IF($E405=$D405,"CHECK TIMES (start = end)",IF($F405&gt;12,"CHECK TIMES (End is before Start?)","OK")))</f>
        <v/>
      </c>
    </row>
    <row r="406">
      <c r="B406" s="18" t="n"/>
      <c r="C406" s="17">
        <f>IF($B406="","",TEXT($B406,"ddd"))</f>
        <v/>
      </c>
      <c r="D406" s="46" t="n"/>
      <c r="E406" s="46"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IF(OR($B406="",$I406=""),"",IF(SUMPRODUCT((nrInstrNames&lt;&gt;"")*ISNUMBER(SEARCH(nrInstrNames,$I406)))&gt;0,"OK","UNRECOGNIZED"))</f>
        <v/>
      </c>
      <c r="O406" s="17">
        <f>IF(OR($B406="",$D406="",$E406=""),"",IF($E406=$D406,"CHECK TIMES (start = end)",IF($F406&gt;12,"CHECK TIMES (End is before Start?)","OK")))</f>
        <v/>
      </c>
    </row>
    <row r="407">
      <c r="B407" s="18" t="n"/>
      <c r="C407" s="17">
        <f>IF($B407="","",TEXT($B407,"ddd"))</f>
        <v/>
      </c>
      <c r="D407" s="46" t="n"/>
      <c r="E407" s="46"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IF(OR($B407="",$I407=""),"",IF(SUMPRODUCT((nrInstrNames&lt;&gt;"")*ISNUMBER(SEARCH(nrInstrNames,$I407)))&gt;0,"OK","UNRECOGNIZED"))</f>
        <v/>
      </c>
      <c r="O407" s="17">
        <f>IF(OR($B407="",$D407="",$E407=""),"",IF($E407=$D407,"CHECK TIMES (start = end)",IF($F407&gt;12,"CHECK TIMES (End is before Start?)","OK")))</f>
        <v/>
      </c>
    </row>
    <row r="408">
      <c r="B408" s="18" t="n"/>
      <c r="C408" s="17">
        <f>IF($B408="","",TEXT($B408,"ddd"))</f>
        <v/>
      </c>
      <c r="D408" s="46" t="n"/>
      <c r="E408" s="46"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IF(OR($B408="",$I408=""),"",IF(SUMPRODUCT((nrInstrNames&lt;&gt;"")*ISNUMBER(SEARCH(nrInstrNames,$I408)))&gt;0,"OK","UNRECOGNIZED"))</f>
        <v/>
      </c>
      <c r="O408" s="17">
        <f>IF(OR($B408="",$D408="",$E408=""),"",IF($E408=$D408,"CHECK TIMES (start = end)",IF($F408&gt;12,"CHECK TIMES (End is before Start?)","OK")))</f>
        <v/>
      </c>
    </row>
    <row r="409">
      <c r="B409" s="18" t="n"/>
      <c r="C409" s="17">
        <f>IF($B409="","",TEXT($B409,"ddd"))</f>
        <v/>
      </c>
      <c r="D409" s="46" t="n"/>
      <c r="E409" s="46"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IF(OR($B409="",$I409=""),"",IF(SUMPRODUCT((nrInstrNames&lt;&gt;"")*ISNUMBER(SEARCH(nrInstrNames,$I409)))&gt;0,"OK","UNRECOGNIZED"))</f>
        <v/>
      </c>
      <c r="O409" s="17">
        <f>IF(OR($B409="",$D409="",$E409=""),"",IF($E409=$D409,"CHECK TIMES (start = end)",IF($F409&gt;12,"CHECK TIMES (End is before Start?)","OK")))</f>
        <v/>
      </c>
    </row>
    <row r="410">
      <c r="B410" s="18" t="n"/>
      <c r="C410" s="17">
        <f>IF($B410="","",TEXT($B410,"ddd"))</f>
        <v/>
      </c>
      <c r="D410" s="46" t="n"/>
      <c r="E410" s="46"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IF(OR($B410="",$I410=""),"",IF(SUMPRODUCT((nrInstrNames&lt;&gt;"")*ISNUMBER(SEARCH(nrInstrNames,$I410)))&gt;0,"OK","UNRECOGNIZED"))</f>
        <v/>
      </c>
      <c r="O410" s="17">
        <f>IF(OR($B410="",$D410="",$E410=""),"",IF($E410=$D410,"CHECK TIMES (start = end)",IF($F410&gt;12,"CHECK TIMES (End is before Start?)","OK")))</f>
        <v/>
      </c>
    </row>
    <row r="411">
      <c r="B411" s="18" t="n"/>
      <c r="C411" s="17">
        <f>IF($B411="","",TEXT($B411,"ddd"))</f>
        <v/>
      </c>
      <c r="D411" s="46" t="n"/>
      <c r="E411" s="46"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IF(OR($B411="",$I411=""),"",IF(SUMPRODUCT((nrInstrNames&lt;&gt;"")*ISNUMBER(SEARCH(nrInstrNames,$I411)))&gt;0,"OK","UNRECOGNIZED"))</f>
        <v/>
      </c>
      <c r="O411" s="17">
        <f>IF(OR($B411="",$D411="",$E411=""),"",IF($E411=$D411,"CHECK TIMES (start = end)",IF($F411&gt;12,"CHECK TIMES (End is before Start?)","OK")))</f>
        <v/>
      </c>
    </row>
    <row r="412">
      <c r="B412" s="18" t="n"/>
      <c r="C412" s="17">
        <f>IF($B412="","",TEXT($B412,"ddd"))</f>
        <v/>
      </c>
      <c r="D412" s="46" t="n"/>
      <c r="E412" s="46"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IF(OR($B412="",$I412=""),"",IF(SUMPRODUCT((nrInstrNames&lt;&gt;"")*ISNUMBER(SEARCH(nrInstrNames,$I412)))&gt;0,"OK","UNRECOGNIZED"))</f>
        <v/>
      </c>
      <c r="O412" s="17">
        <f>IF(OR($B412="",$D412="",$E412=""),"",IF($E412=$D412,"CHECK TIMES (start = end)",IF($F412&gt;12,"CHECK TIMES (End is before Start?)","OK")))</f>
        <v/>
      </c>
    </row>
    <row r="413">
      <c r="B413" s="18" t="n"/>
      <c r="C413" s="17">
        <f>IF($B413="","",TEXT($B413,"ddd"))</f>
        <v/>
      </c>
      <c r="D413" s="46" t="n"/>
      <c r="E413" s="46"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IF(OR($B413="",$I413=""),"",IF(SUMPRODUCT((nrInstrNames&lt;&gt;"")*ISNUMBER(SEARCH(nrInstrNames,$I413)))&gt;0,"OK","UNRECOGNIZED"))</f>
        <v/>
      </c>
      <c r="O413" s="17">
        <f>IF(OR($B413="",$D413="",$E413=""),"",IF($E413=$D413,"CHECK TIMES (start = end)",IF($F413&gt;12,"CHECK TIMES (End is before Start?)","OK")))</f>
        <v/>
      </c>
    </row>
    <row r="414">
      <c r="B414" s="18" t="n"/>
      <c r="C414" s="17">
        <f>IF($B414="","",TEXT($B414,"ddd"))</f>
        <v/>
      </c>
      <c r="D414" s="46" t="n"/>
      <c r="E414" s="46"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IF(OR($B414="",$I414=""),"",IF(SUMPRODUCT((nrInstrNames&lt;&gt;"")*ISNUMBER(SEARCH(nrInstrNames,$I414)))&gt;0,"OK","UNRECOGNIZED"))</f>
        <v/>
      </c>
      <c r="O414" s="17">
        <f>IF(OR($B414="",$D414="",$E414=""),"",IF($E414=$D414,"CHECK TIMES (start = end)",IF($F414&gt;12,"CHECK TIMES (End is before Start?)","OK")))</f>
        <v/>
      </c>
    </row>
    <row r="415">
      <c r="B415" s="18" t="n"/>
      <c r="C415" s="17">
        <f>IF($B415="","",TEXT($B415,"ddd"))</f>
        <v/>
      </c>
      <c r="D415" s="46" t="n"/>
      <c r="E415" s="46"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IF(OR($B415="",$I415=""),"",IF(SUMPRODUCT((nrInstrNames&lt;&gt;"")*ISNUMBER(SEARCH(nrInstrNames,$I415)))&gt;0,"OK","UNRECOGNIZED"))</f>
        <v/>
      </c>
      <c r="O415" s="17">
        <f>IF(OR($B415="",$D415="",$E415=""),"",IF($E415=$D415,"CHECK TIMES (start = end)",IF($F415&gt;12,"CHECK TIMES (End is before Start?)","OK")))</f>
        <v/>
      </c>
    </row>
    <row r="416">
      <c r="B416" s="18" t="n"/>
      <c r="C416" s="17">
        <f>IF($B416="","",TEXT($B416,"ddd"))</f>
        <v/>
      </c>
      <c r="D416" s="46" t="n"/>
      <c r="E416" s="46"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IF(OR($B416="",$I416=""),"",IF(SUMPRODUCT((nrInstrNames&lt;&gt;"")*ISNUMBER(SEARCH(nrInstrNames,$I416)))&gt;0,"OK","UNRECOGNIZED"))</f>
        <v/>
      </c>
      <c r="O416" s="17">
        <f>IF(OR($B416="",$D416="",$E416=""),"",IF($E416=$D416,"CHECK TIMES (start = end)",IF($F416&gt;12,"CHECK TIMES (End is before Start?)","OK")))</f>
        <v/>
      </c>
    </row>
    <row r="417">
      <c r="B417" s="18" t="n"/>
      <c r="C417" s="17">
        <f>IF($B417="","",TEXT($B417,"ddd"))</f>
        <v/>
      </c>
      <c r="D417" s="46" t="n"/>
      <c r="E417" s="46"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IF(OR($B417="",$I417=""),"",IF(SUMPRODUCT((nrInstrNames&lt;&gt;"")*ISNUMBER(SEARCH(nrInstrNames,$I417)))&gt;0,"OK","UNRECOGNIZED"))</f>
        <v/>
      </c>
      <c r="O417" s="17">
        <f>IF(OR($B417="",$D417="",$E417=""),"",IF($E417=$D417,"CHECK TIMES (start = end)",IF($F417&gt;12,"CHECK TIMES (End is before Start?)","OK")))</f>
        <v/>
      </c>
    </row>
    <row r="418">
      <c r="B418" s="18" t="n"/>
      <c r="C418" s="17">
        <f>IF($B418="","",TEXT($B418,"ddd"))</f>
        <v/>
      </c>
      <c r="D418" s="46" t="n"/>
      <c r="E418" s="46"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IF(OR($B418="",$I418=""),"",IF(SUMPRODUCT((nrInstrNames&lt;&gt;"")*ISNUMBER(SEARCH(nrInstrNames,$I418)))&gt;0,"OK","UNRECOGNIZED"))</f>
        <v/>
      </c>
      <c r="O418" s="17">
        <f>IF(OR($B418="",$D418="",$E418=""),"",IF($E418=$D418,"CHECK TIMES (start = end)",IF($F418&gt;12,"CHECK TIMES (End is before Start?)","OK")))</f>
        <v/>
      </c>
    </row>
    <row r="419">
      <c r="B419" s="18" t="n"/>
      <c r="C419" s="17">
        <f>IF($B419="","",TEXT($B419,"ddd"))</f>
        <v/>
      </c>
      <c r="D419" s="46" t="n"/>
      <c r="E419" s="46"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IF(OR($B419="",$I419=""),"",IF(SUMPRODUCT((nrInstrNames&lt;&gt;"")*ISNUMBER(SEARCH(nrInstrNames,$I419)))&gt;0,"OK","UNRECOGNIZED"))</f>
        <v/>
      </c>
      <c r="O419" s="17">
        <f>IF(OR($B419="",$D419="",$E419=""),"",IF($E419=$D419,"CHECK TIMES (start = end)",IF($F419&gt;12,"CHECK TIMES (End is before Start?)","OK")))</f>
        <v/>
      </c>
    </row>
    <row r="420">
      <c r="B420" s="18" t="n"/>
      <c r="C420" s="17">
        <f>IF($B420="","",TEXT($B420,"ddd"))</f>
        <v/>
      </c>
      <c r="D420" s="46" t="n"/>
      <c r="E420" s="46"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IF(OR($B420="",$I420=""),"",IF(SUMPRODUCT((nrInstrNames&lt;&gt;"")*ISNUMBER(SEARCH(nrInstrNames,$I420)))&gt;0,"OK","UNRECOGNIZED"))</f>
        <v/>
      </c>
      <c r="O420" s="17">
        <f>IF(OR($B420="",$D420="",$E420=""),"",IF($E420=$D420,"CHECK TIMES (start = end)",IF($F420&gt;12,"CHECK TIMES (End is before Start?)","OK")))</f>
        <v/>
      </c>
    </row>
    <row r="421">
      <c r="B421" s="18" t="n"/>
      <c r="C421" s="17">
        <f>IF($B421="","",TEXT($B421,"ddd"))</f>
        <v/>
      </c>
      <c r="D421" s="46" t="n"/>
      <c r="E421" s="46"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IF(OR($B421="",$I421=""),"",IF(SUMPRODUCT((nrInstrNames&lt;&gt;"")*ISNUMBER(SEARCH(nrInstrNames,$I421)))&gt;0,"OK","UNRECOGNIZED"))</f>
        <v/>
      </c>
      <c r="O421" s="17">
        <f>IF(OR($B421="",$D421="",$E421=""),"",IF($E421=$D421,"CHECK TIMES (start = end)",IF($F421&gt;12,"CHECK TIMES (End is before Start?)","OK")))</f>
        <v/>
      </c>
    </row>
    <row r="422">
      <c r="B422" s="18" t="n"/>
      <c r="C422" s="17">
        <f>IF($B422="","",TEXT($B422,"ddd"))</f>
        <v/>
      </c>
      <c r="D422" s="46" t="n"/>
      <c r="E422" s="46"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IF(OR($B422="",$I422=""),"",IF(SUMPRODUCT((nrInstrNames&lt;&gt;"")*ISNUMBER(SEARCH(nrInstrNames,$I422)))&gt;0,"OK","UNRECOGNIZED"))</f>
        <v/>
      </c>
      <c r="O422" s="17">
        <f>IF(OR($B422="",$D422="",$E422=""),"",IF($E422=$D422,"CHECK TIMES (start = end)",IF($F422&gt;12,"CHECK TIMES (End is before Start?)","OK")))</f>
        <v/>
      </c>
    </row>
    <row r="423">
      <c r="B423" s="18" t="n"/>
      <c r="C423" s="17">
        <f>IF($B423="","",TEXT($B423,"ddd"))</f>
        <v/>
      </c>
      <c r="D423" s="46" t="n"/>
      <c r="E423" s="46"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IF(OR($B423="",$I423=""),"",IF(SUMPRODUCT((nrInstrNames&lt;&gt;"")*ISNUMBER(SEARCH(nrInstrNames,$I423)))&gt;0,"OK","UNRECOGNIZED"))</f>
        <v/>
      </c>
      <c r="O423" s="17">
        <f>IF(OR($B423="",$D423="",$E423=""),"",IF($E423=$D423,"CHECK TIMES (start = end)",IF($F423&gt;12,"CHECK TIMES (End is before Start?)","OK")))</f>
        <v/>
      </c>
    </row>
    <row r="424">
      <c r="B424" s="18" t="n"/>
      <c r="C424" s="17">
        <f>IF($B424="","",TEXT($B424,"ddd"))</f>
        <v/>
      </c>
      <c r="D424" s="46" t="n"/>
      <c r="E424" s="46"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IF(OR($B424="",$I424=""),"",IF(SUMPRODUCT((nrInstrNames&lt;&gt;"")*ISNUMBER(SEARCH(nrInstrNames,$I424)))&gt;0,"OK","UNRECOGNIZED"))</f>
        <v/>
      </c>
      <c r="O424" s="17">
        <f>IF(OR($B424="",$D424="",$E424=""),"",IF($E424=$D424,"CHECK TIMES (start = end)",IF($F424&gt;12,"CHECK TIMES (End is before Start?)","OK")))</f>
        <v/>
      </c>
    </row>
    <row r="425">
      <c r="B425" s="18" t="n"/>
      <c r="C425" s="17">
        <f>IF($B425="","",TEXT($B425,"ddd"))</f>
        <v/>
      </c>
      <c r="D425" s="46" t="n"/>
      <c r="E425" s="46"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IF(OR($B425="",$I425=""),"",IF(SUMPRODUCT((nrInstrNames&lt;&gt;"")*ISNUMBER(SEARCH(nrInstrNames,$I425)))&gt;0,"OK","UNRECOGNIZED"))</f>
        <v/>
      </c>
      <c r="O425" s="17">
        <f>IF(OR($B425="",$D425="",$E425=""),"",IF($E425=$D425,"CHECK TIMES (start = end)",IF($F425&gt;12,"CHECK TIMES (End is before Start?)","OK")))</f>
        <v/>
      </c>
    </row>
    <row r="426">
      <c r="B426" s="18" t="n"/>
      <c r="C426" s="17">
        <f>IF($B426="","",TEXT($B426,"ddd"))</f>
        <v/>
      </c>
      <c r="D426" s="46" t="n"/>
      <c r="E426" s="46"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IF(OR($B426="",$I426=""),"",IF(SUMPRODUCT((nrInstrNames&lt;&gt;"")*ISNUMBER(SEARCH(nrInstrNames,$I426)))&gt;0,"OK","UNRECOGNIZED"))</f>
        <v/>
      </c>
      <c r="O426" s="17">
        <f>IF(OR($B426="",$D426="",$E426=""),"",IF($E426=$D426,"CHECK TIMES (start = end)",IF($F426&gt;12,"CHECK TIMES (End is before Start?)","OK")))</f>
        <v/>
      </c>
    </row>
    <row r="427">
      <c r="B427" s="18" t="n"/>
      <c r="C427" s="17">
        <f>IF($B427="","",TEXT($B427,"ddd"))</f>
        <v/>
      </c>
      <c r="D427" s="46" t="n"/>
      <c r="E427" s="46"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IF(OR($B427="",$I427=""),"",IF(SUMPRODUCT((nrInstrNames&lt;&gt;"")*ISNUMBER(SEARCH(nrInstrNames,$I427)))&gt;0,"OK","UNRECOGNIZED"))</f>
        <v/>
      </c>
      <c r="O427" s="17">
        <f>IF(OR($B427="",$D427="",$E427=""),"",IF($E427=$D427,"CHECK TIMES (start = end)",IF($F427&gt;12,"CHECK TIMES (End is before Start?)","OK")))</f>
        <v/>
      </c>
    </row>
    <row r="428">
      <c r="B428" s="18" t="n"/>
      <c r="C428" s="17">
        <f>IF($B428="","",TEXT($B428,"ddd"))</f>
        <v/>
      </c>
      <c r="D428" s="46" t="n"/>
      <c r="E428" s="46"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IF(OR($B428="",$I428=""),"",IF(SUMPRODUCT((nrInstrNames&lt;&gt;"")*ISNUMBER(SEARCH(nrInstrNames,$I428)))&gt;0,"OK","UNRECOGNIZED"))</f>
        <v/>
      </c>
      <c r="O428" s="17">
        <f>IF(OR($B428="",$D428="",$E428=""),"",IF($E428=$D428,"CHECK TIMES (start = end)",IF($F428&gt;12,"CHECK TIMES (End is before Start?)","OK")))</f>
        <v/>
      </c>
    </row>
    <row r="429">
      <c r="B429" s="18" t="n"/>
      <c r="C429" s="17">
        <f>IF($B429="","",TEXT($B429,"ddd"))</f>
        <v/>
      </c>
      <c r="D429" s="46" t="n"/>
      <c r="E429" s="46"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IF(OR($B429="",$I429=""),"",IF(SUMPRODUCT((nrInstrNames&lt;&gt;"")*ISNUMBER(SEARCH(nrInstrNames,$I429)))&gt;0,"OK","UNRECOGNIZED"))</f>
        <v/>
      </c>
      <c r="O429" s="17">
        <f>IF(OR($B429="",$D429="",$E429=""),"",IF($E429=$D429,"CHECK TIMES (start = end)",IF($F429&gt;12,"CHECK TIMES (End is before Start?)","OK")))</f>
        <v/>
      </c>
    </row>
    <row r="430">
      <c r="B430" s="18" t="n"/>
      <c r="C430" s="17">
        <f>IF($B430="","",TEXT($B430,"ddd"))</f>
        <v/>
      </c>
      <c r="D430" s="46" t="n"/>
      <c r="E430" s="46"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IF(OR($B430="",$I430=""),"",IF(SUMPRODUCT((nrInstrNames&lt;&gt;"")*ISNUMBER(SEARCH(nrInstrNames,$I430)))&gt;0,"OK","UNRECOGNIZED"))</f>
        <v/>
      </c>
      <c r="O430" s="17">
        <f>IF(OR($B430="",$D430="",$E430=""),"",IF($E430=$D430,"CHECK TIMES (start = end)",IF($F430&gt;12,"CHECK TIMES (End is before Start?)","OK")))</f>
        <v/>
      </c>
    </row>
    <row r="431">
      <c r="B431" s="18" t="n"/>
      <c r="C431" s="17">
        <f>IF($B431="","",TEXT($B431,"ddd"))</f>
        <v/>
      </c>
      <c r="D431" s="46" t="n"/>
      <c r="E431" s="46"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IF(OR($B431="",$I431=""),"",IF(SUMPRODUCT((nrInstrNames&lt;&gt;"")*ISNUMBER(SEARCH(nrInstrNames,$I431)))&gt;0,"OK","UNRECOGNIZED"))</f>
        <v/>
      </c>
      <c r="O431" s="17">
        <f>IF(OR($B431="",$D431="",$E431=""),"",IF($E431=$D431,"CHECK TIMES (start = end)",IF($F431&gt;12,"CHECK TIMES (End is before Start?)","OK")))</f>
        <v/>
      </c>
    </row>
    <row r="432">
      <c r="B432" s="18" t="n"/>
      <c r="C432" s="17">
        <f>IF($B432="","",TEXT($B432,"ddd"))</f>
        <v/>
      </c>
      <c r="D432" s="46" t="n"/>
      <c r="E432" s="46"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IF(OR($B432="",$I432=""),"",IF(SUMPRODUCT((nrInstrNames&lt;&gt;"")*ISNUMBER(SEARCH(nrInstrNames,$I432)))&gt;0,"OK","UNRECOGNIZED"))</f>
        <v/>
      </c>
      <c r="O432" s="17">
        <f>IF(OR($B432="",$D432="",$E432=""),"",IF($E432=$D432,"CHECK TIMES (start = end)",IF($F432&gt;12,"CHECK TIMES (End is before Start?)","OK")))</f>
        <v/>
      </c>
    </row>
    <row r="433">
      <c r="B433" s="18" t="n"/>
      <c r="C433" s="17">
        <f>IF($B433="","",TEXT($B433,"ddd"))</f>
        <v/>
      </c>
      <c r="D433" s="46" t="n"/>
      <c r="E433" s="46"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IF(OR($B433="",$I433=""),"",IF(SUMPRODUCT((nrInstrNames&lt;&gt;"")*ISNUMBER(SEARCH(nrInstrNames,$I433)))&gt;0,"OK","UNRECOGNIZED"))</f>
        <v/>
      </c>
      <c r="O433" s="17">
        <f>IF(OR($B433="",$D433="",$E433=""),"",IF($E433=$D433,"CHECK TIMES (start = end)",IF($F433&gt;12,"CHECK TIMES (End is before Start?)","OK")))</f>
        <v/>
      </c>
    </row>
    <row r="434">
      <c r="B434" s="18" t="n"/>
      <c r="C434" s="17">
        <f>IF($B434="","",TEXT($B434,"ddd"))</f>
        <v/>
      </c>
      <c r="D434" s="46" t="n"/>
      <c r="E434" s="46"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IF(OR($B434="",$I434=""),"",IF(SUMPRODUCT((nrInstrNames&lt;&gt;"")*ISNUMBER(SEARCH(nrInstrNames,$I434)))&gt;0,"OK","UNRECOGNIZED"))</f>
        <v/>
      </c>
      <c r="O434" s="17">
        <f>IF(OR($B434="",$D434="",$E434=""),"",IF($E434=$D434,"CHECK TIMES (start = end)",IF($F434&gt;12,"CHECK TIMES (End is before Start?)","OK")))</f>
        <v/>
      </c>
    </row>
    <row r="435">
      <c r="B435" s="18" t="n"/>
      <c r="C435" s="17">
        <f>IF($B435="","",TEXT($B435,"ddd"))</f>
        <v/>
      </c>
      <c r="D435" s="46" t="n"/>
      <c r="E435" s="46"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IF(OR($B435="",$I435=""),"",IF(SUMPRODUCT((nrInstrNames&lt;&gt;"")*ISNUMBER(SEARCH(nrInstrNames,$I435)))&gt;0,"OK","UNRECOGNIZED"))</f>
        <v/>
      </c>
      <c r="O435" s="17">
        <f>IF(OR($B435="",$D435="",$E435=""),"",IF($E435=$D435,"CHECK TIMES (start = end)",IF($F435&gt;12,"CHECK TIMES (End is before Start?)","OK")))</f>
        <v/>
      </c>
    </row>
    <row r="436">
      <c r="B436" s="18" t="n"/>
      <c r="C436" s="17">
        <f>IF($B436="","",TEXT($B436,"ddd"))</f>
        <v/>
      </c>
      <c r="D436" s="46" t="n"/>
      <c r="E436" s="46"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IF(OR($B436="",$I436=""),"",IF(SUMPRODUCT((nrInstrNames&lt;&gt;"")*ISNUMBER(SEARCH(nrInstrNames,$I436)))&gt;0,"OK","UNRECOGNIZED"))</f>
        <v/>
      </c>
      <c r="O436" s="17">
        <f>IF(OR($B436="",$D436="",$E436=""),"",IF($E436=$D436,"CHECK TIMES (start = end)",IF($F436&gt;12,"CHECK TIMES (End is before Start?)","OK")))</f>
        <v/>
      </c>
    </row>
    <row r="437">
      <c r="B437" s="18" t="n"/>
      <c r="C437" s="17">
        <f>IF($B437="","",TEXT($B437,"ddd"))</f>
        <v/>
      </c>
      <c r="D437" s="46" t="n"/>
      <c r="E437" s="46"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IF(OR($B437="",$I437=""),"",IF(SUMPRODUCT((nrInstrNames&lt;&gt;"")*ISNUMBER(SEARCH(nrInstrNames,$I437)))&gt;0,"OK","UNRECOGNIZED"))</f>
        <v/>
      </c>
      <c r="O437" s="17">
        <f>IF(OR($B437="",$D437="",$E437=""),"",IF($E437=$D437,"CHECK TIMES (start = end)",IF($F437&gt;12,"CHECK TIMES (End is before Start?)","OK")))</f>
        <v/>
      </c>
    </row>
    <row r="438">
      <c r="B438" s="18" t="n"/>
      <c r="C438" s="17">
        <f>IF($B438="","",TEXT($B438,"ddd"))</f>
        <v/>
      </c>
      <c r="D438" s="46" t="n"/>
      <c r="E438" s="46"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IF(OR($B438="",$I438=""),"",IF(SUMPRODUCT((nrInstrNames&lt;&gt;"")*ISNUMBER(SEARCH(nrInstrNames,$I438)))&gt;0,"OK","UNRECOGNIZED"))</f>
        <v/>
      </c>
      <c r="O438" s="17">
        <f>IF(OR($B438="",$D438="",$E438=""),"",IF($E438=$D438,"CHECK TIMES (start = end)",IF($F438&gt;12,"CHECK TIMES (End is before Start?)","OK")))</f>
        <v/>
      </c>
    </row>
    <row r="439">
      <c r="B439" s="18" t="n"/>
      <c r="C439" s="17">
        <f>IF($B439="","",TEXT($B439,"ddd"))</f>
        <v/>
      </c>
      <c r="D439" s="46" t="n"/>
      <c r="E439" s="46"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IF(OR($B439="",$I439=""),"",IF(SUMPRODUCT((nrInstrNames&lt;&gt;"")*ISNUMBER(SEARCH(nrInstrNames,$I439)))&gt;0,"OK","UNRECOGNIZED"))</f>
        <v/>
      </c>
      <c r="O439" s="17">
        <f>IF(OR($B439="",$D439="",$E439=""),"",IF($E439=$D439,"CHECK TIMES (start = end)",IF($F439&gt;12,"CHECK TIMES (End is before Start?)","OK")))</f>
        <v/>
      </c>
    </row>
    <row r="440">
      <c r="B440" s="18" t="n"/>
      <c r="C440" s="17">
        <f>IF($B440="","",TEXT($B440,"ddd"))</f>
        <v/>
      </c>
      <c r="D440" s="46" t="n"/>
      <c r="E440" s="46"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IF(OR($B440="",$I440=""),"",IF(SUMPRODUCT((nrInstrNames&lt;&gt;"")*ISNUMBER(SEARCH(nrInstrNames,$I440)))&gt;0,"OK","UNRECOGNIZED"))</f>
        <v/>
      </c>
      <c r="O440" s="17">
        <f>IF(OR($B440="",$D440="",$E440=""),"",IF($E440=$D440,"CHECK TIMES (start = end)",IF($F440&gt;12,"CHECK TIMES (End is before Start?)","OK")))</f>
        <v/>
      </c>
    </row>
    <row r="441">
      <c r="B441" s="18" t="n"/>
      <c r="C441" s="17">
        <f>IF($B441="","",TEXT($B441,"ddd"))</f>
        <v/>
      </c>
      <c r="D441" s="46" t="n"/>
      <c r="E441" s="46"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IF(OR($B441="",$I441=""),"",IF(SUMPRODUCT((nrInstrNames&lt;&gt;"")*ISNUMBER(SEARCH(nrInstrNames,$I441)))&gt;0,"OK","UNRECOGNIZED"))</f>
        <v/>
      </c>
      <c r="O441" s="17">
        <f>IF(OR($B441="",$D441="",$E441=""),"",IF($E441=$D441,"CHECK TIMES (start = end)",IF($F441&gt;12,"CHECK TIMES (End is before Start?)","OK")))</f>
        <v/>
      </c>
    </row>
    <row r="442">
      <c r="B442" s="18" t="n"/>
      <c r="C442" s="17">
        <f>IF($B442="","",TEXT($B442,"ddd"))</f>
        <v/>
      </c>
      <c r="D442" s="46" t="n"/>
      <c r="E442" s="46"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IF(OR($B442="",$I442=""),"",IF(SUMPRODUCT((nrInstrNames&lt;&gt;"")*ISNUMBER(SEARCH(nrInstrNames,$I442)))&gt;0,"OK","UNRECOGNIZED"))</f>
        <v/>
      </c>
      <c r="O442" s="17">
        <f>IF(OR($B442="",$D442="",$E442=""),"",IF($E442=$D442,"CHECK TIMES (start = end)",IF($F442&gt;12,"CHECK TIMES (End is before Start?)","OK")))</f>
        <v/>
      </c>
    </row>
    <row r="443">
      <c r="B443" s="18" t="n"/>
      <c r="C443" s="17">
        <f>IF($B443="","",TEXT($B443,"ddd"))</f>
        <v/>
      </c>
      <c r="D443" s="46" t="n"/>
      <c r="E443" s="46"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IF(OR($B443="",$I443=""),"",IF(SUMPRODUCT((nrInstrNames&lt;&gt;"")*ISNUMBER(SEARCH(nrInstrNames,$I443)))&gt;0,"OK","UNRECOGNIZED"))</f>
        <v/>
      </c>
      <c r="O443" s="17">
        <f>IF(OR($B443="",$D443="",$E443=""),"",IF($E443=$D443,"CHECK TIMES (start = end)",IF($F443&gt;12,"CHECK TIMES (End is before Start?)","OK")))</f>
        <v/>
      </c>
    </row>
    <row r="444">
      <c r="B444" s="18" t="n"/>
      <c r="C444" s="17">
        <f>IF($B444="","",TEXT($B444,"ddd"))</f>
        <v/>
      </c>
      <c r="D444" s="46" t="n"/>
      <c r="E444" s="46"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IF(OR($B444="",$I444=""),"",IF(SUMPRODUCT((nrInstrNames&lt;&gt;"")*ISNUMBER(SEARCH(nrInstrNames,$I444)))&gt;0,"OK","UNRECOGNIZED"))</f>
        <v/>
      </c>
      <c r="O444" s="17">
        <f>IF(OR($B444="",$D444="",$E444=""),"",IF($E444=$D444,"CHECK TIMES (start = end)",IF($F444&gt;12,"CHECK TIMES (End is before Start?)","OK")))</f>
        <v/>
      </c>
    </row>
    <row r="445">
      <c r="B445" s="18" t="n"/>
      <c r="C445" s="17">
        <f>IF($B445="","",TEXT($B445,"ddd"))</f>
        <v/>
      </c>
      <c r="D445" s="46" t="n"/>
      <c r="E445" s="46"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IF(OR($B445="",$I445=""),"",IF(SUMPRODUCT((nrInstrNames&lt;&gt;"")*ISNUMBER(SEARCH(nrInstrNames,$I445)))&gt;0,"OK","UNRECOGNIZED"))</f>
        <v/>
      </c>
      <c r="O445" s="17">
        <f>IF(OR($B445="",$D445="",$E445=""),"",IF($E445=$D445,"CHECK TIMES (start = end)",IF($F445&gt;12,"CHECK TIMES (End is before Start?)","OK")))</f>
        <v/>
      </c>
    </row>
    <row r="446">
      <c r="B446" s="18" t="n"/>
      <c r="C446" s="17">
        <f>IF($B446="","",TEXT($B446,"ddd"))</f>
        <v/>
      </c>
      <c r="D446" s="46" t="n"/>
      <c r="E446" s="46"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IF(OR($B446="",$I446=""),"",IF(SUMPRODUCT((nrInstrNames&lt;&gt;"")*ISNUMBER(SEARCH(nrInstrNames,$I446)))&gt;0,"OK","UNRECOGNIZED"))</f>
        <v/>
      </c>
      <c r="O446" s="17">
        <f>IF(OR($B446="",$D446="",$E446=""),"",IF($E446=$D446,"CHECK TIMES (start = end)",IF($F446&gt;12,"CHECK TIMES (End is before Start?)","OK")))</f>
        <v/>
      </c>
    </row>
    <row r="447">
      <c r="B447" s="18" t="n"/>
      <c r="C447" s="17">
        <f>IF($B447="","",TEXT($B447,"ddd"))</f>
        <v/>
      </c>
      <c r="D447" s="46" t="n"/>
      <c r="E447" s="46"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IF(OR($B447="",$I447=""),"",IF(SUMPRODUCT((nrInstrNames&lt;&gt;"")*ISNUMBER(SEARCH(nrInstrNames,$I447)))&gt;0,"OK","UNRECOGNIZED"))</f>
        <v/>
      </c>
      <c r="O447" s="17">
        <f>IF(OR($B447="",$D447="",$E447=""),"",IF($E447=$D447,"CHECK TIMES (start = end)",IF($F447&gt;12,"CHECK TIMES (End is before Start?)","OK")))</f>
        <v/>
      </c>
    </row>
    <row r="448">
      <c r="B448" s="18" t="n"/>
      <c r="C448" s="17">
        <f>IF($B448="","",TEXT($B448,"ddd"))</f>
        <v/>
      </c>
      <c r="D448" s="46" t="n"/>
      <c r="E448" s="46"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IF(OR($B448="",$I448=""),"",IF(SUMPRODUCT((nrInstrNames&lt;&gt;"")*ISNUMBER(SEARCH(nrInstrNames,$I448)))&gt;0,"OK","UNRECOGNIZED"))</f>
        <v/>
      </c>
      <c r="O448" s="17">
        <f>IF(OR($B448="",$D448="",$E448=""),"",IF($E448=$D448,"CHECK TIMES (start = end)",IF($F448&gt;12,"CHECK TIMES (End is before Start?)","OK")))</f>
        <v/>
      </c>
    </row>
    <row r="449">
      <c r="B449" s="18" t="n"/>
      <c r="C449" s="17">
        <f>IF($B449="","",TEXT($B449,"ddd"))</f>
        <v/>
      </c>
      <c r="D449" s="46" t="n"/>
      <c r="E449" s="46"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IF(OR($B449="",$I449=""),"",IF(SUMPRODUCT((nrInstrNames&lt;&gt;"")*ISNUMBER(SEARCH(nrInstrNames,$I449)))&gt;0,"OK","UNRECOGNIZED"))</f>
        <v/>
      </c>
      <c r="O449" s="17">
        <f>IF(OR($B449="",$D449="",$E449=""),"",IF($E449=$D449,"CHECK TIMES (start = end)",IF($F449&gt;12,"CHECK TIMES (End is before Start?)","OK")))</f>
        <v/>
      </c>
    </row>
    <row r="450">
      <c r="B450" s="18" t="n"/>
      <c r="C450" s="17">
        <f>IF($B450="","",TEXT($B450,"ddd"))</f>
        <v/>
      </c>
      <c r="D450" s="46" t="n"/>
      <c r="E450" s="46"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IF(OR($B450="",$I450=""),"",IF(SUMPRODUCT((nrInstrNames&lt;&gt;"")*ISNUMBER(SEARCH(nrInstrNames,$I450)))&gt;0,"OK","UNRECOGNIZED"))</f>
        <v/>
      </c>
      <c r="O450" s="17">
        <f>IF(OR($B450="",$D450="",$E450=""),"",IF($E450=$D450,"CHECK TIMES (start = end)",IF($F450&gt;12,"CHECK TIMES (End is before Start?)","OK")))</f>
        <v/>
      </c>
    </row>
    <row r="451">
      <c r="B451" s="18" t="n"/>
      <c r="C451" s="17">
        <f>IF($B451="","",TEXT($B451,"ddd"))</f>
        <v/>
      </c>
      <c r="D451" s="46" t="n"/>
      <c r="E451" s="46"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IF(OR($B451="",$I451=""),"",IF(SUMPRODUCT((nrInstrNames&lt;&gt;"")*ISNUMBER(SEARCH(nrInstrNames,$I451)))&gt;0,"OK","UNRECOGNIZED"))</f>
        <v/>
      </c>
      <c r="O451" s="17">
        <f>IF(OR($B451="",$D451="",$E451=""),"",IF($E451=$D451,"CHECK TIMES (start = end)",IF($F451&gt;12,"CHECK TIMES (End is before Start?)","OK")))</f>
        <v/>
      </c>
    </row>
    <row r="452">
      <c r="B452" s="18" t="n"/>
      <c r="C452" s="17">
        <f>IF($B452="","",TEXT($B452,"ddd"))</f>
        <v/>
      </c>
      <c r="D452" s="46" t="n"/>
      <c r="E452" s="46"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IF(OR($B452="",$I452=""),"",IF(SUMPRODUCT((nrInstrNames&lt;&gt;"")*ISNUMBER(SEARCH(nrInstrNames,$I452)))&gt;0,"OK","UNRECOGNIZED"))</f>
        <v/>
      </c>
      <c r="O452" s="17">
        <f>IF(OR($B452="",$D452="",$E452=""),"",IF($E452=$D452,"CHECK TIMES (start = end)",IF($F452&gt;12,"CHECK TIMES (End is before Start?)","OK")))</f>
        <v/>
      </c>
    </row>
    <row r="453">
      <c r="B453" s="18" t="n"/>
      <c r="C453" s="17">
        <f>IF($B453="","",TEXT($B453,"ddd"))</f>
        <v/>
      </c>
      <c r="D453" s="46" t="n"/>
      <c r="E453" s="46"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IF(OR($B453="",$I453=""),"",IF(SUMPRODUCT((nrInstrNames&lt;&gt;"")*ISNUMBER(SEARCH(nrInstrNames,$I453)))&gt;0,"OK","UNRECOGNIZED"))</f>
        <v/>
      </c>
      <c r="O453" s="17">
        <f>IF(OR($B453="",$D453="",$E453=""),"",IF($E453=$D453,"CHECK TIMES (start = end)",IF($F453&gt;12,"CHECK TIMES (End is before Start?)","OK")))</f>
        <v/>
      </c>
    </row>
    <row r="454">
      <c r="B454" s="18" t="n"/>
      <c r="C454" s="17">
        <f>IF($B454="","",TEXT($B454,"ddd"))</f>
        <v/>
      </c>
      <c r="D454" s="46" t="n"/>
      <c r="E454" s="46"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IF(OR($B454="",$I454=""),"",IF(SUMPRODUCT((nrInstrNames&lt;&gt;"")*ISNUMBER(SEARCH(nrInstrNames,$I454)))&gt;0,"OK","UNRECOGNIZED"))</f>
        <v/>
      </c>
      <c r="O454" s="17">
        <f>IF(OR($B454="",$D454="",$E454=""),"",IF($E454=$D454,"CHECK TIMES (start = end)",IF($F454&gt;12,"CHECK TIMES (End is before Start?)","OK")))</f>
        <v/>
      </c>
    </row>
    <row r="455">
      <c r="B455" s="18" t="n"/>
      <c r="C455" s="17">
        <f>IF($B455="","",TEXT($B455,"ddd"))</f>
        <v/>
      </c>
      <c r="D455" s="46" t="n"/>
      <c r="E455" s="46"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IF(OR($B455="",$I455=""),"",IF(SUMPRODUCT((nrInstrNames&lt;&gt;"")*ISNUMBER(SEARCH(nrInstrNames,$I455)))&gt;0,"OK","UNRECOGNIZED"))</f>
        <v/>
      </c>
      <c r="O455" s="17">
        <f>IF(OR($B455="",$D455="",$E455=""),"",IF($E455=$D455,"CHECK TIMES (start = end)",IF($F455&gt;12,"CHECK TIMES (End is before Start?)","OK")))</f>
        <v/>
      </c>
    </row>
    <row r="456">
      <c r="B456" s="18" t="n"/>
      <c r="C456" s="17">
        <f>IF($B456="","",TEXT($B456,"ddd"))</f>
        <v/>
      </c>
      <c r="D456" s="46" t="n"/>
      <c r="E456" s="46"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IF(OR($B456="",$I456=""),"",IF(SUMPRODUCT((nrInstrNames&lt;&gt;"")*ISNUMBER(SEARCH(nrInstrNames,$I456)))&gt;0,"OK","UNRECOGNIZED"))</f>
        <v/>
      </c>
      <c r="O456" s="17">
        <f>IF(OR($B456="",$D456="",$E456=""),"",IF($E456=$D456,"CHECK TIMES (start = end)",IF($F456&gt;12,"CHECK TIMES (End is before Start?)","OK")))</f>
        <v/>
      </c>
    </row>
    <row r="457">
      <c r="B457" s="18" t="n"/>
      <c r="C457" s="17">
        <f>IF($B457="","",TEXT($B457,"ddd"))</f>
        <v/>
      </c>
      <c r="D457" s="46" t="n"/>
      <c r="E457" s="46"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IF(OR($B457="",$I457=""),"",IF(SUMPRODUCT((nrInstrNames&lt;&gt;"")*ISNUMBER(SEARCH(nrInstrNames,$I457)))&gt;0,"OK","UNRECOGNIZED"))</f>
        <v/>
      </c>
      <c r="O457" s="17">
        <f>IF(OR($B457="",$D457="",$E457=""),"",IF($E457=$D457,"CHECK TIMES (start = end)",IF($F457&gt;12,"CHECK TIMES (End is before Start?)","OK")))</f>
        <v/>
      </c>
    </row>
    <row r="458">
      <c r="B458" s="18" t="n"/>
      <c r="C458" s="17">
        <f>IF($B458="","",TEXT($B458,"ddd"))</f>
        <v/>
      </c>
      <c r="D458" s="46" t="n"/>
      <c r="E458" s="46"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IF(OR($B458="",$I458=""),"",IF(SUMPRODUCT((nrInstrNames&lt;&gt;"")*ISNUMBER(SEARCH(nrInstrNames,$I458)))&gt;0,"OK","UNRECOGNIZED"))</f>
        <v/>
      </c>
      <c r="O458" s="17">
        <f>IF(OR($B458="",$D458="",$E458=""),"",IF($E458=$D458,"CHECK TIMES (start = end)",IF($F458&gt;12,"CHECK TIMES (End is before Start?)","OK")))</f>
        <v/>
      </c>
    </row>
    <row r="459">
      <c r="B459" s="18" t="n"/>
      <c r="C459" s="17">
        <f>IF($B459="","",TEXT($B459,"ddd"))</f>
        <v/>
      </c>
      <c r="D459" s="46" t="n"/>
      <c r="E459" s="46"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IF(OR($B459="",$I459=""),"",IF(SUMPRODUCT((nrInstrNames&lt;&gt;"")*ISNUMBER(SEARCH(nrInstrNames,$I459)))&gt;0,"OK","UNRECOGNIZED"))</f>
        <v/>
      </c>
      <c r="O459" s="17">
        <f>IF(OR($B459="",$D459="",$E459=""),"",IF($E459=$D459,"CHECK TIMES (start = end)",IF($F459&gt;12,"CHECK TIMES (End is before Start?)","OK")))</f>
        <v/>
      </c>
    </row>
    <row r="460">
      <c r="B460" s="18" t="n"/>
      <c r="C460" s="17">
        <f>IF($B460="","",TEXT($B460,"ddd"))</f>
        <v/>
      </c>
      <c r="D460" s="46" t="n"/>
      <c r="E460" s="46"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IF(OR($B460="",$I460=""),"",IF(SUMPRODUCT((nrInstrNames&lt;&gt;"")*ISNUMBER(SEARCH(nrInstrNames,$I460)))&gt;0,"OK","UNRECOGNIZED"))</f>
        <v/>
      </c>
      <c r="O460" s="17">
        <f>IF(OR($B460="",$D460="",$E460=""),"",IF($E460=$D460,"CHECK TIMES (start = end)",IF($F460&gt;12,"CHECK TIMES (End is before Start?)","OK")))</f>
        <v/>
      </c>
    </row>
    <row r="461">
      <c r="B461" s="18" t="n"/>
      <c r="C461" s="17">
        <f>IF($B461="","",TEXT($B461,"ddd"))</f>
        <v/>
      </c>
      <c r="D461" s="46" t="n"/>
      <c r="E461" s="46"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IF(OR($B461="",$I461=""),"",IF(SUMPRODUCT((nrInstrNames&lt;&gt;"")*ISNUMBER(SEARCH(nrInstrNames,$I461)))&gt;0,"OK","UNRECOGNIZED"))</f>
        <v/>
      </c>
      <c r="O461" s="17">
        <f>IF(OR($B461="",$D461="",$E461=""),"",IF($E461=$D461,"CHECK TIMES (start = end)",IF($F461&gt;12,"CHECK TIMES (End is before Start?)","OK")))</f>
        <v/>
      </c>
    </row>
    <row r="462">
      <c r="B462" s="18" t="n"/>
      <c r="C462" s="17">
        <f>IF($B462="","",TEXT($B462,"ddd"))</f>
        <v/>
      </c>
      <c r="D462" s="46" t="n"/>
      <c r="E462" s="46"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IF(OR($B462="",$I462=""),"",IF(SUMPRODUCT((nrInstrNames&lt;&gt;"")*ISNUMBER(SEARCH(nrInstrNames,$I462)))&gt;0,"OK","UNRECOGNIZED"))</f>
        <v/>
      </c>
      <c r="O462" s="17">
        <f>IF(OR($B462="",$D462="",$E462=""),"",IF($E462=$D462,"CHECK TIMES (start = end)",IF($F462&gt;12,"CHECK TIMES (End is before Start?)","OK")))</f>
        <v/>
      </c>
    </row>
    <row r="463">
      <c r="B463" s="18" t="n"/>
      <c r="C463" s="17">
        <f>IF($B463="","",TEXT($B463,"ddd"))</f>
        <v/>
      </c>
      <c r="D463" s="46" t="n"/>
      <c r="E463" s="46"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IF(OR($B463="",$I463=""),"",IF(SUMPRODUCT((nrInstrNames&lt;&gt;"")*ISNUMBER(SEARCH(nrInstrNames,$I463)))&gt;0,"OK","UNRECOGNIZED"))</f>
        <v/>
      </c>
      <c r="O463" s="17">
        <f>IF(OR($B463="",$D463="",$E463=""),"",IF($E463=$D463,"CHECK TIMES (start = end)",IF($F463&gt;12,"CHECK TIMES (End is before Start?)","OK")))</f>
        <v/>
      </c>
    </row>
    <row r="464">
      <c r="B464" s="18" t="n"/>
      <c r="C464" s="17">
        <f>IF($B464="","",TEXT($B464,"ddd"))</f>
        <v/>
      </c>
      <c r="D464" s="46" t="n"/>
      <c r="E464" s="46"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IF(OR($B464="",$I464=""),"",IF(SUMPRODUCT((nrInstrNames&lt;&gt;"")*ISNUMBER(SEARCH(nrInstrNames,$I464)))&gt;0,"OK","UNRECOGNIZED"))</f>
        <v/>
      </c>
      <c r="O464" s="17">
        <f>IF(OR($B464="",$D464="",$E464=""),"",IF($E464=$D464,"CHECK TIMES (start = end)",IF($F464&gt;12,"CHECK TIMES (End is before Start?)","OK")))</f>
        <v/>
      </c>
    </row>
    <row r="465">
      <c r="B465" s="18" t="n"/>
      <c r="C465" s="17">
        <f>IF($B465="","",TEXT($B465,"ddd"))</f>
        <v/>
      </c>
      <c r="D465" s="46" t="n"/>
      <c r="E465" s="46"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IF(OR($B465="",$I465=""),"",IF(SUMPRODUCT((nrInstrNames&lt;&gt;"")*ISNUMBER(SEARCH(nrInstrNames,$I465)))&gt;0,"OK","UNRECOGNIZED"))</f>
        <v/>
      </c>
      <c r="O465" s="17">
        <f>IF(OR($B465="",$D465="",$E465=""),"",IF($E465=$D465,"CHECK TIMES (start = end)",IF($F465&gt;12,"CHECK TIMES (End is before Start?)","OK")))</f>
        <v/>
      </c>
    </row>
    <row r="466">
      <c r="B466" s="18" t="n"/>
      <c r="C466" s="17">
        <f>IF($B466="","",TEXT($B466,"ddd"))</f>
        <v/>
      </c>
      <c r="D466" s="46" t="n"/>
      <c r="E466" s="46"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IF(OR($B466="",$I466=""),"",IF(SUMPRODUCT((nrInstrNames&lt;&gt;"")*ISNUMBER(SEARCH(nrInstrNames,$I466)))&gt;0,"OK","UNRECOGNIZED"))</f>
        <v/>
      </c>
      <c r="O466" s="17">
        <f>IF(OR($B466="",$D466="",$E466=""),"",IF($E466=$D466,"CHECK TIMES (start = end)",IF($F466&gt;12,"CHECK TIMES (End is before Start?)","OK")))</f>
        <v/>
      </c>
    </row>
    <row r="467">
      <c r="B467" s="18" t="n"/>
      <c r="C467" s="17">
        <f>IF($B467="","",TEXT($B467,"ddd"))</f>
        <v/>
      </c>
      <c r="D467" s="46" t="n"/>
      <c r="E467" s="46"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IF(OR($B467="",$I467=""),"",IF(SUMPRODUCT((nrInstrNames&lt;&gt;"")*ISNUMBER(SEARCH(nrInstrNames,$I467)))&gt;0,"OK","UNRECOGNIZED"))</f>
        <v/>
      </c>
      <c r="O467" s="17">
        <f>IF(OR($B467="",$D467="",$E467=""),"",IF($E467=$D467,"CHECK TIMES (start = end)",IF($F467&gt;12,"CHECK TIMES (End is before Start?)","OK")))</f>
        <v/>
      </c>
    </row>
    <row r="468">
      <c r="B468" s="18" t="n"/>
      <c r="C468" s="17">
        <f>IF($B468="","",TEXT($B468,"ddd"))</f>
        <v/>
      </c>
      <c r="D468" s="46" t="n"/>
      <c r="E468" s="46"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IF(OR($B468="",$I468=""),"",IF(SUMPRODUCT((nrInstrNames&lt;&gt;"")*ISNUMBER(SEARCH(nrInstrNames,$I468)))&gt;0,"OK","UNRECOGNIZED"))</f>
        <v/>
      </c>
      <c r="O468" s="17">
        <f>IF(OR($B468="",$D468="",$E468=""),"",IF($E468=$D468,"CHECK TIMES (start = end)",IF($F468&gt;12,"CHECK TIMES (End is before Start?)","OK")))</f>
        <v/>
      </c>
    </row>
    <row r="469">
      <c r="B469" s="18" t="n"/>
      <c r="C469" s="17">
        <f>IF($B469="","",TEXT($B469,"ddd"))</f>
        <v/>
      </c>
      <c r="D469" s="46" t="n"/>
      <c r="E469" s="46"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IF(OR($B469="",$I469=""),"",IF(SUMPRODUCT((nrInstrNames&lt;&gt;"")*ISNUMBER(SEARCH(nrInstrNames,$I469)))&gt;0,"OK","UNRECOGNIZED"))</f>
        <v/>
      </c>
      <c r="O469" s="17">
        <f>IF(OR($B469="",$D469="",$E469=""),"",IF($E469=$D469,"CHECK TIMES (start = end)",IF($F469&gt;12,"CHECK TIMES (End is before Start?)","OK")))</f>
        <v/>
      </c>
    </row>
    <row r="470">
      <c r="B470" s="18" t="n"/>
      <c r="C470" s="17">
        <f>IF($B470="","",TEXT($B470,"ddd"))</f>
        <v/>
      </c>
      <c r="D470" s="46" t="n"/>
      <c r="E470" s="46"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IF(OR($B470="",$I470=""),"",IF(SUMPRODUCT((nrInstrNames&lt;&gt;"")*ISNUMBER(SEARCH(nrInstrNames,$I470)))&gt;0,"OK","UNRECOGNIZED"))</f>
        <v/>
      </c>
      <c r="O470" s="17">
        <f>IF(OR($B470="",$D470="",$E470=""),"",IF($E470=$D470,"CHECK TIMES (start = end)",IF($F470&gt;12,"CHECK TIMES (End is before Start?)","OK")))</f>
        <v/>
      </c>
    </row>
    <row r="471">
      <c r="B471" s="18" t="n"/>
      <c r="C471" s="17">
        <f>IF($B471="","",TEXT($B471,"ddd"))</f>
        <v/>
      </c>
      <c r="D471" s="46" t="n"/>
      <c r="E471" s="46"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IF(OR($B471="",$I471=""),"",IF(SUMPRODUCT((nrInstrNames&lt;&gt;"")*ISNUMBER(SEARCH(nrInstrNames,$I471)))&gt;0,"OK","UNRECOGNIZED"))</f>
        <v/>
      </c>
      <c r="O471" s="17">
        <f>IF(OR($B471="",$D471="",$E471=""),"",IF($E471=$D471,"CHECK TIMES (start = end)",IF($F471&gt;12,"CHECK TIMES (End is before Start?)","OK")))</f>
        <v/>
      </c>
    </row>
    <row r="472">
      <c r="B472" s="18" t="n"/>
      <c r="C472" s="17">
        <f>IF($B472="","",TEXT($B472,"ddd"))</f>
        <v/>
      </c>
      <c r="D472" s="46" t="n"/>
      <c r="E472" s="46"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IF(OR($B472="",$I472=""),"",IF(SUMPRODUCT((nrInstrNames&lt;&gt;"")*ISNUMBER(SEARCH(nrInstrNames,$I472)))&gt;0,"OK","UNRECOGNIZED"))</f>
        <v/>
      </c>
      <c r="O472" s="17">
        <f>IF(OR($B472="",$D472="",$E472=""),"",IF($E472=$D472,"CHECK TIMES (start = end)",IF($F472&gt;12,"CHECK TIMES (End is before Start?)","OK")))</f>
        <v/>
      </c>
    </row>
    <row r="473">
      <c r="B473" s="18" t="n"/>
      <c r="C473" s="17">
        <f>IF($B473="","",TEXT($B473,"ddd"))</f>
        <v/>
      </c>
      <c r="D473" s="46" t="n"/>
      <c r="E473" s="46"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IF(OR($B473="",$I473=""),"",IF(SUMPRODUCT((nrInstrNames&lt;&gt;"")*ISNUMBER(SEARCH(nrInstrNames,$I473)))&gt;0,"OK","UNRECOGNIZED"))</f>
        <v/>
      </c>
      <c r="O473" s="17">
        <f>IF(OR($B473="",$D473="",$E473=""),"",IF($E473=$D473,"CHECK TIMES (start = end)",IF($F473&gt;12,"CHECK TIMES (End is before Start?)","OK")))</f>
        <v/>
      </c>
    </row>
    <row r="474">
      <c r="B474" s="18" t="n"/>
      <c r="C474" s="17">
        <f>IF($B474="","",TEXT($B474,"ddd"))</f>
        <v/>
      </c>
      <c r="D474" s="46" t="n"/>
      <c r="E474" s="46"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IF(OR($B474="",$I474=""),"",IF(SUMPRODUCT((nrInstrNames&lt;&gt;"")*ISNUMBER(SEARCH(nrInstrNames,$I474)))&gt;0,"OK","UNRECOGNIZED"))</f>
        <v/>
      </c>
      <c r="O474" s="17">
        <f>IF(OR($B474="",$D474="",$E474=""),"",IF($E474=$D474,"CHECK TIMES (start = end)",IF($F474&gt;12,"CHECK TIMES (End is before Start?)","OK")))</f>
        <v/>
      </c>
    </row>
    <row r="475">
      <c r="B475" s="18" t="n"/>
      <c r="C475" s="17">
        <f>IF($B475="","",TEXT($B475,"ddd"))</f>
        <v/>
      </c>
      <c r="D475" s="46" t="n"/>
      <c r="E475" s="46"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IF(OR($B475="",$I475=""),"",IF(SUMPRODUCT((nrInstrNames&lt;&gt;"")*ISNUMBER(SEARCH(nrInstrNames,$I475)))&gt;0,"OK","UNRECOGNIZED"))</f>
        <v/>
      </c>
      <c r="O475" s="17">
        <f>IF(OR($B475="",$D475="",$E475=""),"",IF($E475=$D475,"CHECK TIMES (start = end)",IF($F475&gt;12,"CHECK TIMES (End is before Start?)","OK")))</f>
        <v/>
      </c>
    </row>
    <row r="476">
      <c r="B476" s="18" t="n"/>
      <c r="C476" s="17">
        <f>IF($B476="","",TEXT($B476,"ddd"))</f>
        <v/>
      </c>
      <c r="D476" s="46" t="n"/>
      <c r="E476" s="46"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IF(OR($B476="",$I476=""),"",IF(SUMPRODUCT((nrInstrNames&lt;&gt;"")*ISNUMBER(SEARCH(nrInstrNames,$I476)))&gt;0,"OK","UNRECOGNIZED"))</f>
        <v/>
      </c>
      <c r="O476" s="17">
        <f>IF(OR($B476="",$D476="",$E476=""),"",IF($E476=$D476,"CHECK TIMES (start = end)",IF($F476&gt;12,"CHECK TIMES (End is before Start?)","OK")))</f>
        <v/>
      </c>
    </row>
    <row r="477">
      <c r="B477" s="18" t="n"/>
      <c r="C477" s="17">
        <f>IF($B477="","",TEXT($B477,"ddd"))</f>
        <v/>
      </c>
      <c r="D477" s="46" t="n"/>
      <c r="E477" s="46"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IF(OR($B477="",$I477=""),"",IF(SUMPRODUCT((nrInstrNames&lt;&gt;"")*ISNUMBER(SEARCH(nrInstrNames,$I477)))&gt;0,"OK","UNRECOGNIZED"))</f>
        <v/>
      </c>
      <c r="O477" s="17">
        <f>IF(OR($B477="",$D477="",$E477=""),"",IF($E477=$D477,"CHECK TIMES (start = end)",IF($F477&gt;12,"CHECK TIMES (End is before Start?)","OK")))</f>
        <v/>
      </c>
    </row>
    <row r="478">
      <c r="B478" s="18" t="n"/>
      <c r="C478" s="17">
        <f>IF($B478="","",TEXT($B478,"ddd"))</f>
        <v/>
      </c>
      <c r="D478" s="46" t="n"/>
      <c r="E478" s="46"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IF(OR($B478="",$I478=""),"",IF(SUMPRODUCT((nrInstrNames&lt;&gt;"")*ISNUMBER(SEARCH(nrInstrNames,$I478)))&gt;0,"OK","UNRECOGNIZED"))</f>
        <v/>
      </c>
      <c r="O478" s="17">
        <f>IF(OR($B478="",$D478="",$E478=""),"",IF($E478=$D478,"CHECK TIMES (start = end)",IF($F478&gt;12,"CHECK TIMES (End is before Start?)","OK")))</f>
        <v/>
      </c>
    </row>
    <row r="479">
      <c r="B479" s="18" t="n"/>
      <c r="C479" s="17">
        <f>IF($B479="","",TEXT($B479,"ddd"))</f>
        <v/>
      </c>
      <c r="D479" s="46" t="n"/>
      <c r="E479" s="46"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IF(OR($B479="",$I479=""),"",IF(SUMPRODUCT((nrInstrNames&lt;&gt;"")*ISNUMBER(SEARCH(nrInstrNames,$I479)))&gt;0,"OK","UNRECOGNIZED"))</f>
        <v/>
      </c>
      <c r="O479" s="17">
        <f>IF(OR($B479="",$D479="",$E479=""),"",IF($E479=$D479,"CHECK TIMES (start = end)",IF($F479&gt;12,"CHECK TIMES (End is before Start?)","OK")))</f>
        <v/>
      </c>
    </row>
    <row r="480">
      <c r="B480" s="18" t="n"/>
      <c r="C480" s="17">
        <f>IF($B480="","",TEXT($B480,"ddd"))</f>
        <v/>
      </c>
      <c r="D480" s="46" t="n"/>
      <c r="E480" s="46"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IF(OR($B480="",$I480=""),"",IF(SUMPRODUCT((nrInstrNames&lt;&gt;"")*ISNUMBER(SEARCH(nrInstrNames,$I480)))&gt;0,"OK","UNRECOGNIZED"))</f>
        <v/>
      </c>
      <c r="O480" s="17">
        <f>IF(OR($B480="",$D480="",$E480=""),"",IF($E480=$D480,"CHECK TIMES (start = end)",IF($F480&gt;12,"CHECK TIMES (End is before Start?)","OK")))</f>
        <v/>
      </c>
    </row>
    <row r="481">
      <c r="B481" s="18" t="n"/>
      <c r="C481" s="17">
        <f>IF($B481="","",TEXT($B481,"ddd"))</f>
        <v/>
      </c>
      <c r="D481" s="46" t="n"/>
      <c r="E481" s="46"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IF(OR($B481="",$I481=""),"",IF(SUMPRODUCT((nrInstrNames&lt;&gt;"")*ISNUMBER(SEARCH(nrInstrNames,$I481)))&gt;0,"OK","UNRECOGNIZED"))</f>
        <v/>
      </c>
      <c r="O481" s="17">
        <f>IF(OR($B481="",$D481="",$E481=""),"",IF($E481=$D481,"CHECK TIMES (start = end)",IF($F481&gt;12,"CHECK TIMES (End is before Start?)","OK")))</f>
        <v/>
      </c>
    </row>
    <row r="482">
      <c r="B482" s="18" t="n"/>
      <c r="C482" s="17">
        <f>IF($B482="","",TEXT($B482,"ddd"))</f>
        <v/>
      </c>
      <c r="D482" s="46" t="n"/>
      <c r="E482" s="46"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IF(OR($B482="",$I482=""),"",IF(SUMPRODUCT((nrInstrNames&lt;&gt;"")*ISNUMBER(SEARCH(nrInstrNames,$I482)))&gt;0,"OK","UNRECOGNIZED"))</f>
        <v/>
      </c>
      <c r="O482" s="17">
        <f>IF(OR($B482="",$D482="",$E482=""),"",IF($E482=$D482,"CHECK TIMES (start = end)",IF($F482&gt;12,"CHECK TIMES (End is before Start?)","OK")))</f>
        <v/>
      </c>
    </row>
    <row r="483">
      <c r="B483" s="18" t="n"/>
      <c r="C483" s="17">
        <f>IF($B483="","",TEXT($B483,"ddd"))</f>
        <v/>
      </c>
      <c r="D483" s="46" t="n"/>
      <c r="E483" s="46"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IF(OR($B483="",$I483=""),"",IF(SUMPRODUCT((nrInstrNames&lt;&gt;"")*ISNUMBER(SEARCH(nrInstrNames,$I483)))&gt;0,"OK","UNRECOGNIZED"))</f>
        <v/>
      </c>
      <c r="O483" s="17">
        <f>IF(OR($B483="",$D483="",$E483=""),"",IF($E483=$D483,"CHECK TIMES (start = end)",IF($F483&gt;12,"CHECK TIMES (End is before Start?)","OK")))</f>
        <v/>
      </c>
    </row>
    <row r="484">
      <c r="B484" s="18" t="n"/>
      <c r="C484" s="17">
        <f>IF($B484="","",TEXT($B484,"ddd"))</f>
        <v/>
      </c>
      <c r="D484" s="46" t="n"/>
      <c r="E484" s="46"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IF(OR($B484="",$I484=""),"",IF(SUMPRODUCT((nrInstrNames&lt;&gt;"")*ISNUMBER(SEARCH(nrInstrNames,$I484)))&gt;0,"OK","UNRECOGNIZED"))</f>
        <v/>
      </c>
      <c r="O484" s="17">
        <f>IF(OR($B484="",$D484="",$E484=""),"",IF($E484=$D484,"CHECK TIMES (start = end)",IF($F484&gt;12,"CHECK TIMES (End is before Start?)","OK")))</f>
        <v/>
      </c>
    </row>
    <row r="485">
      <c r="B485" s="18" t="n"/>
      <c r="C485" s="17">
        <f>IF($B485="","",TEXT($B485,"ddd"))</f>
        <v/>
      </c>
      <c r="D485" s="46" t="n"/>
      <c r="E485" s="46"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IF(OR($B485="",$I485=""),"",IF(SUMPRODUCT((nrInstrNames&lt;&gt;"")*ISNUMBER(SEARCH(nrInstrNames,$I485)))&gt;0,"OK","UNRECOGNIZED"))</f>
        <v/>
      </c>
      <c r="O485" s="17">
        <f>IF(OR($B485="",$D485="",$E485=""),"",IF($E485=$D485,"CHECK TIMES (start = end)",IF($F485&gt;12,"CHECK TIMES (End is before Start?)","OK")))</f>
        <v/>
      </c>
    </row>
    <row r="486">
      <c r="B486" s="18" t="n"/>
      <c r="C486" s="17">
        <f>IF($B486="","",TEXT($B486,"ddd"))</f>
        <v/>
      </c>
      <c r="D486" s="46" t="n"/>
      <c r="E486" s="46"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IF(OR($B486="",$I486=""),"",IF(SUMPRODUCT((nrInstrNames&lt;&gt;"")*ISNUMBER(SEARCH(nrInstrNames,$I486)))&gt;0,"OK","UNRECOGNIZED"))</f>
        <v/>
      </c>
      <c r="O486" s="17">
        <f>IF(OR($B486="",$D486="",$E486=""),"",IF($E486=$D486,"CHECK TIMES (start = end)",IF($F486&gt;12,"CHECK TIMES (End is before Start?)","OK")))</f>
        <v/>
      </c>
    </row>
    <row r="487">
      <c r="B487" s="18" t="n"/>
      <c r="C487" s="17">
        <f>IF($B487="","",TEXT($B487,"ddd"))</f>
        <v/>
      </c>
      <c r="D487" s="46" t="n"/>
      <c r="E487" s="46"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IF(OR($B487="",$I487=""),"",IF(SUMPRODUCT((nrInstrNames&lt;&gt;"")*ISNUMBER(SEARCH(nrInstrNames,$I487)))&gt;0,"OK","UNRECOGNIZED"))</f>
        <v/>
      </c>
      <c r="O487" s="17">
        <f>IF(OR($B487="",$D487="",$E487=""),"",IF($E487=$D487,"CHECK TIMES (start = end)",IF($F487&gt;12,"CHECK TIMES (End is before Start?)","OK")))</f>
        <v/>
      </c>
    </row>
    <row r="488">
      <c r="B488" s="18" t="n"/>
      <c r="C488" s="17">
        <f>IF($B488="","",TEXT($B488,"ddd"))</f>
        <v/>
      </c>
      <c r="D488" s="46" t="n"/>
      <c r="E488" s="46"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IF(OR($B488="",$I488=""),"",IF(SUMPRODUCT((nrInstrNames&lt;&gt;"")*ISNUMBER(SEARCH(nrInstrNames,$I488)))&gt;0,"OK","UNRECOGNIZED"))</f>
        <v/>
      </c>
      <c r="O488" s="17">
        <f>IF(OR($B488="",$D488="",$E488=""),"",IF($E488=$D488,"CHECK TIMES (start = end)",IF($F488&gt;12,"CHECK TIMES (End is before Start?)","OK")))</f>
        <v/>
      </c>
    </row>
    <row r="489">
      <c r="B489" s="18" t="n"/>
      <c r="C489" s="17">
        <f>IF($B489="","",TEXT($B489,"ddd"))</f>
        <v/>
      </c>
      <c r="D489" s="46" t="n"/>
      <c r="E489" s="46"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IF(OR($B489="",$I489=""),"",IF(SUMPRODUCT((nrInstrNames&lt;&gt;"")*ISNUMBER(SEARCH(nrInstrNames,$I489)))&gt;0,"OK","UNRECOGNIZED"))</f>
        <v/>
      </c>
      <c r="O489" s="17">
        <f>IF(OR($B489="",$D489="",$E489=""),"",IF($E489=$D489,"CHECK TIMES (start = end)",IF($F489&gt;12,"CHECK TIMES (End is before Start?)","OK")))</f>
        <v/>
      </c>
    </row>
    <row r="490">
      <c r="B490" s="18" t="n"/>
      <c r="C490" s="17">
        <f>IF($B490="","",TEXT($B490,"ddd"))</f>
        <v/>
      </c>
      <c r="D490" s="46" t="n"/>
      <c r="E490" s="46"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IF(OR($B490="",$I490=""),"",IF(SUMPRODUCT((nrInstrNames&lt;&gt;"")*ISNUMBER(SEARCH(nrInstrNames,$I490)))&gt;0,"OK","UNRECOGNIZED"))</f>
        <v/>
      </c>
      <c r="O490" s="17">
        <f>IF(OR($B490="",$D490="",$E490=""),"",IF($E490=$D490,"CHECK TIMES (start = end)",IF($F490&gt;12,"CHECK TIMES (End is before Start?)","OK")))</f>
        <v/>
      </c>
    </row>
    <row r="491">
      <c r="B491" s="18" t="n"/>
      <c r="C491" s="17">
        <f>IF($B491="","",TEXT($B491,"ddd"))</f>
        <v/>
      </c>
      <c r="D491" s="46" t="n"/>
      <c r="E491" s="46"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IF(OR($B491="",$I491=""),"",IF(SUMPRODUCT((nrInstrNames&lt;&gt;"")*ISNUMBER(SEARCH(nrInstrNames,$I491)))&gt;0,"OK","UNRECOGNIZED"))</f>
        <v/>
      </c>
      <c r="O491" s="17">
        <f>IF(OR($B491="",$D491="",$E491=""),"",IF($E491=$D491,"CHECK TIMES (start = end)",IF($F491&gt;12,"CHECK TIMES (End is before Start?)","OK")))</f>
        <v/>
      </c>
    </row>
    <row r="492">
      <c r="B492" s="18" t="n"/>
      <c r="C492" s="17">
        <f>IF($B492="","",TEXT($B492,"ddd"))</f>
        <v/>
      </c>
      <c r="D492" s="46" t="n"/>
      <c r="E492" s="46"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IF(OR($B492="",$I492=""),"",IF(SUMPRODUCT((nrInstrNames&lt;&gt;"")*ISNUMBER(SEARCH(nrInstrNames,$I492)))&gt;0,"OK","UNRECOGNIZED"))</f>
        <v/>
      </c>
      <c r="O492" s="17">
        <f>IF(OR($B492="",$D492="",$E492=""),"",IF($E492=$D492,"CHECK TIMES (start = end)",IF($F492&gt;12,"CHECK TIMES (End is before Start?)","OK")))</f>
        <v/>
      </c>
    </row>
    <row r="493">
      <c r="B493" s="18" t="n"/>
      <c r="C493" s="17">
        <f>IF($B493="","",TEXT($B493,"ddd"))</f>
        <v/>
      </c>
      <c r="D493" s="46" t="n"/>
      <c r="E493" s="46"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IF(OR($B493="",$I493=""),"",IF(SUMPRODUCT((nrInstrNames&lt;&gt;"")*ISNUMBER(SEARCH(nrInstrNames,$I493)))&gt;0,"OK","UNRECOGNIZED"))</f>
        <v/>
      </c>
      <c r="O493" s="17">
        <f>IF(OR($B493="",$D493="",$E493=""),"",IF($E493=$D493,"CHECK TIMES (start = end)",IF($F493&gt;12,"CHECK TIMES (End is before Start?)","OK")))</f>
        <v/>
      </c>
    </row>
    <row r="494">
      <c r="B494" s="18" t="n"/>
      <c r="C494" s="17">
        <f>IF($B494="","",TEXT($B494,"ddd"))</f>
        <v/>
      </c>
      <c r="D494" s="46" t="n"/>
      <c r="E494" s="46"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IF(OR($B494="",$I494=""),"",IF(SUMPRODUCT((nrInstrNames&lt;&gt;"")*ISNUMBER(SEARCH(nrInstrNames,$I494)))&gt;0,"OK","UNRECOGNIZED"))</f>
        <v/>
      </c>
      <c r="O494" s="17">
        <f>IF(OR($B494="",$D494="",$E494=""),"",IF($E494=$D494,"CHECK TIMES (start = end)",IF($F494&gt;12,"CHECK TIMES (End is before Start?)","OK")))</f>
        <v/>
      </c>
    </row>
    <row r="495">
      <c r="B495" s="18" t="n"/>
      <c r="C495" s="17">
        <f>IF($B495="","",TEXT($B495,"ddd"))</f>
        <v/>
      </c>
      <c r="D495" s="46" t="n"/>
      <c r="E495" s="46"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IF(OR($B495="",$I495=""),"",IF(SUMPRODUCT((nrInstrNames&lt;&gt;"")*ISNUMBER(SEARCH(nrInstrNames,$I495)))&gt;0,"OK","UNRECOGNIZED"))</f>
        <v/>
      </c>
      <c r="O495" s="17">
        <f>IF(OR($B495="",$D495="",$E495=""),"",IF($E495=$D495,"CHECK TIMES (start = end)",IF($F495&gt;12,"CHECK TIMES (End is before Start?)","OK")))</f>
        <v/>
      </c>
    </row>
    <row r="496">
      <c r="B496" s="18" t="n"/>
      <c r="C496" s="17">
        <f>IF($B496="","",TEXT($B496,"ddd"))</f>
        <v/>
      </c>
      <c r="D496" s="46" t="n"/>
      <c r="E496" s="46"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IF(OR($B496="",$I496=""),"",IF(SUMPRODUCT((nrInstrNames&lt;&gt;"")*ISNUMBER(SEARCH(nrInstrNames,$I496)))&gt;0,"OK","UNRECOGNIZED"))</f>
        <v/>
      </c>
      <c r="O496" s="17">
        <f>IF(OR($B496="",$D496="",$E496=""),"",IF($E496=$D496,"CHECK TIMES (start = end)",IF($F496&gt;12,"CHECK TIMES (End is before Start?)","OK")))</f>
        <v/>
      </c>
    </row>
    <row r="497">
      <c r="B497" s="18" t="n"/>
      <c r="C497" s="17">
        <f>IF($B497="","",TEXT($B497,"ddd"))</f>
        <v/>
      </c>
      <c r="D497" s="46" t="n"/>
      <c r="E497" s="46"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IF(OR($B497="",$I497=""),"",IF(SUMPRODUCT((nrInstrNames&lt;&gt;"")*ISNUMBER(SEARCH(nrInstrNames,$I497)))&gt;0,"OK","UNRECOGNIZED"))</f>
        <v/>
      </c>
      <c r="O497" s="17">
        <f>IF(OR($B497="",$D497="",$E497=""),"",IF($E497=$D497,"CHECK TIMES (start = end)",IF($F497&gt;12,"CHECK TIMES (End is before Start?)","OK")))</f>
        <v/>
      </c>
    </row>
    <row r="498">
      <c r="B498" s="18" t="n"/>
      <c r="C498" s="17">
        <f>IF($B498="","",TEXT($B498,"ddd"))</f>
        <v/>
      </c>
      <c r="D498" s="46" t="n"/>
      <c r="E498" s="46"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IF(OR($B498="",$I498=""),"",IF(SUMPRODUCT((nrInstrNames&lt;&gt;"")*ISNUMBER(SEARCH(nrInstrNames,$I498)))&gt;0,"OK","UNRECOGNIZED"))</f>
        <v/>
      </c>
      <c r="O498" s="17">
        <f>IF(OR($B498="",$D498="",$E498=""),"",IF($E498=$D498,"CHECK TIMES (start = end)",IF($F498&gt;12,"CHECK TIMES (End is before Start?)","OK")))</f>
        <v/>
      </c>
    </row>
    <row r="499">
      <c r="B499" s="18" t="n"/>
      <c r="C499" s="17">
        <f>IF($B499="","",TEXT($B499,"ddd"))</f>
        <v/>
      </c>
      <c r="D499" s="46" t="n"/>
      <c r="E499" s="46"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IF(OR($B499="",$I499=""),"",IF(SUMPRODUCT((nrInstrNames&lt;&gt;"")*ISNUMBER(SEARCH(nrInstrNames,$I499)))&gt;0,"OK","UNRECOGNIZED"))</f>
        <v/>
      </c>
      <c r="O499" s="17">
        <f>IF(OR($B499="",$D499="",$E499=""),"",IF($E499=$D499,"CHECK TIMES (start = end)",IF($F499&gt;12,"CHECK TIMES (End is before Start?)","OK")))</f>
        <v/>
      </c>
    </row>
    <row r="500">
      <c r="B500" s="18" t="n"/>
      <c r="C500" s="17">
        <f>IF($B500="","",TEXT($B500,"ddd"))</f>
        <v/>
      </c>
      <c r="D500" s="46" t="n"/>
      <c r="E500" s="46"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IF(OR($B500="",$I500=""),"",IF(SUMPRODUCT((nrInstrNames&lt;&gt;"")*ISNUMBER(SEARCH(nrInstrNames,$I500)))&gt;0,"OK","UNRECOGNIZED"))</f>
        <v/>
      </c>
      <c r="O500" s="17">
        <f>IF(OR($B500="",$D500="",$E500=""),"",IF($E500=$D500,"CHECK TIMES (start = end)",IF($F500&gt;12,"CHECK TIMES (End is before Start?)","OK")))</f>
        <v/>
      </c>
    </row>
    <row r="501">
      <c r="B501" s="18" t="n"/>
      <c r="C501" s="17">
        <f>IF($B501="","",TEXT($B501,"ddd"))</f>
        <v/>
      </c>
      <c r="D501" s="46" t="n"/>
      <c r="E501" s="46"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IF(OR($B501="",$I501=""),"",IF(SUMPRODUCT((nrInstrNames&lt;&gt;"")*ISNUMBER(SEARCH(nrInstrNames,$I501)))&gt;0,"OK","UNRECOGNIZED"))</f>
        <v/>
      </c>
      <c r="O501" s="17">
        <f>IF(OR($B501="",$D501="",$E501=""),"",IF($E501=$D501,"CHECK TIMES (start = end)",IF($F501&gt;12,"CHECK TIMES (End is before Start?)","OK")))</f>
        <v/>
      </c>
    </row>
    <row r="502">
      <c r="B502" s="18" t="n"/>
      <c r="C502" s="17">
        <f>IF($B502="","",TEXT($B502,"ddd"))</f>
        <v/>
      </c>
      <c r="D502" s="46" t="n"/>
      <c r="E502" s="46"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IF(OR($B502="",$I502=""),"",IF(SUMPRODUCT((nrInstrNames&lt;&gt;"")*ISNUMBER(SEARCH(nrInstrNames,$I502)))&gt;0,"OK","UNRECOGNIZED"))</f>
        <v/>
      </c>
      <c r="O502" s="17">
        <f>IF(OR($B502="",$D502="",$E502=""),"",IF($E502=$D502,"CHECK TIMES (start = end)",IF($F502&gt;12,"CHECK TIMES (End is before Start?)","OK")))</f>
        <v/>
      </c>
    </row>
    <row r="503">
      <c r="B503" s="18" t="n"/>
      <c r="C503" s="17">
        <f>IF($B503="","",TEXT($B503,"ddd"))</f>
        <v/>
      </c>
      <c r="D503" s="46" t="n"/>
      <c r="E503" s="46"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IF(OR($B503="",$I503=""),"",IF(SUMPRODUCT((nrInstrNames&lt;&gt;"")*ISNUMBER(SEARCH(nrInstrNames,$I503)))&gt;0,"OK","UNRECOGNIZED"))</f>
        <v/>
      </c>
      <c r="O503" s="17">
        <f>IF(OR($B503="",$D503="",$E503=""),"",IF($E503=$D503,"CHECK TIMES (start = end)",IF($F503&gt;12,"CHECK TIMES (End is before Start?)","OK")))</f>
        <v/>
      </c>
    </row>
    <row r="504">
      <c r="B504" s="18" t="n"/>
      <c r="C504" s="17">
        <f>IF($B504="","",TEXT($B504,"ddd"))</f>
        <v/>
      </c>
      <c r="D504" s="46" t="n"/>
      <c r="E504" s="46"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IF(OR($B504="",$I504=""),"",IF(SUMPRODUCT((nrInstrNames&lt;&gt;"")*ISNUMBER(SEARCH(nrInstrNames,$I504)))&gt;0,"OK","UNRECOGNIZED"))</f>
        <v/>
      </c>
      <c r="O504" s="17">
        <f>IF(OR($B504="",$D504="",$E504=""),"",IF($E504=$D504,"CHECK TIMES (start = end)",IF($F504&gt;12,"CHECK TIMES (End is before Start?)","OK")))</f>
        <v/>
      </c>
    </row>
    <row r="505">
      <c r="B505" s="18" t="n"/>
      <c r="C505" s="17">
        <f>IF($B505="","",TEXT($B505,"ddd"))</f>
        <v/>
      </c>
      <c r="D505" s="46" t="n"/>
      <c r="E505" s="46"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IF(OR($B505="",$I505=""),"",IF(SUMPRODUCT((nrInstrNames&lt;&gt;"")*ISNUMBER(SEARCH(nrInstrNames,$I505)))&gt;0,"OK","UNRECOGNIZED"))</f>
        <v/>
      </c>
      <c r="O505" s="17">
        <f>IF(OR($B505="",$D505="",$E505=""),"",IF($E505=$D505,"CHECK TIMES (start = end)",IF($F505&gt;12,"CHECK TIMES (End is before Start?)","OK")))</f>
        <v/>
      </c>
    </row>
    <row r="506">
      <c r="B506" s="18" t="n"/>
      <c r="C506" s="17">
        <f>IF($B506="","",TEXT($B506,"ddd"))</f>
        <v/>
      </c>
      <c r="D506" s="46" t="n"/>
      <c r="E506" s="46"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IF(OR($B506="",$I506=""),"",IF(SUMPRODUCT((nrInstrNames&lt;&gt;"")*ISNUMBER(SEARCH(nrInstrNames,$I506)))&gt;0,"OK","UNRECOGNIZED"))</f>
        <v/>
      </c>
      <c r="O506" s="17">
        <f>IF(OR($B506="",$D506="",$E506=""),"",IF($E506=$D506,"CHECK TIMES (start = end)",IF($F506&gt;12,"CHECK TIMES (End is before Start?)","OK")))</f>
        <v/>
      </c>
    </row>
    <row r="507">
      <c r="B507" s="18" t="n"/>
      <c r="C507" s="17">
        <f>IF($B507="","",TEXT($B507,"ddd"))</f>
        <v/>
      </c>
      <c r="D507" s="46" t="n"/>
      <c r="E507" s="46"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IF(OR($B507="",$I507=""),"",IF(SUMPRODUCT((nrInstrNames&lt;&gt;"")*ISNUMBER(SEARCH(nrInstrNames,$I507)))&gt;0,"OK","UNRECOGNIZED"))</f>
        <v/>
      </c>
      <c r="O507" s="17">
        <f>IF(OR($B507="",$D507="",$E507=""),"",IF($E507=$D507,"CHECK TIMES (start = end)",IF($F507&gt;12,"CHECK TIMES (End is before Start?)","OK")))</f>
        <v/>
      </c>
    </row>
    <row r="508">
      <c r="B508" s="18" t="n"/>
      <c r="C508" s="17">
        <f>IF($B508="","",TEXT($B508,"ddd"))</f>
        <v/>
      </c>
      <c r="D508" s="46" t="n"/>
      <c r="E508" s="46"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IF(OR($B508="",$I508=""),"",IF(SUMPRODUCT((nrInstrNames&lt;&gt;"")*ISNUMBER(SEARCH(nrInstrNames,$I508)))&gt;0,"OK","UNRECOGNIZED"))</f>
        <v/>
      </c>
      <c r="O508" s="17">
        <f>IF(OR($B508="",$D508="",$E508=""),"",IF($E508=$D508,"CHECK TIMES (start = end)",IF($F508&gt;12,"CHECK TIMES (End is before Start?)","OK")))</f>
        <v/>
      </c>
    </row>
    <row r="509">
      <c r="B509" s="18" t="n"/>
      <c r="C509" s="17">
        <f>IF($B509="","",TEXT($B509,"ddd"))</f>
        <v/>
      </c>
      <c r="D509" s="46" t="n"/>
      <c r="E509" s="46"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IF(OR($B509="",$I509=""),"",IF(SUMPRODUCT((nrInstrNames&lt;&gt;"")*ISNUMBER(SEARCH(nrInstrNames,$I509)))&gt;0,"OK","UNRECOGNIZED"))</f>
        <v/>
      </c>
      <c r="O509" s="17">
        <f>IF(OR($B509="",$D509="",$E509=""),"",IF($E509=$D509,"CHECK TIMES (start = end)",IF($F509&gt;12,"CHECK TIMES (End is before Start?)","OK")))</f>
        <v/>
      </c>
    </row>
    <row r="510">
      <c r="B510" s="18" t="n"/>
      <c r="C510" s="17">
        <f>IF($B510="","",TEXT($B510,"ddd"))</f>
        <v/>
      </c>
      <c r="D510" s="46" t="n"/>
      <c r="E510" s="46"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IF(OR($B510="",$I510=""),"",IF(SUMPRODUCT((nrInstrNames&lt;&gt;"")*ISNUMBER(SEARCH(nrInstrNames,$I510)))&gt;0,"OK","UNRECOGNIZED"))</f>
        <v/>
      </c>
      <c r="O510" s="17">
        <f>IF(OR($B510="",$D510="",$E510=""),"",IF($E510=$D510,"CHECK TIMES (start = end)",IF($F510&gt;12,"CHECK TIMES (End is before Start?)","OK")))</f>
        <v/>
      </c>
    </row>
    <row r="511">
      <c r="B511" s="18" t="n"/>
      <c r="C511" s="17">
        <f>IF($B511="","",TEXT($B511,"ddd"))</f>
        <v/>
      </c>
      <c r="D511" s="46" t="n"/>
      <c r="E511" s="46"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IF(OR($B511="",$I511=""),"",IF(SUMPRODUCT((nrInstrNames&lt;&gt;"")*ISNUMBER(SEARCH(nrInstrNames,$I511)))&gt;0,"OK","UNRECOGNIZED"))</f>
        <v/>
      </c>
      <c r="O511" s="17">
        <f>IF(OR($B511="",$D511="",$E511=""),"",IF($E511=$D511,"CHECK TIMES (start = end)",IF($F511&gt;12,"CHECK TIMES (End is before Start?)","OK")))</f>
        <v/>
      </c>
    </row>
    <row r="512">
      <c r="B512" s="18" t="n"/>
      <c r="C512" s="17">
        <f>IF($B512="","",TEXT($B512,"ddd"))</f>
        <v/>
      </c>
      <c r="D512" s="46" t="n"/>
      <c r="E512" s="46"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IF(OR($B512="",$I512=""),"",IF(SUMPRODUCT((nrInstrNames&lt;&gt;"")*ISNUMBER(SEARCH(nrInstrNames,$I512)))&gt;0,"OK","UNRECOGNIZED"))</f>
        <v/>
      </c>
      <c r="O512" s="17">
        <f>IF(OR($B512="",$D512="",$E512=""),"",IF($E512=$D512,"CHECK TIMES (start = end)",IF($F512&gt;12,"CHECK TIMES (End is before Start?)","OK")))</f>
        <v/>
      </c>
    </row>
    <row r="513">
      <c r="B513" s="18" t="n"/>
      <c r="C513" s="17">
        <f>IF($B513="","",TEXT($B513,"ddd"))</f>
        <v/>
      </c>
      <c r="D513" s="46" t="n"/>
      <c r="E513" s="46"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IF(OR($B513="",$I513=""),"",IF(SUMPRODUCT((nrInstrNames&lt;&gt;"")*ISNUMBER(SEARCH(nrInstrNames,$I513)))&gt;0,"OK","UNRECOGNIZED"))</f>
        <v/>
      </c>
      <c r="O513" s="17">
        <f>IF(OR($B513="",$D513="",$E513=""),"",IF($E513=$D513,"CHECK TIMES (start = end)",IF($F513&gt;12,"CHECK TIMES (End is before Start?)","OK")))</f>
        <v/>
      </c>
    </row>
    <row r="514">
      <c r="B514" s="18" t="n"/>
      <c r="C514" s="17">
        <f>IF($B514="","",TEXT($B514,"ddd"))</f>
        <v/>
      </c>
      <c r="D514" s="46" t="n"/>
      <c r="E514" s="46"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IF(OR($B514="",$I514=""),"",IF(SUMPRODUCT((nrInstrNames&lt;&gt;"")*ISNUMBER(SEARCH(nrInstrNames,$I514)))&gt;0,"OK","UNRECOGNIZED"))</f>
        <v/>
      </c>
      <c r="O514" s="17">
        <f>IF(OR($B514="",$D514="",$E514=""),"",IF($E514=$D514,"CHECK TIMES (start = end)",IF($F514&gt;12,"CHECK TIMES (End is before Start?)","OK")))</f>
        <v/>
      </c>
    </row>
    <row r="515">
      <c r="B515" s="18" t="n"/>
      <c r="C515" s="17">
        <f>IF($B515="","",TEXT($B515,"ddd"))</f>
        <v/>
      </c>
      <c r="D515" s="46" t="n"/>
      <c r="E515" s="46"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IF(OR($B515="",$I515=""),"",IF(SUMPRODUCT((nrInstrNames&lt;&gt;"")*ISNUMBER(SEARCH(nrInstrNames,$I515)))&gt;0,"OK","UNRECOGNIZED"))</f>
        <v/>
      </c>
      <c r="O515" s="17">
        <f>IF(OR($B515="",$D515="",$E515=""),"",IF($E515=$D515,"CHECK TIMES (start = end)",IF($F515&gt;12,"CHECK TIMES (End is before Start?)","OK")))</f>
        <v/>
      </c>
    </row>
    <row r="516">
      <c r="B516" s="18" t="n"/>
      <c r="C516" s="17">
        <f>IF($B516="","",TEXT($B516,"ddd"))</f>
        <v/>
      </c>
      <c r="D516" s="46" t="n"/>
      <c r="E516" s="46"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IF(OR($B516="",$I516=""),"",IF(SUMPRODUCT((nrInstrNames&lt;&gt;"")*ISNUMBER(SEARCH(nrInstrNames,$I516)))&gt;0,"OK","UNRECOGNIZED"))</f>
        <v/>
      </c>
      <c r="O516" s="17">
        <f>IF(OR($B516="",$D516="",$E516=""),"",IF($E516=$D516,"CHECK TIMES (start = end)",IF($F516&gt;12,"CHECK TIMES (End is before Start?)","OK")))</f>
        <v/>
      </c>
    </row>
    <row r="517">
      <c r="B517" s="18" t="n"/>
      <c r="C517" s="17">
        <f>IF($B517="","",TEXT($B517,"ddd"))</f>
        <v/>
      </c>
      <c r="D517" s="46" t="n"/>
      <c r="E517" s="46"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IF(OR($B517="",$I517=""),"",IF(SUMPRODUCT((nrInstrNames&lt;&gt;"")*ISNUMBER(SEARCH(nrInstrNames,$I517)))&gt;0,"OK","UNRECOGNIZED"))</f>
        <v/>
      </c>
      <c r="O517" s="17">
        <f>IF(OR($B517="",$D517="",$E517=""),"",IF($E517=$D517,"CHECK TIMES (start = end)",IF($F517&gt;12,"CHECK TIMES (End is before Start?)","OK")))</f>
        <v/>
      </c>
    </row>
    <row r="518">
      <c r="B518" s="18" t="n"/>
      <c r="C518" s="17">
        <f>IF($B518="","",TEXT($B518,"ddd"))</f>
        <v/>
      </c>
      <c r="D518" s="46" t="n"/>
      <c r="E518" s="46"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IF(OR($B518="",$I518=""),"",IF(SUMPRODUCT((nrInstrNames&lt;&gt;"")*ISNUMBER(SEARCH(nrInstrNames,$I518)))&gt;0,"OK","UNRECOGNIZED"))</f>
        <v/>
      </c>
      <c r="O518" s="17">
        <f>IF(OR($B518="",$D518="",$E518=""),"",IF($E518=$D518,"CHECK TIMES (start = end)",IF($F518&gt;12,"CHECK TIMES (End is before Start?)","OK")))</f>
        <v/>
      </c>
    </row>
    <row r="519">
      <c r="B519" s="18" t="n"/>
      <c r="C519" s="17">
        <f>IF($B519="","",TEXT($B519,"ddd"))</f>
        <v/>
      </c>
      <c r="D519" s="46" t="n"/>
      <c r="E519" s="46"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IF(OR($B519="",$I519=""),"",IF(SUMPRODUCT((nrInstrNames&lt;&gt;"")*ISNUMBER(SEARCH(nrInstrNames,$I519)))&gt;0,"OK","UNRECOGNIZED"))</f>
        <v/>
      </c>
      <c r="O519" s="17">
        <f>IF(OR($B519="",$D519="",$E519=""),"",IF($E519=$D519,"CHECK TIMES (start = end)",IF($F519&gt;12,"CHECK TIMES (End is before Start?)","OK")))</f>
        <v/>
      </c>
    </row>
    <row r="520">
      <c r="B520" s="18" t="n"/>
      <c r="C520" s="17">
        <f>IF($B520="","",TEXT($B520,"ddd"))</f>
        <v/>
      </c>
      <c r="D520" s="46" t="n"/>
      <c r="E520" s="46"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IF(OR($B520="",$I520=""),"",IF(SUMPRODUCT((nrInstrNames&lt;&gt;"")*ISNUMBER(SEARCH(nrInstrNames,$I520)))&gt;0,"OK","UNRECOGNIZED"))</f>
        <v/>
      </c>
      <c r="O520" s="17">
        <f>IF(OR($B520="",$D520="",$E520=""),"",IF($E520=$D520,"CHECK TIMES (start = end)",IF($F520&gt;12,"CHECK TIMES (End is before Start?)","OK")))</f>
        <v/>
      </c>
    </row>
    <row r="521">
      <c r="B521" s="18" t="n"/>
      <c r="C521" s="17">
        <f>IF($B521="","",TEXT($B521,"ddd"))</f>
        <v/>
      </c>
      <c r="D521" s="46" t="n"/>
      <c r="E521" s="46"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IF(OR($B521="",$I521=""),"",IF(SUMPRODUCT((nrInstrNames&lt;&gt;"")*ISNUMBER(SEARCH(nrInstrNames,$I521)))&gt;0,"OK","UNRECOGNIZED"))</f>
        <v/>
      </c>
      <c r="O521" s="17">
        <f>IF(OR($B521="",$D521="",$E521=""),"",IF($E521=$D521,"CHECK TIMES (start = end)",IF($F521&gt;12,"CHECK TIMES (End is before Start?)","OK")))</f>
        <v/>
      </c>
    </row>
    <row r="522">
      <c r="B522" s="18" t="n"/>
      <c r="C522" s="17">
        <f>IF($B522="","",TEXT($B522,"ddd"))</f>
        <v/>
      </c>
      <c r="D522" s="46" t="n"/>
      <c r="E522" s="46"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IF(OR($B522="",$I522=""),"",IF(SUMPRODUCT((nrInstrNames&lt;&gt;"")*ISNUMBER(SEARCH(nrInstrNames,$I522)))&gt;0,"OK","UNRECOGNIZED"))</f>
        <v/>
      </c>
      <c r="O522" s="17">
        <f>IF(OR($B522="",$D522="",$E522=""),"",IF($E522=$D522,"CHECK TIMES (start = end)",IF($F522&gt;12,"CHECK TIMES (End is before Start?)","OK")))</f>
        <v/>
      </c>
    </row>
    <row r="523">
      <c r="B523" s="18" t="n"/>
      <c r="C523" s="17">
        <f>IF($B523="","",TEXT($B523,"ddd"))</f>
        <v/>
      </c>
      <c r="D523" s="46" t="n"/>
      <c r="E523" s="46"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IF(OR($B523="",$I523=""),"",IF(SUMPRODUCT((nrInstrNames&lt;&gt;"")*ISNUMBER(SEARCH(nrInstrNames,$I523)))&gt;0,"OK","UNRECOGNIZED"))</f>
        <v/>
      </c>
      <c r="O523" s="17">
        <f>IF(OR($B523="",$D523="",$E523=""),"",IF($E523=$D523,"CHECK TIMES (start = end)",IF($F523&gt;12,"CHECK TIMES (End is before Start?)","OK")))</f>
        <v/>
      </c>
    </row>
    <row r="524">
      <c r="B524" s="18" t="n"/>
      <c r="C524" s="17">
        <f>IF($B524="","",TEXT($B524,"ddd"))</f>
        <v/>
      </c>
      <c r="D524" s="46" t="n"/>
      <c r="E524" s="46"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IF(OR($B524="",$I524=""),"",IF(SUMPRODUCT((nrInstrNames&lt;&gt;"")*ISNUMBER(SEARCH(nrInstrNames,$I524)))&gt;0,"OK","UNRECOGNIZED"))</f>
        <v/>
      </c>
      <c r="O524" s="17">
        <f>IF(OR($B524="",$D524="",$E524=""),"",IF($E524=$D524,"CHECK TIMES (start = end)",IF($F524&gt;12,"CHECK TIMES (End is before Start?)","OK")))</f>
        <v/>
      </c>
    </row>
    <row r="525">
      <c r="B525" s="18" t="n"/>
      <c r="C525" s="17">
        <f>IF($B525="","",TEXT($B525,"ddd"))</f>
        <v/>
      </c>
      <c r="D525" s="46" t="n"/>
      <c r="E525" s="46"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IF(OR($B525="",$I525=""),"",IF(SUMPRODUCT((nrInstrNames&lt;&gt;"")*ISNUMBER(SEARCH(nrInstrNames,$I525)))&gt;0,"OK","UNRECOGNIZED"))</f>
        <v/>
      </c>
      <c r="O525" s="17">
        <f>IF(OR($B525="",$D525="",$E525=""),"",IF($E525=$D525,"CHECK TIMES (start = end)",IF($F525&gt;12,"CHECK TIMES (End is before Start?)","OK")))</f>
        <v/>
      </c>
    </row>
    <row r="526">
      <c r="B526" s="18" t="n"/>
      <c r="C526" s="17">
        <f>IF($B526="","",TEXT($B526,"ddd"))</f>
        <v/>
      </c>
      <c r="D526" s="46" t="n"/>
      <c r="E526" s="46"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IF(OR($B526="",$I526=""),"",IF(SUMPRODUCT((nrInstrNames&lt;&gt;"")*ISNUMBER(SEARCH(nrInstrNames,$I526)))&gt;0,"OK","UNRECOGNIZED"))</f>
        <v/>
      </c>
      <c r="O526" s="17">
        <f>IF(OR($B526="",$D526="",$E526=""),"",IF($E526=$D526,"CHECK TIMES (start = end)",IF($F526&gt;12,"CHECK TIMES (End is before Start?)","OK")))</f>
        <v/>
      </c>
    </row>
    <row r="527">
      <c r="B527" s="18" t="n"/>
      <c r="C527" s="17">
        <f>IF($B527="","",TEXT($B527,"ddd"))</f>
        <v/>
      </c>
      <c r="D527" s="46" t="n"/>
      <c r="E527" s="46"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IF(OR($B527="",$I527=""),"",IF(SUMPRODUCT((nrInstrNames&lt;&gt;"")*ISNUMBER(SEARCH(nrInstrNames,$I527)))&gt;0,"OK","UNRECOGNIZED"))</f>
        <v/>
      </c>
      <c r="O527" s="17">
        <f>IF(OR($B527="",$D527="",$E527=""),"",IF($E527=$D527,"CHECK TIMES (start = end)",IF($F527&gt;12,"CHECK TIMES (End is before Start?)","OK")))</f>
        <v/>
      </c>
    </row>
    <row r="528">
      <c r="B528" s="18" t="n"/>
      <c r="C528" s="17">
        <f>IF($B528="","",TEXT($B528,"ddd"))</f>
        <v/>
      </c>
      <c r="D528" s="46" t="n"/>
      <c r="E528" s="46"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IF(OR($B528="",$I528=""),"",IF(SUMPRODUCT((nrInstrNames&lt;&gt;"")*ISNUMBER(SEARCH(nrInstrNames,$I528)))&gt;0,"OK","UNRECOGNIZED"))</f>
        <v/>
      </c>
      <c r="O528" s="17">
        <f>IF(OR($B528="",$D528="",$E528=""),"",IF($E528=$D528,"CHECK TIMES (start = end)",IF($F528&gt;12,"CHECK TIMES (End is before Start?)","OK")))</f>
        <v/>
      </c>
    </row>
    <row r="529">
      <c r="B529" s="18" t="n"/>
      <c r="C529" s="17">
        <f>IF($B529="","",TEXT($B529,"ddd"))</f>
        <v/>
      </c>
      <c r="D529" s="46" t="n"/>
      <c r="E529" s="46"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IF(OR($B529="",$I529=""),"",IF(SUMPRODUCT((nrInstrNames&lt;&gt;"")*ISNUMBER(SEARCH(nrInstrNames,$I529)))&gt;0,"OK","UNRECOGNIZED"))</f>
        <v/>
      </c>
      <c r="O529" s="17">
        <f>IF(OR($B529="",$D529="",$E529=""),"",IF($E529=$D529,"CHECK TIMES (start = end)",IF($F529&gt;12,"CHECK TIMES (End is before Start?)","OK")))</f>
        <v/>
      </c>
    </row>
    <row r="530">
      <c r="B530" s="18" t="n"/>
      <c r="C530" s="17">
        <f>IF($B530="","",TEXT($B530,"ddd"))</f>
        <v/>
      </c>
      <c r="D530" s="46" t="n"/>
      <c r="E530" s="46"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IF(OR($B530="",$I530=""),"",IF(SUMPRODUCT((nrInstrNames&lt;&gt;"")*ISNUMBER(SEARCH(nrInstrNames,$I530)))&gt;0,"OK","UNRECOGNIZED"))</f>
        <v/>
      </c>
      <c r="O530" s="17">
        <f>IF(OR($B530="",$D530="",$E530=""),"",IF($E530=$D530,"CHECK TIMES (start = end)",IF($F530&gt;12,"CHECK TIMES (End is before Start?)","OK")))</f>
        <v/>
      </c>
    </row>
    <row r="531">
      <c r="B531" s="18" t="n"/>
      <c r="C531" s="17">
        <f>IF($B531="","",TEXT($B531,"ddd"))</f>
        <v/>
      </c>
      <c r="D531" s="46" t="n"/>
      <c r="E531" s="46"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IF(OR($B531="",$I531=""),"",IF(SUMPRODUCT((nrInstrNames&lt;&gt;"")*ISNUMBER(SEARCH(nrInstrNames,$I531)))&gt;0,"OK","UNRECOGNIZED"))</f>
        <v/>
      </c>
      <c r="O531" s="17">
        <f>IF(OR($B531="",$D531="",$E531=""),"",IF($E531=$D531,"CHECK TIMES (start = end)",IF($F531&gt;12,"CHECK TIMES (End is before Start?)","OK")))</f>
        <v/>
      </c>
    </row>
    <row r="532">
      <c r="B532" s="18" t="n"/>
      <c r="C532" s="17">
        <f>IF($B532="","",TEXT($B532,"ddd"))</f>
        <v/>
      </c>
      <c r="D532" s="46" t="n"/>
      <c r="E532" s="46"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IF(OR($B532="",$I532=""),"",IF(SUMPRODUCT((nrInstrNames&lt;&gt;"")*ISNUMBER(SEARCH(nrInstrNames,$I532)))&gt;0,"OK","UNRECOGNIZED"))</f>
        <v/>
      </c>
      <c r="O532" s="17">
        <f>IF(OR($B532="",$D532="",$E532=""),"",IF($E532=$D532,"CHECK TIMES (start = end)",IF($F532&gt;12,"CHECK TIMES (End is before Start?)","OK")))</f>
        <v/>
      </c>
    </row>
    <row r="533">
      <c r="B533" s="18" t="n"/>
      <c r="C533" s="17">
        <f>IF($B533="","",TEXT($B533,"ddd"))</f>
        <v/>
      </c>
      <c r="D533" s="46" t="n"/>
      <c r="E533" s="46"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IF(OR($B533="",$I533=""),"",IF(SUMPRODUCT((nrInstrNames&lt;&gt;"")*ISNUMBER(SEARCH(nrInstrNames,$I533)))&gt;0,"OK","UNRECOGNIZED"))</f>
        <v/>
      </c>
      <c r="O533" s="17">
        <f>IF(OR($B533="",$D533="",$E533=""),"",IF($E533=$D533,"CHECK TIMES (start = end)",IF($F533&gt;12,"CHECK TIMES (End is before Start?)","OK")))</f>
        <v/>
      </c>
    </row>
    <row r="534">
      <c r="B534" s="18" t="n"/>
      <c r="C534" s="17">
        <f>IF($B534="","",TEXT($B534,"ddd"))</f>
        <v/>
      </c>
      <c r="D534" s="46" t="n"/>
      <c r="E534" s="46"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IF(OR($B534="",$I534=""),"",IF(SUMPRODUCT((nrInstrNames&lt;&gt;"")*ISNUMBER(SEARCH(nrInstrNames,$I534)))&gt;0,"OK","UNRECOGNIZED"))</f>
        <v/>
      </c>
      <c r="O534" s="17">
        <f>IF(OR($B534="",$D534="",$E534=""),"",IF($E534=$D534,"CHECK TIMES (start = end)",IF($F534&gt;12,"CHECK TIMES (End is before Start?)","OK")))</f>
        <v/>
      </c>
    </row>
    <row r="535">
      <c r="B535" s="18" t="n"/>
      <c r="C535" s="17">
        <f>IF($B535="","",TEXT($B535,"ddd"))</f>
        <v/>
      </c>
      <c r="D535" s="46" t="n"/>
      <c r="E535" s="46"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IF(OR($B535="",$I535=""),"",IF(SUMPRODUCT((nrInstrNames&lt;&gt;"")*ISNUMBER(SEARCH(nrInstrNames,$I535)))&gt;0,"OK","UNRECOGNIZED"))</f>
        <v/>
      </c>
      <c r="O535" s="17">
        <f>IF(OR($B535="",$D535="",$E535=""),"",IF($E535=$D535,"CHECK TIMES (start = end)",IF($F535&gt;12,"CHECK TIMES (End is before Start?)","OK")))</f>
        <v/>
      </c>
    </row>
    <row r="536">
      <c r="B536" s="18" t="n"/>
      <c r="C536" s="17">
        <f>IF($B536="","",TEXT($B536,"ddd"))</f>
        <v/>
      </c>
      <c r="D536" s="46" t="n"/>
      <c r="E536" s="46"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IF(OR($B536="",$I536=""),"",IF(SUMPRODUCT((nrInstrNames&lt;&gt;"")*ISNUMBER(SEARCH(nrInstrNames,$I536)))&gt;0,"OK","UNRECOGNIZED"))</f>
        <v/>
      </c>
      <c r="O536" s="17">
        <f>IF(OR($B536="",$D536="",$E536=""),"",IF($E536=$D536,"CHECK TIMES (start = end)",IF($F536&gt;12,"CHECK TIMES (End is before Start?)","OK")))</f>
        <v/>
      </c>
    </row>
    <row r="537">
      <c r="B537" s="18" t="n"/>
      <c r="C537" s="17">
        <f>IF($B537="","",TEXT($B537,"ddd"))</f>
        <v/>
      </c>
      <c r="D537" s="46" t="n"/>
      <c r="E537" s="46"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IF(OR($B537="",$I537=""),"",IF(SUMPRODUCT((nrInstrNames&lt;&gt;"")*ISNUMBER(SEARCH(nrInstrNames,$I537)))&gt;0,"OK","UNRECOGNIZED"))</f>
        <v/>
      </c>
      <c r="O537" s="17">
        <f>IF(OR($B537="",$D537="",$E537=""),"",IF($E537=$D537,"CHECK TIMES (start = end)",IF($F537&gt;12,"CHECK TIMES (End is before Start?)","OK")))</f>
        <v/>
      </c>
    </row>
    <row r="538">
      <c r="B538" s="18" t="n"/>
      <c r="C538" s="17">
        <f>IF($B538="","",TEXT($B538,"ddd"))</f>
        <v/>
      </c>
      <c r="D538" s="46" t="n"/>
      <c r="E538" s="46"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IF(OR($B538="",$I538=""),"",IF(SUMPRODUCT((nrInstrNames&lt;&gt;"")*ISNUMBER(SEARCH(nrInstrNames,$I538)))&gt;0,"OK","UNRECOGNIZED"))</f>
        <v/>
      </c>
      <c r="O538" s="17">
        <f>IF(OR($B538="",$D538="",$E538=""),"",IF($E538=$D538,"CHECK TIMES (start = end)",IF($F538&gt;12,"CHECK TIMES (End is before Start?)","OK")))</f>
        <v/>
      </c>
    </row>
    <row r="539">
      <c r="B539" s="18" t="n"/>
      <c r="C539" s="17">
        <f>IF($B539="","",TEXT($B539,"ddd"))</f>
        <v/>
      </c>
      <c r="D539" s="46" t="n"/>
      <c r="E539" s="46"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IF(OR($B539="",$I539=""),"",IF(SUMPRODUCT((nrInstrNames&lt;&gt;"")*ISNUMBER(SEARCH(nrInstrNames,$I539)))&gt;0,"OK","UNRECOGNIZED"))</f>
        <v/>
      </c>
      <c r="O539" s="17">
        <f>IF(OR($B539="",$D539="",$E539=""),"",IF($E539=$D539,"CHECK TIMES (start = end)",IF($F539&gt;12,"CHECK TIMES (End is before Start?)","OK")))</f>
        <v/>
      </c>
    </row>
    <row r="540">
      <c r="B540" s="18" t="n"/>
      <c r="C540" s="17">
        <f>IF($B540="","",TEXT($B540,"ddd"))</f>
        <v/>
      </c>
      <c r="D540" s="46" t="n"/>
      <c r="E540" s="46"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IF(OR($B540="",$I540=""),"",IF(SUMPRODUCT((nrInstrNames&lt;&gt;"")*ISNUMBER(SEARCH(nrInstrNames,$I540)))&gt;0,"OK","UNRECOGNIZED"))</f>
        <v/>
      </c>
      <c r="O540" s="17">
        <f>IF(OR($B540="",$D540="",$E540=""),"",IF($E540=$D540,"CHECK TIMES (start = end)",IF($F540&gt;12,"CHECK TIMES (End is before Start?)","OK")))</f>
        <v/>
      </c>
    </row>
    <row r="541">
      <c r="B541" s="18" t="n"/>
      <c r="C541" s="17">
        <f>IF($B541="","",TEXT($B541,"ddd"))</f>
        <v/>
      </c>
      <c r="D541" s="46" t="n"/>
      <c r="E541" s="46"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IF(OR($B541="",$I541=""),"",IF(SUMPRODUCT((nrInstrNames&lt;&gt;"")*ISNUMBER(SEARCH(nrInstrNames,$I541)))&gt;0,"OK","UNRECOGNIZED"))</f>
        <v/>
      </c>
      <c r="O541" s="17">
        <f>IF(OR($B541="",$D541="",$E541=""),"",IF($E541=$D541,"CHECK TIMES (start = end)",IF($F541&gt;12,"CHECK TIMES (End is before Start?)","OK")))</f>
        <v/>
      </c>
    </row>
    <row r="542">
      <c r="B542" s="18" t="n"/>
      <c r="C542" s="17">
        <f>IF($B542="","",TEXT($B542,"ddd"))</f>
        <v/>
      </c>
      <c r="D542" s="46" t="n"/>
      <c r="E542" s="46"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IF(OR($B542="",$I542=""),"",IF(SUMPRODUCT((nrInstrNames&lt;&gt;"")*ISNUMBER(SEARCH(nrInstrNames,$I542)))&gt;0,"OK","UNRECOGNIZED"))</f>
        <v/>
      </c>
      <c r="O542" s="17">
        <f>IF(OR($B542="",$D542="",$E542=""),"",IF($E542=$D542,"CHECK TIMES (start = end)",IF($F542&gt;12,"CHECK TIMES (End is before Start?)","OK")))</f>
        <v/>
      </c>
    </row>
    <row r="543">
      <c r="B543" s="18" t="n"/>
      <c r="C543" s="17">
        <f>IF($B543="","",TEXT($B543,"ddd"))</f>
        <v/>
      </c>
      <c r="D543" s="46" t="n"/>
      <c r="E543" s="46"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IF(OR($B543="",$I543=""),"",IF(SUMPRODUCT((nrInstrNames&lt;&gt;"")*ISNUMBER(SEARCH(nrInstrNames,$I543)))&gt;0,"OK","UNRECOGNIZED"))</f>
        <v/>
      </c>
      <c r="O543" s="17">
        <f>IF(OR($B543="",$D543="",$E543=""),"",IF($E543=$D543,"CHECK TIMES (start = end)",IF($F543&gt;12,"CHECK TIMES (End is before Start?)","OK")))</f>
        <v/>
      </c>
    </row>
    <row r="544">
      <c r="B544" s="18" t="n"/>
      <c r="C544" s="17">
        <f>IF($B544="","",TEXT($B544,"ddd"))</f>
        <v/>
      </c>
      <c r="D544" s="46" t="n"/>
      <c r="E544" s="46"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IF(OR($B544="",$I544=""),"",IF(SUMPRODUCT((nrInstrNames&lt;&gt;"")*ISNUMBER(SEARCH(nrInstrNames,$I544)))&gt;0,"OK","UNRECOGNIZED"))</f>
        <v/>
      </c>
      <c r="O544" s="17">
        <f>IF(OR($B544="",$D544="",$E544=""),"",IF($E544=$D544,"CHECK TIMES (start = end)",IF($F544&gt;12,"CHECK TIMES (End is before Start?)","OK")))</f>
        <v/>
      </c>
    </row>
    <row r="545">
      <c r="B545" s="18" t="n"/>
      <c r="C545" s="17">
        <f>IF($B545="","",TEXT($B545,"ddd"))</f>
        <v/>
      </c>
      <c r="D545" s="46" t="n"/>
      <c r="E545" s="46"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IF(OR($B545="",$I545=""),"",IF(SUMPRODUCT((nrInstrNames&lt;&gt;"")*ISNUMBER(SEARCH(nrInstrNames,$I545)))&gt;0,"OK","UNRECOGNIZED"))</f>
        <v/>
      </c>
      <c r="O545" s="17">
        <f>IF(OR($B545="",$D545="",$E545=""),"",IF($E545=$D545,"CHECK TIMES (start = end)",IF($F545&gt;12,"CHECK TIMES (End is before Start?)","OK")))</f>
        <v/>
      </c>
    </row>
    <row r="546">
      <c r="B546" s="18" t="n"/>
      <c r="C546" s="17">
        <f>IF($B546="","",TEXT($B546,"ddd"))</f>
        <v/>
      </c>
      <c r="D546" s="46" t="n"/>
      <c r="E546" s="46"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IF(OR($B546="",$I546=""),"",IF(SUMPRODUCT((nrInstrNames&lt;&gt;"")*ISNUMBER(SEARCH(nrInstrNames,$I546)))&gt;0,"OK","UNRECOGNIZED"))</f>
        <v/>
      </c>
      <c r="O546" s="17">
        <f>IF(OR($B546="",$D546="",$E546=""),"",IF($E546=$D546,"CHECK TIMES (start = end)",IF($F546&gt;12,"CHECK TIMES (End is before Start?)","OK")))</f>
        <v/>
      </c>
    </row>
    <row r="547">
      <c r="B547" s="18" t="n"/>
      <c r="C547" s="17">
        <f>IF($B547="","",TEXT($B547,"ddd"))</f>
        <v/>
      </c>
      <c r="D547" s="46" t="n"/>
      <c r="E547" s="46"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IF(OR($B547="",$I547=""),"",IF(SUMPRODUCT((nrInstrNames&lt;&gt;"")*ISNUMBER(SEARCH(nrInstrNames,$I547)))&gt;0,"OK","UNRECOGNIZED"))</f>
        <v/>
      </c>
      <c r="O547" s="17">
        <f>IF(OR($B547="",$D547="",$E547=""),"",IF($E547=$D547,"CHECK TIMES (start = end)",IF($F547&gt;12,"CHECK TIMES (End is before Start?)","OK")))</f>
        <v/>
      </c>
    </row>
    <row r="548">
      <c r="B548" s="18" t="n"/>
      <c r="C548" s="17">
        <f>IF($B548="","",TEXT($B548,"ddd"))</f>
        <v/>
      </c>
      <c r="D548" s="46" t="n"/>
      <c r="E548" s="46"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IF(OR($B548="",$I548=""),"",IF(SUMPRODUCT((nrInstrNames&lt;&gt;"")*ISNUMBER(SEARCH(nrInstrNames,$I548)))&gt;0,"OK","UNRECOGNIZED"))</f>
        <v/>
      </c>
      <c r="O548" s="17">
        <f>IF(OR($B548="",$D548="",$E548=""),"",IF($E548=$D548,"CHECK TIMES (start = end)",IF($F548&gt;12,"CHECK TIMES (End is before Start?)","OK")))</f>
        <v/>
      </c>
    </row>
    <row r="549">
      <c r="B549" s="18" t="n"/>
      <c r="C549" s="17">
        <f>IF($B549="","",TEXT($B549,"ddd"))</f>
        <v/>
      </c>
      <c r="D549" s="46" t="n"/>
      <c r="E549" s="46"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IF(OR($B549="",$I549=""),"",IF(SUMPRODUCT((nrInstrNames&lt;&gt;"")*ISNUMBER(SEARCH(nrInstrNames,$I549)))&gt;0,"OK","UNRECOGNIZED"))</f>
        <v/>
      </c>
      <c r="O549" s="17">
        <f>IF(OR($B549="",$D549="",$E549=""),"",IF($E549=$D549,"CHECK TIMES (start = end)",IF($F549&gt;12,"CHECK TIMES (End is before Start?)","OK")))</f>
        <v/>
      </c>
    </row>
    <row r="550">
      <c r="B550" s="18" t="n"/>
      <c r="C550" s="17">
        <f>IF($B550="","",TEXT($B550,"ddd"))</f>
        <v/>
      </c>
      <c r="D550" s="46" t="n"/>
      <c r="E550" s="46"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IF(OR($B550="",$I550=""),"",IF(SUMPRODUCT((nrInstrNames&lt;&gt;"")*ISNUMBER(SEARCH(nrInstrNames,$I550)))&gt;0,"OK","UNRECOGNIZED"))</f>
        <v/>
      </c>
      <c r="O550" s="17">
        <f>IF(OR($B550="",$D550="",$E550=""),"",IF($E550=$D550,"CHECK TIMES (start = end)",IF($F550&gt;12,"CHECK TIMES (End is before Start?)","OK")))</f>
        <v/>
      </c>
    </row>
    <row r="551">
      <c r="B551" s="18" t="n"/>
      <c r="C551" s="17">
        <f>IF($B551="","",TEXT($B551,"ddd"))</f>
        <v/>
      </c>
      <c r="D551" s="46" t="n"/>
      <c r="E551" s="46"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IF(OR($B551="",$I551=""),"",IF(SUMPRODUCT((nrInstrNames&lt;&gt;"")*ISNUMBER(SEARCH(nrInstrNames,$I551)))&gt;0,"OK","UNRECOGNIZED"))</f>
        <v/>
      </c>
      <c r="O551" s="17">
        <f>IF(OR($B551="",$D551="",$E551=""),"",IF($E551=$D551,"CHECK TIMES (start = end)",IF($F551&gt;12,"CHECK TIMES (End is before Start?)","OK")))</f>
        <v/>
      </c>
    </row>
    <row r="552">
      <c r="B552" s="18" t="n"/>
      <c r="C552" s="17">
        <f>IF($B552="","",TEXT($B552,"ddd"))</f>
        <v/>
      </c>
      <c r="D552" s="46" t="n"/>
      <c r="E552" s="46"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IF(OR($B552="",$I552=""),"",IF(SUMPRODUCT((nrInstrNames&lt;&gt;"")*ISNUMBER(SEARCH(nrInstrNames,$I552)))&gt;0,"OK","UNRECOGNIZED"))</f>
        <v/>
      </c>
      <c r="O552" s="17">
        <f>IF(OR($B552="",$D552="",$E552=""),"",IF($E552=$D552,"CHECK TIMES (start = end)",IF($F552&gt;12,"CHECK TIMES (End is before Start?)","OK")))</f>
        <v/>
      </c>
    </row>
    <row r="553">
      <c r="B553" s="18" t="n"/>
      <c r="C553" s="17">
        <f>IF($B553="","",TEXT($B553,"ddd"))</f>
        <v/>
      </c>
      <c r="D553" s="46" t="n"/>
      <c r="E553" s="46"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IF(OR($B553="",$I553=""),"",IF(SUMPRODUCT((nrInstrNames&lt;&gt;"")*ISNUMBER(SEARCH(nrInstrNames,$I553)))&gt;0,"OK","UNRECOGNIZED"))</f>
        <v/>
      </c>
      <c r="O553" s="17">
        <f>IF(OR($B553="",$D553="",$E553=""),"",IF($E553=$D553,"CHECK TIMES (start = end)",IF($F553&gt;12,"CHECK TIMES (End is before Start?)","OK")))</f>
        <v/>
      </c>
    </row>
    <row r="554">
      <c r="B554" s="18" t="n"/>
      <c r="C554" s="17">
        <f>IF($B554="","",TEXT($B554,"ddd"))</f>
        <v/>
      </c>
      <c r="D554" s="46" t="n"/>
      <c r="E554" s="46"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IF(OR($B554="",$I554=""),"",IF(SUMPRODUCT((nrInstrNames&lt;&gt;"")*ISNUMBER(SEARCH(nrInstrNames,$I554)))&gt;0,"OK","UNRECOGNIZED"))</f>
        <v/>
      </c>
      <c r="O554" s="17">
        <f>IF(OR($B554="",$D554="",$E554=""),"",IF($E554=$D554,"CHECK TIMES (start = end)",IF($F554&gt;12,"CHECK TIMES (End is before Start?)","OK")))</f>
        <v/>
      </c>
    </row>
    <row r="555">
      <c r="B555" s="18" t="n"/>
      <c r="C555" s="17">
        <f>IF($B555="","",TEXT($B555,"ddd"))</f>
        <v/>
      </c>
      <c r="D555" s="46" t="n"/>
      <c r="E555" s="46"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IF(OR($B555="",$I555=""),"",IF(SUMPRODUCT((nrInstrNames&lt;&gt;"")*ISNUMBER(SEARCH(nrInstrNames,$I555)))&gt;0,"OK","UNRECOGNIZED"))</f>
        <v/>
      </c>
      <c r="O555" s="17">
        <f>IF(OR($B555="",$D555="",$E555=""),"",IF($E555=$D555,"CHECK TIMES (start = end)",IF($F555&gt;12,"CHECK TIMES (End is before Start?)","OK")))</f>
        <v/>
      </c>
    </row>
    <row r="556">
      <c r="B556" s="18" t="n"/>
      <c r="C556" s="17">
        <f>IF($B556="","",TEXT($B556,"ddd"))</f>
        <v/>
      </c>
      <c r="D556" s="46" t="n"/>
      <c r="E556" s="46"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IF(OR($B556="",$I556=""),"",IF(SUMPRODUCT((nrInstrNames&lt;&gt;"")*ISNUMBER(SEARCH(nrInstrNames,$I556)))&gt;0,"OK","UNRECOGNIZED"))</f>
        <v/>
      </c>
      <c r="O556" s="17">
        <f>IF(OR($B556="",$D556="",$E556=""),"",IF($E556=$D556,"CHECK TIMES (start = end)",IF($F556&gt;12,"CHECK TIMES (End is before Start?)","OK")))</f>
        <v/>
      </c>
    </row>
    <row r="557">
      <c r="B557" s="18" t="n"/>
      <c r="C557" s="17">
        <f>IF($B557="","",TEXT($B557,"ddd"))</f>
        <v/>
      </c>
      <c r="D557" s="46" t="n"/>
      <c r="E557" s="46"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IF(OR($B557="",$I557=""),"",IF(SUMPRODUCT((nrInstrNames&lt;&gt;"")*ISNUMBER(SEARCH(nrInstrNames,$I557)))&gt;0,"OK","UNRECOGNIZED"))</f>
        <v/>
      </c>
      <c r="O557" s="17">
        <f>IF(OR($B557="",$D557="",$E557=""),"",IF($E557=$D557,"CHECK TIMES (start = end)",IF($F557&gt;12,"CHECK TIMES (End is before Start?)","OK")))</f>
        <v/>
      </c>
    </row>
    <row r="558">
      <c r="B558" s="18" t="n"/>
      <c r="C558" s="17">
        <f>IF($B558="","",TEXT($B558,"ddd"))</f>
        <v/>
      </c>
      <c r="D558" s="46" t="n"/>
      <c r="E558" s="46"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IF(OR($B558="",$I558=""),"",IF(SUMPRODUCT((nrInstrNames&lt;&gt;"")*ISNUMBER(SEARCH(nrInstrNames,$I558)))&gt;0,"OK","UNRECOGNIZED"))</f>
        <v/>
      </c>
      <c r="O558" s="17">
        <f>IF(OR($B558="",$D558="",$E558=""),"",IF($E558=$D558,"CHECK TIMES (start = end)",IF($F558&gt;12,"CHECK TIMES (End is before Start?)","OK")))</f>
        <v/>
      </c>
    </row>
    <row r="559">
      <c r="B559" s="18" t="n"/>
      <c r="C559" s="17">
        <f>IF($B559="","",TEXT($B559,"ddd"))</f>
        <v/>
      </c>
      <c r="D559" s="46" t="n"/>
      <c r="E559" s="46"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IF(OR($B559="",$I559=""),"",IF(SUMPRODUCT((nrInstrNames&lt;&gt;"")*ISNUMBER(SEARCH(nrInstrNames,$I559)))&gt;0,"OK","UNRECOGNIZED"))</f>
        <v/>
      </c>
      <c r="O559" s="17">
        <f>IF(OR($B559="",$D559="",$E559=""),"",IF($E559=$D559,"CHECK TIMES (start = end)",IF($F559&gt;12,"CHECK TIMES (End is before Start?)","OK")))</f>
        <v/>
      </c>
    </row>
    <row r="560">
      <c r="B560" s="18" t="n"/>
      <c r="C560" s="17">
        <f>IF($B560="","",TEXT($B560,"ddd"))</f>
        <v/>
      </c>
      <c r="D560" s="46" t="n"/>
      <c r="E560" s="46"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IF(OR($B560="",$I560=""),"",IF(SUMPRODUCT((nrInstrNames&lt;&gt;"")*ISNUMBER(SEARCH(nrInstrNames,$I560)))&gt;0,"OK","UNRECOGNIZED"))</f>
        <v/>
      </c>
      <c r="O560" s="17">
        <f>IF(OR($B560="",$D560="",$E560=""),"",IF($E560=$D560,"CHECK TIMES (start = end)",IF($F560&gt;12,"CHECK TIMES (End is before Start?)","OK")))</f>
        <v/>
      </c>
    </row>
    <row r="561">
      <c r="B561" s="18" t="n"/>
      <c r="C561" s="17">
        <f>IF($B561="","",TEXT($B561,"ddd"))</f>
        <v/>
      </c>
      <c r="D561" s="46" t="n"/>
      <c r="E561" s="46"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IF(OR($B561="",$I561=""),"",IF(SUMPRODUCT((nrInstrNames&lt;&gt;"")*ISNUMBER(SEARCH(nrInstrNames,$I561)))&gt;0,"OK","UNRECOGNIZED"))</f>
        <v/>
      </c>
      <c r="O561" s="17">
        <f>IF(OR($B561="",$D561="",$E561=""),"",IF($E561=$D561,"CHECK TIMES (start = end)",IF($F561&gt;12,"CHECK TIMES (End is before Start?)","OK")))</f>
        <v/>
      </c>
    </row>
    <row r="562">
      <c r="B562" s="18" t="n"/>
      <c r="C562" s="17">
        <f>IF($B562="","",TEXT($B562,"ddd"))</f>
        <v/>
      </c>
      <c r="D562" s="46" t="n"/>
      <c r="E562" s="46"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IF(OR($B562="",$I562=""),"",IF(SUMPRODUCT((nrInstrNames&lt;&gt;"")*ISNUMBER(SEARCH(nrInstrNames,$I562)))&gt;0,"OK","UNRECOGNIZED"))</f>
        <v/>
      </c>
      <c r="O562" s="17">
        <f>IF(OR($B562="",$D562="",$E562=""),"",IF($E562=$D562,"CHECK TIMES (start = end)",IF($F562&gt;12,"CHECK TIMES (End is before Start?)","OK")))</f>
        <v/>
      </c>
    </row>
    <row r="563">
      <c r="B563" s="18" t="n"/>
      <c r="C563" s="17">
        <f>IF($B563="","",TEXT($B563,"ddd"))</f>
        <v/>
      </c>
      <c r="D563" s="46" t="n"/>
      <c r="E563" s="46"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IF(OR($B563="",$I563=""),"",IF(SUMPRODUCT((nrInstrNames&lt;&gt;"")*ISNUMBER(SEARCH(nrInstrNames,$I563)))&gt;0,"OK","UNRECOGNIZED"))</f>
        <v/>
      </c>
      <c r="O563" s="17">
        <f>IF(OR($B563="",$D563="",$E563=""),"",IF($E563=$D563,"CHECK TIMES (start = end)",IF($F563&gt;12,"CHECK TIMES (End is before Start?)","OK")))</f>
        <v/>
      </c>
    </row>
    <row r="564">
      <c r="B564" s="18" t="n"/>
      <c r="C564" s="17">
        <f>IF($B564="","",TEXT($B564,"ddd"))</f>
        <v/>
      </c>
      <c r="D564" s="46" t="n"/>
      <c r="E564" s="46"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IF(OR($B564="",$I564=""),"",IF(SUMPRODUCT((nrInstrNames&lt;&gt;"")*ISNUMBER(SEARCH(nrInstrNames,$I564)))&gt;0,"OK","UNRECOGNIZED"))</f>
        <v/>
      </c>
      <c r="O564" s="17">
        <f>IF(OR($B564="",$D564="",$E564=""),"",IF($E564=$D564,"CHECK TIMES (start = end)",IF($F564&gt;12,"CHECK TIMES (End is before Start?)","OK")))</f>
        <v/>
      </c>
    </row>
    <row r="565">
      <c r="B565" s="18" t="n"/>
      <c r="C565" s="17">
        <f>IF($B565="","",TEXT($B565,"ddd"))</f>
        <v/>
      </c>
      <c r="D565" s="46" t="n"/>
      <c r="E565" s="46"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IF(OR($B565="",$I565=""),"",IF(SUMPRODUCT((nrInstrNames&lt;&gt;"")*ISNUMBER(SEARCH(nrInstrNames,$I565)))&gt;0,"OK","UNRECOGNIZED"))</f>
        <v/>
      </c>
      <c r="O565" s="17">
        <f>IF(OR($B565="",$D565="",$E565=""),"",IF($E565=$D565,"CHECK TIMES (start = end)",IF($F565&gt;12,"CHECK TIMES (End is before Start?)","OK")))</f>
        <v/>
      </c>
    </row>
    <row r="566">
      <c r="B566" s="18" t="n"/>
      <c r="C566" s="17">
        <f>IF($B566="","",TEXT($B566,"ddd"))</f>
        <v/>
      </c>
      <c r="D566" s="46" t="n"/>
      <c r="E566" s="46"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IF(OR($B566="",$I566=""),"",IF(SUMPRODUCT((nrInstrNames&lt;&gt;"")*ISNUMBER(SEARCH(nrInstrNames,$I566)))&gt;0,"OK","UNRECOGNIZED"))</f>
        <v/>
      </c>
      <c r="O566" s="17">
        <f>IF(OR($B566="",$D566="",$E566=""),"",IF($E566=$D566,"CHECK TIMES (start = end)",IF($F566&gt;12,"CHECK TIMES (End is before Start?)","OK")))</f>
        <v/>
      </c>
    </row>
    <row r="567">
      <c r="B567" s="18" t="n"/>
      <c r="C567" s="17">
        <f>IF($B567="","",TEXT($B567,"ddd"))</f>
        <v/>
      </c>
      <c r="D567" s="46" t="n"/>
      <c r="E567" s="46"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IF(OR($B567="",$I567=""),"",IF(SUMPRODUCT((nrInstrNames&lt;&gt;"")*ISNUMBER(SEARCH(nrInstrNames,$I567)))&gt;0,"OK","UNRECOGNIZED"))</f>
        <v/>
      </c>
      <c r="O567" s="17">
        <f>IF(OR($B567="",$D567="",$E567=""),"",IF($E567=$D567,"CHECK TIMES (start = end)",IF($F567&gt;12,"CHECK TIMES (End is before Start?)","OK")))</f>
        <v/>
      </c>
    </row>
    <row r="568">
      <c r="B568" s="18" t="n"/>
      <c r="C568" s="17">
        <f>IF($B568="","",TEXT($B568,"ddd"))</f>
        <v/>
      </c>
      <c r="D568" s="46" t="n"/>
      <c r="E568" s="46"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IF(OR($B568="",$I568=""),"",IF(SUMPRODUCT((nrInstrNames&lt;&gt;"")*ISNUMBER(SEARCH(nrInstrNames,$I568)))&gt;0,"OK","UNRECOGNIZED"))</f>
        <v/>
      </c>
      <c r="O568" s="17">
        <f>IF(OR($B568="",$D568="",$E568=""),"",IF($E568=$D568,"CHECK TIMES (start = end)",IF($F568&gt;12,"CHECK TIMES (End is before Start?)","OK")))</f>
        <v/>
      </c>
    </row>
    <row r="569">
      <c r="B569" s="18" t="n"/>
      <c r="C569" s="17">
        <f>IF($B569="","",TEXT($B569,"ddd"))</f>
        <v/>
      </c>
      <c r="D569" s="46" t="n"/>
      <c r="E569" s="46"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IF(OR($B569="",$I569=""),"",IF(SUMPRODUCT((nrInstrNames&lt;&gt;"")*ISNUMBER(SEARCH(nrInstrNames,$I569)))&gt;0,"OK","UNRECOGNIZED"))</f>
        <v/>
      </c>
      <c r="O569" s="17">
        <f>IF(OR($B569="",$D569="",$E569=""),"",IF($E569=$D569,"CHECK TIMES (start = end)",IF($F569&gt;12,"CHECK TIMES (End is before Start?)","OK")))</f>
        <v/>
      </c>
    </row>
    <row r="570">
      <c r="B570" s="18" t="n"/>
      <c r="C570" s="17">
        <f>IF($B570="","",TEXT($B570,"ddd"))</f>
        <v/>
      </c>
      <c r="D570" s="46" t="n"/>
      <c r="E570" s="46"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IF(OR($B570="",$I570=""),"",IF(SUMPRODUCT((nrInstrNames&lt;&gt;"")*ISNUMBER(SEARCH(nrInstrNames,$I570)))&gt;0,"OK","UNRECOGNIZED"))</f>
        <v/>
      </c>
      <c r="O570" s="17">
        <f>IF(OR($B570="",$D570="",$E570=""),"",IF($E570=$D570,"CHECK TIMES (start = end)",IF($F570&gt;12,"CHECK TIMES (End is before Start?)","OK")))</f>
        <v/>
      </c>
    </row>
    <row r="571">
      <c r="B571" s="18" t="n"/>
      <c r="C571" s="17">
        <f>IF($B571="","",TEXT($B571,"ddd"))</f>
        <v/>
      </c>
      <c r="D571" s="46" t="n"/>
      <c r="E571" s="46"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IF(OR($B571="",$I571=""),"",IF(SUMPRODUCT((nrInstrNames&lt;&gt;"")*ISNUMBER(SEARCH(nrInstrNames,$I571)))&gt;0,"OK","UNRECOGNIZED"))</f>
        <v/>
      </c>
      <c r="O571" s="17">
        <f>IF(OR($B571="",$D571="",$E571=""),"",IF($E571=$D571,"CHECK TIMES (start = end)",IF($F571&gt;12,"CHECK TIMES (End is before Start?)","OK")))</f>
        <v/>
      </c>
    </row>
    <row r="572">
      <c r="B572" s="18" t="n"/>
      <c r="C572" s="17">
        <f>IF($B572="","",TEXT($B572,"ddd"))</f>
        <v/>
      </c>
      <c r="D572" s="46" t="n"/>
      <c r="E572" s="46"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IF(OR($B572="",$I572=""),"",IF(SUMPRODUCT((nrInstrNames&lt;&gt;"")*ISNUMBER(SEARCH(nrInstrNames,$I572)))&gt;0,"OK","UNRECOGNIZED"))</f>
        <v/>
      </c>
      <c r="O572" s="17">
        <f>IF(OR($B572="",$D572="",$E572=""),"",IF($E572=$D572,"CHECK TIMES (start = end)",IF($F572&gt;12,"CHECK TIMES (End is before Start?)","OK")))</f>
        <v/>
      </c>
    </row>
    <row r="573">
      <c r="B573" s="18" t="n"/>
      <c r="C573" s="17">
        <f>IF($B573="","",TEXT($B573,"ddd"))</f>
        <v/>
      </c>
      <c r="D573" s="46" t="n"/>
      <c r="E573" s="46"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IF(OR($B573="",$I573=""),"",IF(SUMPRODUCT((nrInstrNames&lt;&gt;"")*ISNUMBER(SEARCH(nrInstrNames,$I573)))&gt;0,"OK","UNRECOGNIZED"))</f>
        <v/>
      </c>
      <c r="O573" s="17">
        <f>IF(OR($B573="",$D573="",$E573=""),"",IF($E573=$D573,"CHECK TIMES (start = end)",IF($F573&gt;12,"CHECK TIMES (End is before Start?)","OK")))</f>
        <v/>
      </c>
    </row>
    <row r="574">
      <c r="B574" s="18" t="n"/>
      <c r="C574" s="17">
        <f>IF($B574="","",TEXT($B574,"ddd"))</f>
        <v/>
      </c>
      <c r="D574" s="46" t="n"/>
      <c r="E574" s="46"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IF(OR($B574="",$I574=""),"",IF(SUMPRODUCT((nrInstrNames&lt;&gt;"")*ISNUMBER(SEARCH(nrInstrNames,$I574)))&gt;0,"OK","UNRECOGNIZED"))</f>
        <v/>
      </c>
      <c r="O574" s="17">
        <f>IF(OR($B574="",$D574="",$E574=""),"",IF($E574=$D574,"CHECK TIMES (start = end)",IF($F574&gt;12,"CHECK TIMES (End is before Start?)","OK")))</f>
        <v/>
      </c>
    </row>
    <row r="575">
      <c r="B575" s="18" t="n"/>
      <c r="C575" s="17">
        <f>IF($B575="","",TEXT($B575,"ddd"))</f>
        <v/>
      </c>
      <c r="D575" s="46" t="n"/>
      <c r="E575" s="46"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IF(OR($B575="",$I575=""),"",IF(SUMPRODUCT((nrInstrNames&lt;&gt;"")*ISNUMBER(SEARCH(nrInstrNames,$I575)))&gt;0,"OK","UNRECOGNIZED"))</f>
        <v/>
      </c>
      <c r="O575" s="17">
        <f>IF(OR($B575="",$D575="",$E575=""),"",IF($E575=$D575,"CHECK TIMES (start = end)",IF($F575&gt;12,"CHECK TIMES (End is before Start?)","OK")))</f>
        <v/>
      </c>
    </row>
    <row r="576">
      <c r="B576" s="18" t="n"/>
      <c r="C576" s="17">
        <f>IF($B576="","",TEXT($B576,"ddd"))</f>
        <v/>
      </c>
      <c r="D576" s="46" t="n"/>
      <c r="E576" s="46"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IF(OR($B576="",$I576=""),"",IF(SUMPRODUCT((nrInstrNames&lt;&gt;"")*ISNUMBER(SEARCH(nrInstrNames,$I576)))&gt;0,"OK","UNRECOGNIZED"))</f>
        <v/>
      </c>
      <c r="O576" s="17">
        <f>IF(OR($B576="",$D576="",$E576=""),"",IF($E576=$D576,"CHECK TIMES (start = end)",IF($F576&gt;12,"CHECK TIMES (End is before Start?)","OK")))</f>
        <v/>
      </c>
    </row>
    <row r="577">
      <c r="B577" s="18" t="n"/>
      <c r="C577" s="17">
        <f>IF($B577="","",TEXT($B577,"ddd"))</f>
        <v/>
      </c>
      <c r="D577" s="46" t="n"/>
      <c r="E577" s="46"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IF(OR($B577="",$I577=""),"",IF(SUMPRODUCT((nrInstrNames&lt;&gt;"")*ISNUMBER(SEARCH(nrInstrNames,$I577)))&gt;0,"OK","UNRECOGNIZED"))</f>
        <v/>
      </c>
      <c r="O577" s="17">
        <f>IF(OR($B577="",$D577="",$E577=""),"",IF($E577=$D577,"CHECK TIMES (start = end)",IF($F577&gt;12,"CHECK TIMES (End is before Start?)","OK")))</f>
        <v/>
      </c>
    </row>
    <row r="578">
      <c r="B578" s="18" t="n"/>
      <c r="C578" s="17">
        <f>IF($B578="","",TEXT($B578,"ddd"))</f>
        <v/>
      </c>
      <c r="D578" s="46" t="n"/>
      <c r="E578" s="46"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IF(OR($B578="",$I578=""),"",IF(SUMPRODUCT((nrInstrNames&lt;&gt;"")*ISNUMBER(SEARCH(nrInstrNames,$I578)))&gt;0,"OK","UNRECOGNIZED"))</f>
        <v/>
      </c>
      <c r="O578" s="17">
        <f>IF(OR($B578="",$D578="",$E578=""),"",IF($E578=$D578,"CHECK TIMES (start = end)",IF($F578&gt;12,"CHECK TIMES (End is before Start?)","OK")))</f>
        <v/>
      </c>
    </row>
    <row r="579">
      <c r="B579" s="18" t="n"/>
      <c r="C579" s="17">
        <f>IF($B579="","",TEXT($B579,"ddd"))</f>
        <v/>
      </c>
      <c r="D579" s="46" t="n"/>
      <c r="E579" s="46"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IF(OR($B579="",$I579=""),"",IF(SUMPRODUCT((nrInstrNames&lt;&gt;"")*ISNUMBER(SEARCH(nrInstrNames,$I579)))&gt;0,"OK","UNRECOGNIZED"))</f>
        <v/>
      </c>
      <c r="O579" s="17">
        <f>IF(OR($B579="",$D579="",$E579=""),"",IF($E579=$D579,"CHECK TIMES (start = end)",IF($F579&gt;12,"CHECK TIMES (End is before Start?)","OK")))</f>
        <v/>
      </c>
    </row>
    <row r="580">
      <c r="B580" s="18" t="n"/>
      <c r="C580" s="17">
        <f>IF($B580="","",TEXT($B580,"ddd"))</f>
        <v/>
      </c>
      <c r="D580" s="46" t="n"/>
      <c r="E580" s="46"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IF(OR($B580="",$I580=""),"",IF(SUMPRODUCT((nrInstrNames&lt;&gt;"")*ISNUMBER(SEARCH(nrInstrNames,$I580)))&gt;0,"OK","UNRECOGNIZED"))</f>
        <v/>
      </c>
      <c r="O580" s="17">
        <f>IF(OR($B580="",$D580="",$E580=""),"",IF($E580=$D580,"CHECK TIMES (start = end)",IF($F580&gt;12,"CHECK TIMES (End is before Start?)","OK")))</f>
        <v/>
      </c>
    </row>
    <row r="581">
      <c r="B581" s="18" t="n"/>
      <c r="C581" s="17">
        <f>IF($B581="","",TEXT($B581,"ddd"))</f>
        <v/>
      </c>
      <c r="D581" s="46" t="n"/>
      <c r="E581" s="46"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IF(OR($B581="",$I581=""),"",IF(SUMPRODUCT((nrInstrNames&lt;&gt;"")*ISNUMBER(SEARCH(nrInstrNames,$I581)))&gt;0,"OK","UNRECOGNIZED"))</f>
        <v/>
      </c>
      <c r="O581" s="17">
        <f>IF(OR($B581="",$D581="",$E581=""),"",IF($E581=$D581,"CHECK TIMES (start = end)",IF($F581&gt;12,"CHECK TIMES (End is before Start?)","OK")))</f>
        <v/>
      </c>
    </row>
    <row r="582">
      <c r="B582" s="18" t="n"/>
      <c r="C582" s="17">
        <f>IF($B582="","",TEXT($B582,"ddd"))</f>
        <v/>
      </c>
      <c r="D582" s="46" t="n"/>
      <c r="E582" s="46"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IF(OR($B582="",$I582=""),"",IF(SUMPRODUCT((nrInstrNames&lt;&gt;"")*ISNUMBER(SEARCH(nrInstrNames,$I582)))&gt;0,"OK","UNRECOGNIZED"))</f>
        <v/>
      </c>
      <c r="O582" s="17">
        <f>IF(OR($B582="",$D582="",$E582=""),"",IF($E582=$D582,"CHECK TIMES (start = end)",IF($F582&gt;12,"CHECK TIMES (End is before Start?)","OK")))</f>
        <v/>
      </c>
    </row>
    <row r="583">
      <c r="B583" s="18" t="n"/>
      <c r="C583" s="17">
        <f>IF($B583="","",TEXT($B583,"ddd"))</f>
        <v/>
      </c>
      <c r="D583" s="46" t="n"/>
      <c r="E583" s="46"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IF(OR($B583="",$I583=""),"",IF(SUMPRODUCT((nrInstrNames&lt;&gt;"")*ISNUMBER(SEARCH(nrInstrNames,$I583)))&gt;0,"OK","UNRECOGNIZED"))</f>
        <v/>
      </c>
      <c r="O583" s="17">
        <f>IF(OR($B583="",$D583="",$E583=""),"",IF($E583=$D583,"CHECK TIMES (start = end)",IF($F583&gt;12,"CHECK TIMES (End is before Start?)","OK")))</f>
        <v/>
      </c>
    </row>
    <row r="584">
      <c r="B584" s="18" t="n"/>
      <c r="C584" s="17">
        <f>IF($B584="","",TEXT($B584,"ddd"))</f>
        <v/>
      </c>
      <c r="D584" s="46" t="n"/>
      <c r="E584" s="46"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IF(OR($B584="",$I584=""),"",IF(SUMPRODUCT((nrInstrNames&lt;&gt;"")*ISNUMBER(SEARCH(nrInstrNames,$I584)))&gt;0,"OK","UNRECOGNIZED"))</f>
        <v/>
      </c>
      <c r="O584" s="17">
        <f>IF(OR($B584="",$D584="",$E584=""),"",IF($E584=$D584,"CHECK TIMES (start = end)",IF($F584&gt;12,"CHECK TIMES (End is before Start?)","OK")))</f>
        <v/>
      </c>
    </row>
    <row r="585">
      <c r="B585" s="18" t="n"/>
      <c r="C585" s="17">
        <f>IF($B585="","",TEXT($B585,"ddd"))</f>
        <v/>
      </c>
      <c r="D585" s="46" t="n"/>
      <c r="E585" s="46"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IF(OR($B585="",$I585=""),"",IF(SUMPRODUCT((nrInstrNames&lt;&gt;"")*ISNUMBER(SEARCH(nrInstrNames,$I585)))&gt;0,"OK","UNRECOGNIZED"))</f>
        <v/>
      </c>
      <c r="O585" s="17">
        <f>IF(OR($B585="",$D585="",$E585=""),"",IF($E585=$D585,"CHECK TIMES (start = end)",IF($F585&gt;12,"CHECK TIMES (End is before Start?)","OK")))</f>
        <v/>
      </c>
    </row>
    <row r="586">
      <c r="B586" s="18" t="n"/>
      <c r="C586" s="17">
        <f>IF($B586="","",TEXT($B586,"ddd"))</f>
        <v/>
      </c>
      <c r="D586" s="46" t="n"/>
      <c r="E586" s="46"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IF(OR($B586="",$I586=""),"",IF(SUMPRODUCT((nrInstrNames&lt;&gt;"")*ISNUMBER(SEARCH(nrInstrNames,$I586)))&gt;0,"OK","UNRECOGNIZED"))</f>
        <v/>
      </c>
      <c r="O586" s="17">
        <f>IF(OR($B586="",$D586="",$E586=""),"",IF($E586=$D586,"CHECK TIMES (start = end)",IF($F586&gt;12,"CHECK TIMES (End is before Start?)","OK")))</f>
        <v/>
      </c>
    </row>
    <row r="587">
      <c r="B587" s="18" t="n"/>
      <c r="C587" s="17">
        <f>IF($B587="","",TEXT($B587,"ddd"))</f>
        <v/>
      </c>
      <c r="D587" s="46" t="n"/>
      <c r="E587" s="46"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IF(OR($B587="",$I587=""),"",IF(SUMPRODUCT((nrInstrNames&lt;&gt;"")*ISNUMBER(SEARCH(nrInstrNames,$I587)))&gt;0,"OK","UNRECOGNIZED"))</f>
        <v/>
      </c>
      <c r="O587" s="17">
        <f>IF(OR($B587="",$D587="",$E587=""),"",IF($E587=$D587,"CHECK TIMES (start = end)",IF($F587&gt;12,"CHECK TIMES (End is before Start?)","OK")))</f>
        <v/>
      </c>
    </row>
    <row r="588">
      <c r="B588" s="18" t="n"/>
      <c r="C588" s="17">
        <f>IF($B588="","",TEXT($B588,"ddd"))</f>
        <v/>
      </c>
      <c r="D588" s="46" t="n"/>
      <c r="E588" s="46"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IF(OR($B588="",$I588=""),"",IF(SUMPRODUCT((nrInstrNames&lt;&gt;"")*ISNUMBER(SEARCH(nrInstrNames,$I588)))&gt;0,"OK","UNRECOGNIZED"))</f>
        <v/>
      </c>
      <c r="O588" s="17">
        <f>IF(OR($B588="",$D588="",$E588=""),"",IF($E588=$D588,"CHECK TIMES (start = end)",IF($F588&gt;12,"CHECK TIMES (End is before Start?)","OK")))</f>
        <v/>
      </c>
    </row>
    <row r="589">
      <c r="B589" s="18" t="n"/>
      <c r="C589" s="17">
        <f>IF($B589="","",TEXT($B589,"ddd"))</f>
        <v/>
      </c>
      <c r="D589" s="46" t="n"/>
      <c r="E589" s="46"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IF(OR($B589="",$I589=""),"",IF(SUMPRODUCT((nrInstrNames&lt;&gt;"")*ISNUMBER(SEARCH(nrInstrNames,$I589)))&gt;0,"OK","UNRECOGNIZED"))</f>
        <v/>
      </c>
      <c r="O589" s="17">
        <f>IF(OR($B589="",$D589="",$E589=""),"",IF($E589=$D589,"CHECK TIMES (start = end)",IF($F589&gt;12,"CHECK TIMES (End is before Start?)","OK")))</f>
        <v/>
      </c>
    </row>
    <row r="590">
      <c r="B590" s="18" t="n"/>
      <c r="C590" s="17">
        <f>IF($B590="","",TEXT($B590,"ddd"))</f>
        <v/>
      </c>
      <c r="D590" s="46" t="n"/>
      <c r="E590" s="46"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IF(OR($B590="",$I590=""),"",IF(SUMPRODUCT((nrInstrNames&lt;&gt;"")*ISNUMBER(SEARCH(nrInstrNames,$I590)))&gt;0,"OK","UNRECOGNIZED"))</f>
        <v/>
      </c>
      <c r="O590" s="17">
        <f>IF(OR($B590="",$D590="",$E590=""),"",IF($E590=$D590,"CHECK TIMES (start = end)",IF($F590&gt;12,"CHECK TIMES (End is before Start?)","OK")))</f>
        <v/>
      </c>
    </row>
    <row r="591">
      <c r="B591" s="18" t="n"/>
      <c r="C591" s="17">
        <f>IF($B591="","",TEXT($B591,"ddd"))</f>
        <v/>
      </c>
      <c r="D591" s="46" t="n"/>
      <c r="E591" s="46"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IF(OR($B591="",$I591=""),"",IF(SUMPRODUCT((nrInstrNames&lt;&gt;"")*ISNUMBER(SEARCH(nrInstrNames,$I591)))&gt;0,"OK","UNRECOGNIZED"))</f>
        <v/>
      </c>
      <c r="O591" s="17">
        <f>IF(OR($B591="",$D591="",$E591=""),"",IF($E591=$D591,"CHECK TIMES (start = end)",IF($F591&gt;12,"CHECK TIMES (End is before Start?)","OK")))</f>
        <v/>
      </c>
    </row>
    <row r="592">
      <c r="B592" s="18" t="n"/>
      <c r="C592" s="17">
        <f>IF($B592="","",TEXT($B592,"ddd"))</f>
        <v/>
      </c>
      <c r="D592" s="46" t="n"/>
      <c r="E592" s="46"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IF(OR($B592="",$I592=""),"",IF(SUMPRODUCT((nrInstrNames&lt;&gt;"")*ISNUMBER(SEARCH(nrInstrNames,$I592)))&gt;0,"OK","UNRECOGNIZED"))</f>
        <v/>
      </c>
      <c r="O592" s="17">
        <f>IF(OR($B592="",$D592="",$E592=""),"",IF($E592=$D592,"CHECK TIMES (start = end)",IF($F592&gt;12,"CHECK TIMES (End is before Start?)","OK")))</f>
        <v/>
      </c>
    </row>
    <row r="593">
      <c r="B593" s="18" t="n"/>
      <c r="C593" s="17">
        <f>IF($B593="","",TEXT($B593,"ddd"))</f>
        <v/>
      </c>
      <c r="D593" s="46" t="n"/>
      <c r="E593" s="46"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IF(OR($B593="",$I593=""),"",IF(SUMPRODUCT((nrInstrNames&lt;&gt;"")*ISNUMBER(SEARCH(nrInstrNames,$I593)))&gt;0,"OK","UNRECOGNIZED"))</f>
        <v/>
      </c>
      <c r="O593" s="17">
        <f>IF(OR($B593="",$D593="",$E593=""),"",IF($E593=$D593,"CHECK TIMES (start = end)",IF($F593&gt;12,"CHECK TIMES (End is before Start?)","OK")))</f>
        <v/>
      </c>
    </row>
    <row r="594">
      <c r="B594" s="18" t="n"/>
      <c r="C594" s="17">
        <f>IF($B594="","",TEXT($B594,"ddd"))</f>
        <v/>
      </c>
      <c r="D594" s="46" t="n"/>
      <c r="E594" s="46"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IF(OR($B594="",$I594=""),"",IF(SUMPRODUCT((nrInstrNames&lt;&gt;"")*ISNUMBER(SEARCH(nrInstrNames,$I594)))&gt;0,"OK","UNRECOGNIZED"))</f>
        <v/>
      </c>
      <c r="O594" s="17">
        <f>IF(OR($B594="",$D594="",$E594=""),"",IF($E594=$D594,"CHECK TIMES (start = end)",IF($F594&gt;12,"CHECK TIMES (End is before Start?)","OK")))</f>
        <v/>
      </c>
    </row>
    <row r="595">
      <c r="B595" s="18" t="n"/>
      <c r="C595" s="17">
        <f>IF($B595="","",TEXT($B595,"ddd"))</f>
        <v/>
      </c>
      <c r="D595" s="46" t="n"/>
      <c r="E595" s="46"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IF(OR($B595="",$I595=""),"",IF(SUMPRODUCT((nrInstrNames&lt;&gt;"")*ISNUMBER(SEARCH(nrInstrNames,$I595)))&gt;0,"OK","UNRECOGNIZED"))</f>
        <v/>
      </c>
      <c r="O595" s="17">
        <f>IF(OR($B595="",$D595="",$E595=""),"",IF($E595=$D595,"CHECK TIMES (start = end)",IF($F595&gt;12,"CHECK TIMES (End is before Start?)","OK")))</f>
        <v/>
      </c>
    </row>
    <row r="596">
      <c r="B596" s="18" t="n"/>
      <c r="C596" s="17">
        <f>IF($B596="","",TEXT($B596,"ddd"))</f>
        <v/>
      </c>
      <c r="D596" s="46" t="n"/>
      <c r="E596" s="46"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IF(OR($B596="",$I596=""),"",IF(SUMPRODUCT((nrInstrNames&lt;&gt;"")*ISNUMBER(SEARCH(nrInstrNames,$I596)))&gt;0,"OK","UNRECOGNIZED"))</f>
        <v/>
      </c>
      <c r="O596" s="17">
        <f>IF(OR($B596="",$D596="",$E596=""),"",IF($E596=$D596,"CHECK TIMES (start = end)",IF($F596&gt;12,"CHECK TIMES (End is before Start?)","OK")))</f>
        <v/>
      </c>
    </row>
    <row r="597">
      <c r="B597" s="18" t="n"/>
      <c r="C597" s="17">
        <f>IF($B597="","",TEXT($B597,"ddd"))</f>
        <v/>
      </c>
      <c r="D597" s="46" t="n"/>
      <c r="E597" s="46"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IF(OR($B597="",$I597=""),"",IF(SUMPRODUCT((nrInstrNames&lt;&gt;"")*ISNUMBER(SEARCH(nrInstrNames,$I597)))&gt;0,"OK","UNRECOGNIZED"))</f>
        <v/>
      </c>
      <c r="O597" s="17">
        <f>IF(OR($B597="",$D597="",$E597=""),"",IF($E597=$D597,"CHECK TIMES (start = end)",IF($F597&gt;12,"CHECK TIMES (End is before Start?)","OK")))</f>
        <v/>
      </c>
    </row>
    <row r="598">
      <c r="B598" s="18" t="n"/>
      <c r="C598" s="17">
        <f>IF($B598="","",TEXT($B598,"ddd"))</f>
        <v/>
      </c>
      <c r="D598" s="46" t="n"/>
      <c r="E598" s="46"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IF(OR($B598="",$I598=""),"",IF(SUMPRODUCT((nrInstrNames&lt;&gt;"")*ISNUMBER(SEARCH(nrInstrNames,$I598)))&gt;0,"OK","UNRECOGNIZED"))</f>
        <v/>
      </c>
      <c r="O598" s="17">
        <f>IF(OR($B598="",$D598="",$E598=""),"",IF($E598=$D598,"CHECK TIMES (start = end)",IF($F598&gt;12,"CHECK TIMES (End is before Start?)","OK")))</f>
        <v/>
      </c>
    </row>
    <row r="599">
      <c r="B599" s="18" t="n"/>
      <c r="C599" s="17">
        <f>IF($B599="","",TEXT($B599,"ddd"))</f>
        <v/>
      </c>
      <c r="D599" s="46" t="n"/>
      <c r="E599" s="46"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IF(OR($B599="",$I599=""),"",IF(SUMPRODUCT((nrInstrNames&lt;&gt;"")*ISNUMBER(SEARCH(nrInstrNames,$I599)))&gt;0,"OK","UNRECOGNIZED"))</f>
        <v/>
      </c>
      <c r="O599" s="17">
        <f>IF(OR($B599="",$D599="",$E599=""),"",IF($E599=$D599,"CHECK TIMES (start = end)",IF($F599&gt;12,"CHECK TIMES (End is before Start?)","OK")))</f>
        <v/>
      </c>
    </row>
    <row r="600">
      <c r="B600" s="18" t="n"/>
      <c r="C600" s="17">
        <f>IF($B600="","",TEXT($B600,"ddd"))</f>
        <v/>
      </c>
      <c r="D600" s="46" t="n"/>
      <c r="E600" s="46"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IF(OR($B600="",$I600=""),"",IF(SUMPRODUCT((nrInstrNames&lt;&gt;"")*ISNUMBER(SEARCH(nrInstrNames,$I600)))&gt;0,"OK","UNRECOGNIZED"))</f>
        <v/>
      </c>
      <c r="O600" s="17">
        <f>IF(OR($B600="",$D600="",$E600=""),"",IF($E600=$D600,"CHECK TIMES (start = end)",IF($F600&gt;12,"CHECK TIMES (End is before Start?)","OK")))</f>
        <v/>
      </c>
    </row>
    <row r="601">
      <c r="B601" s="18" t="n"/>
      <c r="C601" s="17">
        <f>IF($B601="","",TEXT($B601,"ddd"))</f>
        <v/>
      </c>
      <c r="D601" s="46" t="n"/>
      <c r="E601" s="46"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IF(OR($B601="",$I601=""),"",IF(SUMPRODUCT((nrInstrNames&lt;&gt;"")*ISNUMBER(SEARCH(nrInstrNames,$I601)))&gt;0,"OK","UNRECOGNIZED"))</f>
        <v/>
      </c>
      <c r="O601" s="17">
        <f>IF(OR($B601="",$D601="",$E601=""),"",IF($E601=$D601,"CHECK TIMES (start = end)",IF($F601&gt;12,"CHECK TIMES (End is before Start?)","OK")))</f>
        <v/>
      </c>
    </row>
    <row r="602">
      <c r="B602" s="18" t="n"/>
      <c r="C602" s="17">
        <f>IF($B602="","",TEXT($B602,"ddd"))</f>
        <v/>
      </c>
      <c r="D602" s="46" t="n"/>
      <c r="E602" s="46"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IF(OR($B602="",$I602=""),"",IF(SUMPRODUCT((nrInstrNames&lt;&gt;"")*ISNUMBER(SEARCH(nrInstrNames,$I602)))&gt;0,"OK","UNRECOGNIZED"))</f>
        <v/>
      </c>
      <c r="O602" s="17">
        <f>IF(OR($B602="",$D602="",$E602=""),"",IF($E602=$D602,"CHECK TIMES (start = end)",IF($F602&gt;12,"CHECK TIMES (End is before Start?)","OK")))</f>
        <v/>
      </c>
    </row>
    <row r="603">
      <c r="B603" s="18" t="n"/>
      <c r="C603" s="17">
        <f>IF($B603="","",TEXT($B603,"ddd"))</f>
        <v/>
      </c>
      <c r="D603" s="46" t="n"/>
      <c r="E603" s="46"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IF(OR($B603="",$I603=""),"",IF(SUMPRODUCT((nrInstrNames&lt;&gt;"")*ISNUMBER(SEARCH(nrInstrNames,$I603)))&gt;0,"OK","UNRECOGNIZED"))</f>
        <v/>
      </c>
      <c r="O603" s="17">
        <f>IF(OR($B603="",$D603="",$E603=""),"",IF($E603=$D603,"CHECK TIMES (start = end)",IF($F603&gt;12,"CHECK TIMES (End is before Start?)","OK")))</f>
        <v/>
      </c>
    </row>
    <row r="604">
      <c r="B604" s="18" t="n"/>
      <c r="C604" s="17">
        <f>IF($B604="","",TEXT($B604,"ddd"))</f>
        <v/>
      </c>
      <c r="D604" s="46" t="n"/>
      <c r="E604" s="46"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IF(OR($B604="",$I604=""),"",IF(SUMPRODUCT((nrInstrNames&lt;&gt;"")*ISNUMBER(SEARCH(nrInstrNames,$I604)))&gt;0,"OK","UNRECOGNIZED"))</f>
        <v/>
      </c>
      <c r="O604" s="17">
        <f>IF(OR($B604="",$D604="",$E604=""),"",IF($E604=$D604,"CHECK TIMES (start = end)",IF($F604&gt;12,"CHECK TIMES (End is before Start?)","OK")))</f>
        <v/>
      </c>
    </row>
    <row r="605">
      <c r="B605" s="18" t="n"/>
      <c r="C605" s="17">
        <f>IF($B605="","",TEXT($B605,"ddd"))</f>
        <v/>
      </c>
      <c r="D605" s="46" t="n"/>
      <c r="E605" s="46"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IF(OR($B605="",$I605=""),"",IF(SUMPRODUCT((nrInstrNames&lt;&gt;"")*ISNUMBER(SEARCH(nrInstrNames,$I605)))&gt;0,"OK","UNRECOGNIZED"))</f>
        <v/>
      </c>
      <c r="O605" s="17">
        <f>IF(OR($B605="",$D605="",$E605=""),"",IF($E605=$D605,"CHECK TIMES (start = end)",IF($F605&gt;12,"CHECK TIMES (End is before Start?)","OK")))</f>
        <v/>
      </c>
    </row>
    <row r="606">
      <c r="B606" s="18" t="n"/>
      <c r="C606" s="17">
        <f>IF($B606="","",TEXT($B606,"ddd"))</f>
        <v/>
      </c>
      <c r="D606" s="46" t="n"/>
      <c r="E606" s="46"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IF(OR($B606="",$I606=""),"",IF(SUMPRODUCT((nrInstrNames&lt;&gt;"")*ISNUMBER(SEARCH(nrInstrNames,$I606)))&gt;0,"OK","UNRECOGNIZED"))</f>
        <v/>
      </c>
      <c r="O606" s="17">
        <f>IF(OR($B606="",$D606="",$E606=""),"",IF($E606=$D606,"CHECK TIMES (start = end)",IF($F606&gt;12,"CHECK TIMES (End is before Start?)","OK")))</f>
        <v/>
      </c>
    </row>
    <row r="607">
      <c r="B607" s="18" t="n"/>
      <c r="C607" s="17">
        <f>IF($B607="","",TEXT($B607,"ddd"))</f>
        <v/>
      </c>
      <c r="D607" s="46" t="n"/>
      <c r="E607" s="46"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IF(OR($B607="",$I607=""),"",IF(SUMPRODUCT((nrInstrNames&lt;&gt;"")*ISNUMBER(SEARCH(nrInstrNames,$I607)))&gt;0,"OK","UNRECOGNIZED"))</f>
        <v/>
      </c>
      <c r="O607" s="17">
        <f>IF(OR($B607="",$D607="",$E607=""),"",IF($E607=$D607,"CHECK TIMES (start = end)",IF($F607&gt;12,"CHECK TIMES (End is before Start?)","OK")))</f>
        <v/>
      </c>
    </row>
    <row r="608">
      <c r="B608" s="18" t="n"/>
      <c r="C608" s="17">
        <f>IF($B608="","",TEXT($B608,"ddd"))</f>
        <v/>
      </c>
      <c r="D608" s="46" t="n"/>
      <c r="E608" s="46"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IF(OR($B608="",$I608=""),"",IF(SUMPRODUCT((nrInstrNames&lt;&gt;"")*ISNUMBER(SEARCH(nrInstrNames,$I608)))&gt;0,"OK","UNRECOGNIZED"))</f>
        <v/>
      </c>
      <c r="O608" s="17">
        <f>IF(OR($B608="",$D608="",$E608=""),"",IF($E608=$D608,"CHECK TIMES (start = end)",IF($F608&gt;12,"CHECK TIMES (End is before Start?)","OK")))</f>
        <v/>
      </c>
    </row>
    <row r="609">
      <c r="B609" s="18" t="n"/>
      <c r="C609" s="17">
        <f>IF($B609="","",TEXT($B609,"ddd"))</f>
        <v/>
      </c>
      <c r="D609" s="46" t="n"/>
      <c r="E609" s="46"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IF(OR($B609="",$I609=""),"",IF(SUMPRODUCT((nrInstrNames&lt;&gt;"")*ISNUMBER(SEARCH(nrInstrNames,$I609)))&gt;0,"OK","UNRECOGNIZED"))</f>
        <v/>
      </c>
      <c r="O609" s="17">
        <f>IF(OR($B609="",$D609="",$E609=""),"",IF($E609=$D609,"CHECK TIMES (start = end)",IF($F609&gt;12,"CHECK TIMES (End is before Start?)","OK")))</f>
        <v/>
      </c>
    </row>
    <row r="610">
      <c r="B610" s="18" t="n"/>
      <c r="C610" s="17">
        <f>IF($B610="","",TEXT($B610,"ddd"))</f>
        <v/>
      </c>
      <c r="D610" s="46" t="n"/>
      <c r="E610" s="46"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IF(OR($B610="",$I610=""),"",IF(SUMPRODUCT((nrInstrNames&lt;&gt;"")*ISNUMBER(SEARCH(nrInstrNames,$I610)))&gt;0,"OK","UNRECOGNIZED"))</f>
        <v/>
      </c>
      <c r="O610" s="17">
        <f>IF(OR($B610="",$D610="",$E610=""),"",IF($E610=$D610,"CHECK TIMES (start = end)",IF($F610&gt;12,"CHECK TIMES (End is before Start?)","OK")))</f>
        <v/>
      </c>
    </row>
    <row r="611">
      <c r="B611" s="18" t="n"/>
      <c r="C611" s="17">
        <f>IF($B611="","",TEXT($B611,"ddd"))</f>
        <v/>
      </c>
      <c r="D611" s="46" t="n"/>
      <c r="E611" s="46"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IF(OR($B611="",$I611=""),"",IF(SUMPRODUCT((nrInstrNames&lt;&gt;"")*ISNUMBER(SEARCH(nrInstrNames,$I611)))&gt;0,"OK","UNRECOGNIZED"))</f>
        <v/>
      </c>
      <c r="O611" s="17">
        <f>IF(OR($B611="",$D611="",$E611=""),"",IF($E611=$D611,"CHECK TIMES (start = end)",IF($F611&gt;12,"CHECK TIMES (End is before Start?)","OK")))</f>
        <v/>
      </c>
    </row>
    <row r="612">
      <c r="B612" s="18" t="n"/>
      <c r="C612" s="17">
        <f>IF($B612="","",TEXT($B612,"ddd"))</f>
        <v/>
      </c>
      <c r="D612" s="46" t="n"/>
      <c r="E612" s="46"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IF(OR($B612="",$I612=""),"",IF(SUMPRODUCT((nrInstrNames&lt;&gt;"")*ISNUMBER(SEARCH(nrInstrNames,$I612)))&gt;0,"OK","UNRECOGNIZED"))</f>
        <v/>
      </c>
      <c r="O612" s="17">
        <f>IF(OR($B612="",$D612="",$E612=""),"",IF($E612=$D612,"CHECK TIMES (start = end)",IF($F612&gt;12,"CHECK TIMES (End is before Start?)","OK")))</f>
        <v/>
      </c>
    </row>
    <row r="613">
      <c r="B613" s="18" t="n"/>
      <c r="C613" s="17">
        <f>IF($B613="","",TEXT($B613,"ddd"))</f>
        <v/>
      </c>
      <c r="D613" s="46" t="n"/>
      <c r="E613" s="46"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IF(OR($B613="",$I613=""),"",IF(SUMPRODUCT((nrInstrNames&lt;&gt;"")*ISNUMBER(SEARCH(nrInstrNames,$I613)))&gt;0,"OK","UNRECOGNIZED"))</f>
        <v/>
      </c>
      <c r="O613" s="17">
        <f>IF(OR($B613="",$D613="",$E613=""),"",IF($E613=$D613,"CHECK TIMES (start = end)",IF($F613&gt;12,"CHECK TIMES (End is before Start?)","OK")))</f>
        <v/>
      </c>
    </row>
    <row r="614">
      <c r="B614" s="18" t="n"/>
      <c r="C614" s="17">
        <f>IF($B614="","",TEXT($B614,"ddd"))</f>
        <v/>
      </c>
      <c r="D614" s="46" t="n"/>
      <c r="E614" s="46"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IF(OR($B614="",$I614=""),"",IF(SUMPRODUCT((nrInstrNames&lt;&gt;"")*ISNUMBER(SEARCH(nrInstrNames,$I614)))&gt;0,"OK","UNRECOGNIZED"))</f>
        <v/>
      </c>
      <c r="O614" s="17">
        <f>IF(OR($B614="",$D614="",$E614=""),"",IF($E614=$D614,"CHECK TIMES (start = end)",IF($F614&gt;12,"CHECK TIMES (End is before Start?)","OK")))</f>
        <v/>
      </c>
    </row>
    <row r="615">
      <c r="B615" s="18" t="n"/>
      <c r="C615" s="17">
        <f>IF($B615="","",TEXT($B615,"ddd"))</f>
        <v/>
      </c>
      <c r="D615" s="46" t="n"/>
      <c r="E615" s="46"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IF(OR($B615="",$I615=""),"",IF(SUMPRODUCT((nrInstrNames&lt;&gt;"")*ISNUMBER(SEARCH(nrInstrNames,$I615)))&gt;0,"OK","UNRECOGNIZED"))</f>
        <v/>
      </c>
      <c r="O615" s="17">
        <f>IF(OR($B615="",$D615="",$E615=""),"",IF($E615=$D615,"CHECK TIMES (start = end)",IF($F615&gt;12,"CHECK TIMES (End is before Start?)","OK")))</f>
        <v/>
      </c>
    </row>
    <row r="616">
      <c r="B616" s="18" t="n"/>
      <c r="C616" s="17">
        <f>IF($B616="","",TEXT($B616,"ddd"))</f>
        <v/>
      </c>
      <c r="D616" s="46" t="n"/>
      <c r="E616" s="46"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IF(OR($B616="",$I616=""),"",IF(SUMPRODUCT((nrInstrNames&lt;&gt;"")*ISNUMBER(SEARCH(nrInstrNames,$I616)))&gt;0,"OK","UNRECOGNIZED"))</f>
        <v/>
      </c>
      <c r="O616" s="17">
        <f>IF(OR($B616="",$D616="",$E616=""),"",IF($E616=$D616,"CHECK TIMES (start = end)",IF($F616&gt;12,"CHECK TIMES (End is before Start?)","OK")))</f>
        <v/>
      </c>
    </row>
    <row r="617">
      <c r="B617" s="18" t="n"/>
      <c r="C617" s="17">
        <f>IF($B617="","",TEXT($B617,"ddd"))</f>
        <v/>
      </c>
      <c r="D617" s="46" t="n"/>
      <c r="E617" s="46"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IF(OR($B617="",$I617=""),"",IF(SUMPRODUCT((nrInstrNames&lt;&gt;"")*ISNUMBER(SEARCH(nrInstrNames,$I617)))&gt;0,"OK","UNRECOGNIZED"))</f>
        <v/>
      </c>
      <c r="O617" s="17">
        <f>IF(OR($B617="",$D617="",$E617=""),"",IF($E617=$D617,"CHECK TIMES (start = end)",IF($F617&gt;12,"CHECK TIMES (End is before Start?)","OK")))</f>
        <v/>
      </c>
    </row>
    <row r="618">
      <c r="B618" s="18" t="n"/>
      <c r="C618" s="17">
        <f>IF($B618="","",TEXT($B618,"ddd"))</f>
        <v/>
      </c>
      <c r="D618" s="46" t="n"/>
      <c r="E618" s="46"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IF(OR($B618="",$I618=""),"",IF(SUMPRODUCT((nrInstrNames&lt;&gt;"")*ISNUMBER(SEARCH(nrInstrNames,$I618)))&gt;0,"OK","UNRECOGNIZED"))</f>
        <v/>
      </c>
      <c r="O618" s="17">
        <f>IF(OR($B618="",$D618="",$E618=""),"",IF($E618=$D618,"CHECK TIMES (start = end)",IF($F618&gt;12,"CHECK TIMES (End is before Start?)","OK")))</f>
        <v/>
      </c>
    </row>
    <row r="619">
      <c r="B619" s="18" t="n"/>
      <c r="C619" s="17">
        <f>IF($B619="","",TEXT($B619,"ddd"))</f>
        <v/>
      </c>
      <c r="D619" s="46" t="n"/>
      <c r="E619" s="46"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IF(OR($B619="",$I619=""),"",IF(SUMPRODUCT((nrInstrNames&lt;&gt;"")*ISNUMBER(SEARCH(nrInstrNames,$I619)))&gt;0,"OK","UNRECOGNIZED"))</f>
        <v/>
      </c>
      <c r="O619" s="17">
        <f>IF(OR($B619="",$D619="",$E619=""),"",IF($E619=$D619,"CHECK TIMES (start = end)",IF($F619&gt;12,"CHECK TIMES (End is before Start?)","OK")))</f>
        <v/>
      </c>
    </row>
    <row r="620">
      <c r="B620" s="18" t="n"/>
      <c r="C620" s="17">
        <f>IF($B620="","",TEXT($B620,"ddd"))</f>
        <v/>
      </c>
      <c r="D620" s="46" t="n"/>
      <c r="E620" s="46"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IF(OR($B620="",$I620=""),"",IF(SUMPRODUCT((nrInstrNames&lt;&gt;"")*ISNUMBER(SEARCH(nrInstrNames,$I620)))&gt;0,"OK","UNRECOGNIZED"))</f>
        <v/>
      </c>
      <c r="O620" s="17">
        <f>IF(OR($B620="",$D620="",$E620=""),"",IF($E620=$D620,"CHECK TIMES (start = end)",IF($F620&gt;12,"CHECK TIMES (End is before Start?)","OK")))</f>
        <v/>
      </c>
    </row>
    <row r="621">
      <c r="B621" s="18" t="n"/>
      <c r="C621" s="17">
        <f>IF($B621="","",TEXT($B621,"ddd"))</f>
        <v/>
      </c>
      <c r="D621" s="46" t="n"/>
      <c r="E621" s="46"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IF(OR($B621="",$I621=""),"",IF(SUMPRODUCT((nrInstrNames&lt;&gt;"")*ISNUMBER(SEARCH(nrInstrNames,$I621)))&gt;0,"OK","UNRECOGNIZED"))</f>
        <v/>
      </c>
      <c r="O621" s="17">
        <f>IF(OR($B621="",$D621="",$E621=""),"",IF($E621=$D621,"CHECK TIMES (start = end)",IF($F621&gt;12,"CHECK TIMES (End is before Start?)","OK")))</f>
        <v/>
      </c>
    </row>
    <row r="622">
      <c r="B622" s="18" t="n"/>
      <c r="C622" s="17">
        <f>IF($B622="","",TEXT($B622,"ddd"))</f>
        <v/>
      </c>
      <c r="D622" s="46" t="n"/>
      <c r="E622" s="46"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IF(OR($B622="",$I622=""),"",IF(SUMPRODUCT((nrInstrNames&lt;&gt;"")*ISNUMBER(SEARCH(nrInstrNames,$I622)))&gt;0,"OK","UNRECOGNIZED"))</f>
        <v/>
      </c>
      <c r="O622" s="17">
        <f>IF(OR($B622="",$D622="",$E622=""),"",IF($E622=$D622,"CHECK TIMES (start = end)",IF($F622&gt;12,"CHECK TIMES (End is before Start?)","OK")))</f>
        <v/>
      </c>
    </row>
    <row r="623">
      <c r="B623" s="18" t="n"/>
      <c r="C623" s="17">
        <f>IF($B623="","",TEXT($B623,"ddd"))</f>
        <v/>
      </c>
      <c r="D623" s="46" t="n"/>
      <c r="E623" s="46"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IF(OR($B623="",$I623=""),"",IF(SUMPRODUCT((nrInstrNames&lt;&gt;"")*ISNUMBER(SEARCH(nrInstrNames,$I623)))&gt;0,"OK","UNRECOGNIZED"))</f>
        <v/>
      </c>
      <c r="O623" s="17">
        <f>IF(OR($B623="",$D623="",$E623=""),"",IF($E623=$D623,"CHECK TIMES (start = end)",IF($F623&gt;12,"CHECK TIMES (End is before Start?)","OK")))</f>
        <v/>
      </c>
    </row>
    <row r="624">
      <c r="B624" s="18" t="n"/>
      <c r="C624" s="17">
        <f>IF($B624="","",TEXT($B624,"ddd"))</f>
        <v/>
      </c>
      <c r="D624" s="46" t="n"/>
      <c r="E624" s="46"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IF(OR($B624="",$I624=""),"",IF(SUMPRODUCT((nrInstrNames&lt;&gt;"")*ISNUMBER(SEARCH(nrInstrNames,$I624)))&gt;0,"OK","UNRECOGNIZED"))</f>
        <v/>
      </c>
      <c r="O624" s="17">
        <f>IF(OR($B624="",$D624="",$E624=""),"",IF($E624=$D624,"CHECK TIMES (start = end)",IF($F624&gt;12,"CHECK TIMES (End is before Start?)","OK")))</f>
        <v/>
      </c>
    </row>
    <row r="625">
      <c r="B625" s="18" t="n"/>
      <c r="C625" s="17">
        <f>IF($B625="","",TEXT($B625,"ddd"))</f>
        <v/>
      </c>
      <c r="D625" s="46" t="n"/>
      <c r="E625" s="46"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IF(OR($B625="",$I625=""),"",IF(SUMPRODUCT((nrInstrNames&lt;&gt;"")*ISNUMBER(SEARCH(nrInstrNames,$I625)))&gt;0,"OK","UNRECOGNIZED"))</f>
        <v/>
      </c>
      <c r="O625" s="17">
        <f>IF(OR($B625="",$D625="",$E625=""),"",IF($E625=$D625,"CHECK TIMES (start = end)",IF($F625&gt;12,"CHECK TIMES (End is before Start?)","OK")))</f>
        <v/>
      </c>
    </row>
    <row r="626">
      <c r="B626" s="18" t="n"/>
      <c r="C626" s="17">
        <f>IF($B626="","",TEXT($B626,"ddd"))</f>
        <v/>
      </c>
      <c r="D626" s="46" t="n"/>
      <c r="E626" s="46"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IF(OR($B626="",$I626=""),"",IF(SUMPRODUCT((nrInstrNames&lt;&gt;"")*ISNUMBER(SEARCH(nrInstrNames,$I626)))&gt;0,"OK","UNRECOGNIZED"))</f>
        <v/>
      </c>
      <c r="O626" s="17">
        <f>IF(OR($B626="",$D626="",$E626=""),"",IF($E626=$D626,"CHECK TIMES (start = end)",IF($F626&gt;12,"CHECK TIMES (End is before Start?)","OK")))</f>
        <v/>
      </c>
    </row>
    <row r="627">
      <c r="B627" s="18" t="n"/>
      <c r="C627" s="17">
        <f>IF($B627="","",TEXT($B627,"ddd"))</f>
        <v/>
      </c>
      <c r="D627" s="46" t="n"/>
      <c r="E627" s="46"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IF(OR($B627="",$I627=""),"",IF(SUMPRODUCT((nrInstrNames&lt;&gt;"")*ISNUMBER(SEARCH(nrInstrNames,$I627)))&gt;0,"OK","UNRECOGNIZED"))</f>
        <v/>
      </c>
      <c r="O627" s="17">
        <f>IF(OR($B627="",$D627="",$E627=""),"",IF($E627=$D627,"CHECK TIMES (start = end)",IF($F627&gt;12,"CHECK TIMES (End is before Start?)","OK")))</f>
        <v/>
      </c>
    </row>
    <row r="628">
      <c r="B628" s="18" t="n"/>
      <c r="C628" s="17">
        <f>IF($B628="","",TEXT($B628,"ddd"))</f>
        <v/>
      </c>
      <c r="D628" s="46" t="n"/>
      <c r="E628" s="46"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IF(OR($B628="",$I628=""),"",IF(SUMPRODUCT((nrInstrNames&lt;&gt;"")*ISNUMBER(SEARCH(nrInstrNames,$I628)))&gt;0,"OK","UNRECOGNIZED"))</f>
        <v/>
      </c>
      <c r="O628" s="17">
        <f>IF(OR($B628="",$D628="",$E628=""),"",IF($E628=$D628,"CHECK TIMES (start = end)",IF($F628&gt;12,"CHECK TIMES (End is before Start?)","OK")))</f>
        <v/>
      </c>
    </row>
    <row r="629">
      <c r="B629" s="18" t="n"/>
      <c r="C629" s="17">
        <f>IF($B629="","",TEXT($B629,"ddd"))</f>
        <v/>
      </c>
      <c r="D629" s="46" t="n"/>
      <c r="E629" s="46"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IF(OR($B629="",$I629=""),"",IF(SUMPRODUCT((nrInstrNames&lt;&gt;"")*ISNUMBER(SEARCH(nrInstrNames,$I629)))&gt;0,"OK","UNRECOGNIZED"))</f>
        <v/>
      </c>
      <c r="O629" s="17">
        <f>IF(OR($B629="",$D629="",$E629=""),"",IF($E629=$D629,"CHECK TIMES (start = end)",IF($F629&gt;12,"CHECK TIMES (End is before Start?)","OK")))</f>
        <v/>
      </c>
    </row>
    <row r="630">
      <c r="B630" s="18" t="n"/>
      <c r="C630" s="17">
        <f>IF($B630="","",TEXT($B630,"ddd"))</f>
        <v/>
      </c>
      <c r="D630" s="46" t="n"/>
      <c r="E630" s="46"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IF(OR($B630="",$I630=""),"",IF(SUMPRODUCT((nrInstrNames&lt;&gt;"")*ISNUMBER(SEARCH(nrInstrNames,$I630)))&gt;0,"OK","UNRECOGNIZED"))</f>
        <v/>
      </c>
      <c r="O630" s="17">
        <f>IF(OR($B630="",$D630="",$E630=""),"",IF($E630=$D630,"CHECK TIMES (start = end)",IF($F630&gt;12,"CHECK TIMES (End is before Start?)","OK")))</f>
        <v/>
      </c>
    </row>
    <row r="631">
      <c r="B631" s="18" t="n"/>
      <c r="C631" s="17">
        <f>IF($B631="","",TEXT($B631,"ddd"))</f>
        <v/>
      </c>
      <c r="D631" s="46" t="n"/>
      <c r="E631" s="46"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IF(OR($B631="",$I631=""),"",IF(SUMPRODUCT((nrInstrNames&lt;&gt;"")*ISNUMBER(SEARCH(nrInstrNames,$I631)))&gt;0,"OK","UNRECOGNIZED"))</f>
        <v/>
      </c>
      <c r="O631" s="17">
        <f>IF(OR($B631="",$D631="",$E631=""),"",IF($E631=$D631,"CHECK TIMES (start = end)",IF($F631&gt;12,"CHECK TIMES (End is before Start?)","OK")))</f>
        <v/>
      </c>
    </row>
    <row r="632">
      <c r="B632" s="18" t="n"/>
      <c r="C632" s="17">
        <f>IF($B632="","",TEXT($B632,"ddd"))</f>
        <v/>
      </c>
      <c r="D632" s="46" t="n"/>
      <c r="E632" s="46"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IF(OR($B632="",$I632=""),"",IF(SUMPRODUCT((nrInstrNames&lt;&gt;"")*ISNUMBER(SEARCH(nrInstrNames,$I632)))&gt;0,"OK","UNRECOGNIZED"))</f>
        <v/>
      </c>
      <c r="O632" s="17">
        <f>IF(OR($B632="",$D632="",$E632=""),"",IF($E632=$D632,"CHECK TIMES (start = end)",IF($F632&gt;12,"CHECK TIMES (End is before Start?)","OK")))</f>
        <v/>
      </c>
    </row>
    <row r="633">
      <c r="B633" s="18" t="n"/>
      <c r="C633" s="17">
        <f>IF($B633="","",TEXT($B633,"ddd"))</f>
        <v/>
      </c>
      <c r="D633" s="46" t="n"/>
      <c r="E633" s="46"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IF(OR($B633="",$I633=""),"",IF(SUMPRODUCT((nrInstrNames&lt;&gt;"")*ISNUMBER(SEARCH(nrInstrNames,$I633)))&gt;0,"OK","UNRECOGNIZED"))</f>
        <v/>
      </c>
      <c r="O633" s="17">
        <f>IF(OR($B633="",$D633="",$E633=""),"",IF($E633=$D633,"CHECK TIMES (start = end)",IF($F633&gt;12,"CHECK TIMES (End is before Start?)","OK")))</f>
        <v/>
      </c>
    </row>
    <row r="634">
      <c r="B634" s="18" t="n"/>
      <c r="C634" s="17">
        <f>IF($B634="","",TEXT($B634,"ddd"))</f>
        <v/>
      </c>
      <c r="D634" s="46" t="n"/>
      <c r="E634" s="46"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IF(OR($B634="",$I634=""),"",IF(SUMPRODUCT((nrInstrNames&lt;&gt;"")*ISNUMBER(SEARCH(nrInstrNames,$I634)))&gt;0,"OK","UNRECOGNIZED"))</f>
        <v/>
      </c>
      <c r="O634" s="17">
        <f>IF(OR($B634="",$D634="",$E634=""),"",IF($E634=$D634,"CHECK TIMES (start = end)",IF($F634&gt;12,"CHECK TIMES (End is before Start?)","OK")))</f>
        <v/>
      </c>
    </row>
    <row r="635">
      <c r="B635" s="18" t="n"/>
      <c r="C635" s="17">
        <f>IF($B635="","",TEXT($B635,"ddd"))</f>
        <v/>
      </c>
      <c r="D635" s="46" t="n"/>
      <c r="E635" s="46"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IF(OR($B635="",$I635=""),"",IF(SUMPRODUCT((nrInstrNames&lt;&gt;"")*ISNUMBER(SEARCH(nrInstrNames,$I635)))&gt;0,"OK","UNRECOGNIZED"))</f>
        <v/>
      </c>
      <c r="O635" s="17">
        <f>IF(OR($B635="",$D635="",$E635=""),"",IF($E635=$D635,"CHECK TIMES (start = end)",IF($F635&gt;12,"CHECK TIMES (End is before Start?)","OK")))</f>
        <v/>
      </c>
    </row>
    <row r="636">
      <c r="B636" s="18" t="n"/>
      <c r="C636" s="17">
        <f>IF($B636="","",TEXT($B636,"ddd"))</f>
        <v/>
      </c>
      <c r="D636" s="46" t="n"/>
      <c r="E636" s="46"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IF(OR($B636="",$I636=""),"",IF(SUMPRODUCT((nrInstrNames&lt;&gt;"")*ISNUMBER(SEARCH(nrInstrNames,$I636)))&gt;0,"OK","UNRECOGNIZED"))</f>
        <v/>
      </c>
      <c r="O636" s="17">
        <f>IF(OR($B636="",$D636="",$E636=""),"",IF($E636=$D636,"CHECK TIMES (start = end)",IF($F636&gt;12,"CHECK TIMES (End is before Start?)","OK")))</f>
        <v/>
      </c>
    </row>
    <row r="637">
      <c r="B637" s="18" t="n"/>
      <c r="C637" s="17">
        <f>IF($B637="","",TEXT($B637,"ddd"))</f>
        <v/>
      </c>
      <c r="D637" s="46" t="n"/>
      <c r="E637" s="46"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IF(OR($B637="",$I637=""),"",IF(SUMPRODUCT((nrInstrNames&lt;&gt;"")*ISNUMBER(SEARCH(nrInstrNames,$I637)))&gt;0,"OK","UNRECOGNIZED"))</f>
        <v/>
      </c>
      <c r="O637" s="17">
        <f>IF(OR($B637="",$D637="",$E637=""),"",IF($E637=$D637,"CHECK TIMES (start = end)",IF($F637&gt;12,"CHECK TIMES (End is before Start?)","OK")))</f>
        <v/>
      </c>
    </row>
    <row r="638">
      <c r="B638" s="18" t="n"/>
      <c r="C638" s="17">
        <f>IF($B638="","",TEXT($B638,"ddd"))</f>
        <v/>
      </c>
      <c r="D638" s="46" t="n"/>
      <c r="E638" s="46"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IF(OR($B638="",$I638=""),"",IF(SUMPRODUCT((nrInstrNames&lt;&gt;"")*ISNUMBER(SEARCH(nrInstrNames,$I638)))&gt;0,"OK","UNRECOGNIZED"))</f>
        <v/>
      </c>
      <c r="O638" s="17">
        <f>IF(OR($B638="",$D638="",$E638=""),"",IF($E638=$D638,"CHECK TIMES (start = end)",IF($F638&gt;12,"CHECK TIMES (End is before Start?)","OK")))</f>
        <v/>
      </c>
    </row>
    <row r="639">
      <c r="B639" s="18" t="n"/>
      <c r="C639" s="17">
        <f>IF($B639="","",TEXT($B639,"ddd"))</f>
        <v/>
      </c>
      <c r="D639" s="46" t="n"/>
      <c r="E639" s="46"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IF(OR($B639="",$I639=""),"",IF(SUMPRODUCT((nrInstrNames&lt;&gt;"")*ISNUMBER(SEARCH(nrInstrNames,$I639)))&gt;0,"OK","UNRECOGNIZED"))</f>
        <v/>
      </c>
      <c r="O639" s="17">
        <f>IF(OR($B639="",$D639="",$E639=""),"",IF($E639=$D639,"CHECK TIMES (start = end)",IF($F639&gt;12,"CHECK TIMES (End is before Start?)","OK")))</f>
        <v/>
      </c>
    </row>
    <row r="640">
      <c r="B640" s="18" t="n"/>
      <c r="C640" s="17">
        <f>IF($B640="","",TEXT($B640,"ddd"))</f>
        <v/>
      </c>
      <c r="D640" s="46" t="n"/>
      <c r="E640" s="46"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IF(OR($B640="",$I640=""),"",IF(SUMPRODUCT((nrInstrNames&lt;&gt;"")*ISNUMBER(SEARCH(nrInstrNames,$I640)))&gt;0,"OK","UNRECOGNIZED"))</f>
        <v/>
      </c>
      <c r="O640" s="17">
        <f>IF(OR($B640="",$D640="",$E640=""),"",IF($E640=$D640,"CHECK TIMES (start = end)",IF($F640&gt;12,"CHECK TIMES (End is before Start?)","OK")))</f>
        <v/>
      </c>
    </row>
    <row r="641">
      <c r="B641" s="18" t="n"/>
      <c r="C641" s="17">
        <f>IF($B641="","",TEXT($B641,"ddd"))</f>
        <v/>
      </c>
      <c r="D641" s="46" t="n"/>
      <c r="E641" s="46"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IF(OR($B641="",$I641=""),"",IF(SUMPRODUCT((nrInstrNames&lt;&gt;"")*ISNUMBER(SEARCH(nrInstrNames,$I641)))&gt;0,"OK","UNRECOGNIZED"))</f>
        <v/>
      </c>
      <c r="O641" s="17">
        <f>IF(OR($B641="",$D641="",$E641=""),"",IF($E641=$D641,"CHECK TIMES (start = end)",IF($F641&gt;12,"CHECK TIMES (End is before Start?)","OK")))</f>
        <v/>
      </c>
    </row>
    <row r="642">
      <c r="B642" s="18" t="n"/>
      <c r="C642" s="17">
        <f>IF($B642="","",TEXT($B642,"ddd"))</f>
        <v/>
      </c>
      <c r="D642" s="46" t="n"/>
      <c r="E642" s="46"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IF(OR($B642="",$I642=""),"",IF(SUMPRODUCT((nrInstrNames&lt;&gt;"")*ISNUMBER(SEARCH(nrInstrNames,$I642)))&gt;0,"OK","UNRECOGNIZED"))</f>
        <v/>
      </c>
      <c r="O642" s="17">
        <f>IF(OR($B642="",$D642="",$E642=""),"",IF($E642=$D642,"CHECK TIMES (start = end)",IF($F642&gt;12,"CHECK TIMES (End is before Start?)","OK")))</f>
        <v/>
      </c>
    </row>
    <row r="643">
      <c r="B643" s="18" t="n"/>
      <c r="C643" s="17">
        <f>IF($B643="","",TEXT($B643,"ddd"))</f>
        <v/>
      </c>
      <c r="D643" s="46" t="n"/>
      <c r="E643" s="46"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IF(OR($B643="",$I643=""),"",IF(SUMPRODUCT((nrInstrNames&lt;&gt;"")*ISNUMBER(SEARCH(nrInstrNames,$I643)))&gt;0,"OK","UNRECOGNIZED"))</f>
        <v/>
      </c>
      <c r="O643" s="17">
        <f>IF(OR($B643="",$D643="",$E643=""),"",IF($E643=$D643,"CHECK TIMES (start = end)",IF($F643&gt;12,"CHECK TIMES (End is before Start?)","OK")))</f>
        <v/>
      </c>
    </row>
    <row r="644">
      <c r="B644" s="18" t="n"/>
      <c r="C644" s="17">
        <f>IF($B644="","",TEXT($B644,"ddd"))</f>
        <v/>
      </c>
      <c r="D644" s="46" t="n"/>
      <c r="E644" s="46"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IF(OR($B644="",$I644=""),"",IF(SUMPRODUCT((nrInstrNames&lt;&gt;"")*ISNUMBER(SEARCH(nrInstrNames,$I644)))&gt;0,"OK","UNRECOGNIZED"))</f>
        <v/>
      </c>
      <c r="O644" s="17">
        <f>IF(OR($B644="",$D644="",$E644=""),"",IF($E644=$D644,"CHECK TIMES (start = end)",IF($F644&gt;12,"CHECK TIMES (End is before Start?)","OK")))</f>
        <v/>
      </c>
    </row>
    <row r="645">
      <c r="B645" s="18" t="n"/>
      <c r="C645" s="17">
        <f>IF($B645="","",TEXT($B645,"ddd"))</f>
        <v/>
      </c>
      <c r="D645" s="46" t="n"/>
      <c r="E645" s="46"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IF(OR($B645="",$I645=""),"",IF(SUMPRODUCT((nrInstrNames&lt;&gt;"")*ISNUMBER(SEARCH(nrInstrNames,$I645)))&gt;0,"OK","UNRECOGNIZED"))</f>
        <v/>
      </c>
      <c r="O645" s="17">
        <f>IF(OR($B645="",$D645="",$E645=""),"",IF($E645=$D645,"CHECK TIMES (start = end)",IF($F645&gt;12,"CHECK TIMES (End is before Start?)","OK")))</f>
        <v/>
      </c>
    </row>
    <row r="646">
      <c r="B646" s="18" t="n"/>
      <c r="C646" s="17">
        <f>IF($B646="","",TEXT($B646,"ddd"))</f>
        <v/>
      </c>
      <c r="D646" s="46" t="n"/>
      <c r="E646" s="46"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IF(OR($B646="",$I646=""),"",IF(SUMPRODUCT((nrInstrNames&lt;&gt;"")*ISNUMBER(SEARCH(nrInstrNames,$I646)))&gt;0,"OK","UNRECOGNIZED"))</f>
        <v/>
      </c>
      <c r="O646" s="17">
        <f>IF(OR($B646="",$D646="",$E646=""),"",IF($E646=$D646,"CHECK TIMES (start = end)",IF($F646&gt;12,"CHECK TIMES (End is before Start?)","OK")))</f>
        <v/>
      </c>
    </row>
    <row r="647">
      <c r="B647" s="18" t="n"/>
      <c r="C647" s="17">
        <f>IF($B647="","",TEXT($B647,"ddd"))</f>
        <v/>
      </c>
      <c r="D647" s="46" t="n"/>
      <c r="E647" s="46"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IF(OR($B647="",$I647=""),"",IF(SUMPRODUCT((nrInstrNames&lt;&gt;"")*ISNUMBER(SEARCH(nrInstrNames,$I647)))&gt;0,"OK","UNRECOGNIZED"))</f>
        <v/>
      </c>
      <c r="O647" s="17">
        <f>IF(OR($B647="",$D647="",$E647=""),"",IF($E647=$D647,"CHECK TIMES (start = end)",IF($F647&gt;12,"CHECK TIMES (End is before Start?)","OK")))</f>
        <v/>
      </c>
    </row>
    <row r="648">
      <c r="B648" s="18" t="n"/>
      <c r="C648" s="17">
        <f>IF($B648="","",TEXT($B648,"ddd"))</f>
        <v/>
      </c>
      <c r="D648" s="46" t="n"/>
      <c r="E648" s="46"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IF(OR($B648="",$I648=""),"",IF(SUMPRODUCT((nrInstrNames&lt;&gt;"")*ISNUMBER(SEARCH(nrInstrNames,$I648)))&gt;0,"OK","UNRECOGNIZED"))</f>
        <v/>
      </c>
      <c r="O648" s="17">
        <f>IF(OR($B648="",$D648="",$E648=""),"",IF($E648=$D648,"CHECK TIMES (start = end)",IF($F648&gt;12,"CHECK TIMES (End is before Start?)","OK")))</f>
        <v/>
      </c>
    </row>
    <row r="649">
      <c r="B649" s="18" t="n"/>
      <c r="C649" s="17">
        <f>IF($B649="","",TEXT($B649,"ddd"))</f>
        <v/>
      </c>
      <c r="D649" s="46" t="n"/>
      <c r="E649" s="46"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IF(OR($B649="",$I649=""),"",IF(SUMPRODUCT((nrInstrNames&lt;&gt;"")*ISNUMBER(SEARCH(nrInstrNames,$I649)))&gt;0,"OK","UNRECOGNIZED"))</f>
        <v/>
      </c>
      <c r="O649" s="17">
        <f>IF(OR($B649="",$D649="",$E649=""),"",IF($E649=$D649,"CHECK TIMES (start = end)",IF($F649&gt;12,"CHECK TIMES (End is before Start?)","OK")))</f>
        <v/>
      </c>
    </row>
    <row r="650">
      <c r="B650" s="18" t="n"/>
      <c r="C650" s="17">
        <f>IF($B650="","",TEXT($B650,"ddd"))</f>
        <v/>
      </c>
      <c r="D650" s="46" t="n"/>
      <c r="E650" s="46"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IF(OR($B650="",$I650=""),"",IF(SUMPRODUCT((nrInstrNames&lt;&gt;"")*ISNUMBER(SEARCH(nrInstrNames,$I650)))&gt;0,"OK","UNRECOGNIZED"))</f>
        <v/>
      </c>
      <c r="O650" s="17">
        <f>IF(OR($B650="",$D650="",$E650=""),"",IF($E650=$D650,"CHECK TIMES (start = end)",IF($F650&gt;12,"CHECK TIMES (End is before Start?)","OK")))</f>
        <v/>
      </c>
    </row>
    <row r="651">
      <c r="B651" s="18" t="n"/>
      <c r="C651" s="17">
        <f>IF($B651="","",TEXT($B651,"ddd"))</f>
        <v/>
      </c>
      <c r="D651" s="46" t="n"/>
      <c r="E651" s="46"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IF(OR($B651="",$I651=""),"",IF(SUMPRODUCT((nrInstrNames&lt;&gt;"")*ISNUMBER(SEARCH(nrInstrNames,$I651)))&gt;0,"OK","UNRECOGNIZED"))</f>
        <v/>
      </c>
      <c r="O651" s="17">
        <f>IF(OR($B651="",$D651="",$E651=""),"",IF($E651=$D651,"CHECK TIMES (start = end)",IF($F651&gt;12,"CHECK TIMES (End is before Start?)","OK")))</f>
        <v/>
      </c>
    </row>
    <row r="652">
      <c r="B652" s="18" t="n"/>
      <c r="C652" s="17">
        <f>IF($B652="","",TEXT($B652,"ddd"))</f>
        <v/>
      </c>
      <c r="D652" s="46" t="n"/>
      <c r="E652" s="46"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IF(OR($B652="",$I652=""),"",IF(SUMPRODUCT((nrInstrNames&lt;&gt;"")*ISNUMBER(SEARCH(nrInstrNames,$I652)))&gt;0,"OK","UNRECOGNIZED"))</f>
        <v/>
      </c>
      <c r="O652" s="17">
        <f>IF(OR($B652="",$D652="",$E652=""),"",IF($E652=$D652,"CHECK TIMES (start = end)",IF($F652&gt;12,"CHECK TIMES (End is before Start?)","OK")))</f>
        <v/>
      </c>
    </row>
    <row r="653">
      <c r="B653" s="18" t="n"/>
      <c r="C653" s="17">
        <f>IF($B653="","",TEXT($B653,"ddd"))</f>
        <v/>
      </c>
      <c r="D653" s="46" t="n"/>
      <c r="E653" s="46"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IF(OR($B653="",$I653=""),"",IF(SUMPRODUCT((nrInstrNames&lt;&gt;"")*ISNUMBER(SEARCH(nrInstrNames,$I653)))&gt;0,"OK","UNRECOGNIZED"))</f>
        <v/>
      </c>
      <c r="O653" s="17">
        <f>IF(OR($B653="",$D653="",$E653=""),"",IF($E653=$D653,"CHECK TIMES (start = end)",IF($F653&gt;12,"CHECK TIMES (End is before Start?)","OK")))</f>
        <v/>
      </c>
    </row>
    <row r="654">
      <c r="B654" s="18" t="n"/>
      <c r="C654" s="17">
        <f>IF($B654="","",TEXT($B654,"ddd"))</f>
        <v/>
      </c>
      <c r="D654" s="46" t="n"/>
      <c r="E654" s="46"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IF(OR($B654="",$I654=""),"",IF(SUMPRODUCT((nrInstrNames&lt;&gt;"")*ISNUMBER(SEARCH(nrInstrNames,$I654)))&gt;0,"OK","UNRECOGNIZED"))</f>
        <v/>
      </c>
      <c r="O654" s="17">
        <f>IF(OR($B654="",$D654="",$E654=""),"",IF($E654=$D654,"CHECK TIMES (start = end)",IF($F654&gt;12,"CHECK TIMES (End is before Start?)","OK")))</f>
        <v/>
      </c>
    </row>
    <row r="655">
      <c r="B655" s="18" t="n"/>
      <c r="C655" s="17">
        <f>IF($B655="","",TEXT($B655,"ddd"))</f>
        <v/>
      </c>
      <c r="D655" s="46" t="n"/>
      <c r="E655" s="46"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IF(OR($B655="",$I655=""),"",IF(SUMPRODUCT((nrInstrNames&lt;&gt;"")*ISNUMBER(SEARCH(nrInstrNames,$I655)))&gt;0,"OK","UNRECOGNIZED"))</f>
        <v/>
      </c>
      <c r="O655" s="17">
        <f>IF(OR($B655="",$D655="",$E655=""),"",IF($E655=$D655,"CHECK TIMES (start = end)",IF($F655&gt;12,"CHECK TIMES (End is before Start?)","OK")))</f>
        <v/>
      </c>
    </row>
    <row r="656">
      <c r="B656" s="18" t="n"/>
      <c r="C656" s="17">
        <f>IF($B656="","",TEXT($B656,"ddd"))</f>
        <v/>
      </c>
      <c r="D656" s="46" t="n"/>
      <c r="E656" s="46"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IF(OR($B656="",$I656=""),"",IF(SUMPRODUCT((nrInstrNames&lt;&gt;"")*ISNUMBER(SEARCH(nrInstrNames,$I656)))&gt;0,"OK","UNRECOGNIZED"))</f>
        <v/>
      </c>
      <c r="O656" s="17">
        <f>IF(OR($B656="",$D656="",$E656=""),"",IF($E656=$D656,"CHECK TIMES (start = end)",IF($F656&gt;12,"CHECK TIMES (End is before Start?)","OK")))</f>
        <v/>
      </c>
    </row>
    <row r="657">
      <c r="B657" s="18" t="n"/>
      <c r="C657" s="17">
        <f>IF($B657="","",TEXT($B657,"ddd"))</f>
        <v/>
      </c>
      <c r="D657" s="46" t="n"/>
      <c r="E657" s="46"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IF(OR($B657="",$I657=""),"",IF(SUMPRODUCT((nrInstrNames&lt;&gt;"")*ISNUMBER(SEARCH(nrInstrNames,$I657)))&gt;0,"OK","UNRECOGNIZED"))</f>
        <v/>
      </c>
      <c r="O657" s="17">
        <f>IF(OR($B657="",$D657="",$E657=""),"",IF($E657=$D657,"CHECK TIMES (start = end)",IF($F657&gt;12,"CHECK TIMES (End is before Start?)","OK")))</f>
        <v/>
      </c>
    </row>
    <row r="658">
      <c r="B658" s="18" t="n"/>
      <c r="C658" s="17">
        <f>IF($B658="","",TEXT($B658,"ddd"))</f>
        <v/>
      </c>
      <c r="D658" s="46" t="n"/>
      <c r="E658" s="46"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IF(OR($B658="",$I658=""),"",IF(SUMPRODUCT((nrInstrNames&lt;&gt;"")*ISNUMBER(SEARCH(nrInstrNames,$I658)))&gt;0,"OK","UNRECOGNIZED"))</f>
        <v/>
      </c>
      <c r="O658" s="17">
        <f>IF(OR($B658="",$D658="",$E658=""),"",IF($E658=$D658,"CHECK TIMES (start = end)",IF($F658&gt;12,"CHECK TIMES (End is before Start?)","OK")))</f>
        <v/>
      </c>
    </row>
    <row r="659">
      <c r="B659" s="18" t="n"/>
      <c r="C659" s="17">
        <f>IF($B659="","",TEXT($B659,"ddd"))</f>
        <v/>
      </c>
      <c r="D659" s="46" t="n"/>
      <c r="E659" s="46"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IF(OR($B659="",$I659=""),"",IF(SUMPRODUCT((nrInstrNames&lt;&gt;"")*ISNUMBER(SEARCH(nrInstrNames,$I659)))&gt;0,"OK","UNRECOGNIZED"))</f>
        <v/>
      </c>
      <c r="O659" s="17">
        <f>IF(OR($B659="",$D659="",$E659=""),"",IF($E659=$D659,"CHECK TIMES (start = end)",IF($F659&gt;12,"CHECK TIMES (End is before Start?)","OK")))</f>
        <v/>
      </c>
    </row>
    <row r="660">
      <c r="B660" s="18" t="n"/>
      <c r="C660" s="17">
        <f>IF($B660="","",TEXT($B660,"ddd"))</f>
        <v/>
      </c>
      <c r="D660" s="46" t="n"/>
      <c r="E660" s="46"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IF(OR($B660="",$I660=""),"",IF(SUMPRODUCT((nrInstrNames&lt;&gt;"")*ISNUMBER(SEARCH(nrInstrNames,$I660)))&gt;0,"OK","UNRECOGNIZED"))</f>
        <v/>
      </c>
      <c r="O660" s="17">
        <f>IF(OR($B660="",$D660="",$E660=""),"",IF($E660=$D660,"CHECK TIMES (start = end)",IF($F660&gt;12,"CHECK TIMES (End is before Start?)","OK")))</f>
        <v/>
      </c>
    </row>
    <row r="661">
      <c r="B661" s="18" t="n"/>
      <c r="C661" s="17">
        <f>IF($B661="","",TEXT($B661,"ddd"))</f>
        <v/>
      </c>
      <c r="D661" s="46" t="n"/>
      <c r="E661" s="46"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IF(OR($B661="",$I661=""),"",IF(SUMPRODUCT((nrInstrNames&lt;&gt;"")*ISNUMBER(SEARCH(nrInstrNames,$I661)))&gt;0,"OK","UNRECOGNIZED"))</f>
        <v/>
      </c>
      <c r="O661" s="17">
        <f>IF(OR($B661="",$D661="",$E661=""),"",IF($E661=$D661,"CHECK TIMES (start = end)",IF($F661&gt;12,"CHECK TIMES (End is before Start?)","OK")))</f>
        <v/>
      </c>
    </row>
    <row r="662">
      <c r="B662" s="18" t="n"/>
      <c r="C662" s="17">
        <f>IF($B662="","",TEXT($B662,"ddd"))</f>
        <v/>
      </c>
      <c r="D662" s="46" t="n"/>
      <c r="E662" s="46"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IF(OR($B662="",$I662=""),"",IF(SUMPRODUCT((nrInstrNames&lt;&gt;"")*ISNUMBER(SEARCH(nrInstrNames,$I662)))&gt;0,"OK","UNRECOGNIZED"))</f>
        <v/>
      </c>
      <c r="O662" s="17">
        <f>IF(OR($B662="",$D662="",$E662=""),"",IF($E662=$D662,"CHECK TIMES (start = end)",IF($F662&gt;12,"CHECK TIMES (End is before Start?)","OK")))</f>
        <v/>
      </c>
    </row>
    <row r="663">
      <c r="B663" s="18" t="n"/>
      <c r="C663" s="17">
        <f>IF($B663="","",TEXT($B663,"ddd"))</f>
        <v/>
      </c>
      <c r="D663" s="46" t="n"/>
      <c r="E663" s="46"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IF(OR($B663="",$I663=""),"",IF(SUMPRODUCT((nrInstrNames&lt;&gt;"")*ISNUMBER(SEARCH(nrInstrNames,$I663)))&gt;0,"OK","UNRECOGNIZED"))</f>
        <v/>
      </c>
      <c r="O663" s="17">
        <f>IF(OR($B663="",$D663="",$E663=""),"",IF($E663=$D663,"CHECK TIMES (start = end)",IF($F663&gt;12,"CHECK TIMES (End is before Start?)","OK")))</f>
        <v/>
      </c>
    </row>
    <row r="664">
      <c r="B664" s="18" t="n"/>
      <c r="C664" s="17">
        <f>IF($B664="","",TEXT($B664,"ddd"))</f>
        <v/>
      </c>
      <c r="D664" s="46" t="n"/>
      <c r="E664" s="46"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IF(OR($B664="",$I664=""),"",IF(SUMPRODUCT((nrInstrNames&lt;&gt;"")*ISNUMBER(SEARCH(nrInstrNames,$I664)))&gt;0,"OK","UNRECOGNIZED"))</f>
        <v/>
      </c>
      <c r="O664" s="17">
        <f>IF(OR($B664="",$D664="",$E664=""),"",IF($E664=$D664,"CHECK TIMES (start = end)",IF($F664&gt;12,"CHECK TIMES (End is before Start?)","OK")))</f>
        <v/>
      </c>
    </row>
    <row r="665">
      <c r="B665" s="18" t="n"/>
      <c r="C665" s="17">
        <f>IF($B665="","",TEXT($B665,"ddd"))</f>
        <v/>
      </c>
      <c r="D665" s="46" t="n"/>
      <c r="E665" s="46"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IF(OR($B665="",$I665=""),"",IF(SUMPRODUCT((nrInstrNames&lt;&gt;"")*ISNUMBER(SEARCH(nrInstrNames,$I665)))&gt;0,"OK","UNRECOGNIZED"))</f>
        <v/>
      </c>
      <c r="O665" s="17">
        <f>IF(OR($B665="",$D665="",$E665=""),"",IF($E665=$D665,"CHECK TIMES (start = end)",IF($F665&gt;12,"CHECK TIMES (End is before Start?)","OK")))</f>
        <v/>
      </c>
    </row>
    <row r="666">
      <c r="B666" s="18" t="n"/>
      <c r="C666" s="17">
        <f>IF($B666="","",TEXT($B666,"ddd"))</f>
        <v/>
      </c>
      <c r="D666" s="46" t="n"/>
      <c r="E666" s="46"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IF(OR($B666="",$I666=""),"",IF(SUMPRODUCT((nrInstrNames&lt;&gt;"")*ISNUMBER(SEARCH(nrInstrNames,$I666)))&gt;0,"OK","UNRECOGNIZED"))</f>
        <v/>
      </c>
      <c r="O666" s="17">
        <f>IF(OR($B666="",$D666="",$E666=""),"",IF($E666=$D666,"CHECK TIMES (start = end)",IF($F666&gt;12,"CHECK TIMES (End is before Start?)","OK")))</f>
        <v/>
      </c>
    </row>
    <row r="667">
      <c r="B667" s="18" t="n"/>
      <c r="C667" s="17">
        <f>IF($B667="","",TEXT($B667,"ddd"))</f>
        <v/>
      </c>
      <c r="D667" s="46" t="n"/>
      <c r="E667" s="46"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IF(OR($B667="",$I667=""),"",IF(SUMPRODUCT((nrInstrNames&lt;&gt;"")*ISNUMBER(SEARCH(nrInstrNames,$I667)))&gt;0,"OK","UNRECOGNIZED"))</f>
        <v/>
      </c>
      <c r="O667" s="17">
        <f>IF(OR($B667="",$D667="",$E667=""),"",IF($E667=$D667,"CHECK TIMES (start = end)",IF($F667&gt;12,"CHECK TIMES (End is before Start?)","OK")))</f>
        <v/>
      </c>
    </row>
    <row r="668">
      <c r="B668" s="18" t="n"/>
      <c r="C668" s="17">
        <f>IF($B668="","",TEXT($B668,"ddd"))</f>
        <v/>
      </c>
      <c r="D668" s="46" t="n"/>
      <c r="E668" s="46"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IF(OR($B668="",$I668=""),"",IF(SUMPRODUCT((nrInstrNames&lt;&gt;"")*ISNUMBER(SEARCH(nrInstrNames,$I668)))&gt;0,"OK","UNRECOGNIZED"))</f>
        <v/>
      </c>
      <c r="O668" s="17">
        <f>IF(OR($B668="",$D668="",$E668=""),"",IF($E668=$D668,"CHECK TIMES (start = end)",IF($F668&gt;12,"CHECK TIMES (End is before Start?)","OK")))</f>
        <v/>
      </c>
    </row>
    <row r="669">
      <c r="B669" s="18" t="n"/>
      <c r="C669" s="17">
        <f>IF($B669="","",TEXT($B669,"ddd"))</f>
        <v/>
      </c>
      <c r="D669" s="46" t="n"/>
      <c r="E669" s="46"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IF(OR($B669="",$I669=""),"",IF(SUMPRODUCT((nrInstrNames&lt;&gt;"")*ISNUMBER(SEARCH(nrInstrNames,$I669)))&gt;0,"OK","UNRECOGNIZED"))</f>
        <v/>
      </c>
      <c r="O669" s="17">
        <f>IF(OR($B669="",$D669="",$E669=""),"",IF($E669=$D669,"CHECK TIMES (start = end)",IF($F669&gt;12,"CHECK TIMES (End is before Start?)","OK")))</f>
        <v/>
      </c>
    </row>
    <row r="670">
      <c r="B670" s="18" t="n"/>
      <c r="C670" s="17">
        <f>IF($B670="","",TEXT($B670,"ddd"))</f>
        <v/>
      </c>
      <c r="D670" s="46" t="n"/>
      <c r="E670" s="46"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IF(OR($B670="",$I670=""),"",IF(SUMPRODUCT((nrInstrNames&lt;&gt;"")*ISNUMBER(SEARCH(nrInstrNames,$I670)))&gt;0,"OK","UNRECOGNIZED"))</f>
        <v/>
      </c>
      <c r="O670" s="17">
        <f>IF(OR($B670="",$D670="",$E670=""),"",IF($E670=$D670,"CHECK TIMES (start = end)",IF($F670&gt;12,"CHECK TIMES (End is before Start?)","OK")))</f>
        <v/>
      </c>
    </row>
    <row r="671">
      <c r="B671" s="18" t="n"/>
      <c r="C671" s="17">
        <f>IF($B671="","",TEXT($B671,"ddd"))</f>
        <v/>
      </c>
      <c r="D671" s="46" t="n"/>
      <c r="E671" s="46"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IF(OR($B671="",$I671=""),"",IF(SUMPRODUCT((nrInstrNames&lt;&gt;"")*ISNUMBER(SEARCH(nrInstrNames,$I671)))&gt;0,"OK","UNRECOGNIZED"))</f>
        <v/>
      </c>
      <c r="O671" s="17">
        <f>IF(OR($B671="",$D671="",$E671=""),"",IF($E671=$D671,"CHECK TIMES (start = end)",IF($F671&gt;12,"CHECK TIMES (End is before Start?)","OK")))</f>
        <v/>
      </c>
    </row>
    <row r="672">
      <c r="B672" s="18" t="n"/>
      <c r="C672" s="17">
        <f>IF($B672="","",TEXT($B672,"ddd"))</f>
        <v/>
      </c>
      <c r="D672" s="46" t="n"/>
      <c r="E672" s="46"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IF(OR($B672="",$I672=""),"",IF(SUMPRODUCT((nrInstrNames&lt;&gt;"")*ISNUMBER(SEARCH(nrInstrNames,$I672)))&gt;0,"OK","UNRECOGNIZED"))</f>
        <v/>
      </c>
      <c r="O672" s="17">
        <f>IF(OR($B672="",$D672="",$E672=""),"",IF($E672=$D672,"CHECK TIMES (start = end)",IF($F672&gt;12,"CHECK TIMES (End is before Start?)","OK")))</f>
        <v/>
      </c>
    </row>
    <row r="673">
      <c r="B673" s="18" t="n"/>
      <c r="C673" s="17">
        <f>IF($B673="","",TEXT($B673,"ddd"))</f>
        <v/>
      </c>
      <c r="D673" s="46" t="n"/>
      <c r="E673" s="46"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IF(OR($B673="",$I673=""),"",IF(SUMPRODUCT((nrInstrNames&lt;&gt;"")*ISNUMBER(SEARCH(nrInstrNames,$I673)))&gt;0,"OK","UNRECOGNIZED"))</f>
        <v/>
      </c>
      <c r="O673" s="17">
        <f>IF(OR($B673="",$D673="",$E673=""),"",IF($E673=$D673,"CHECK TIMES (start = end)",IF($F673&gt;12,"CHECK TIMES (End is before Start?)","OK")))</f>
        <v/>
      </c>
    </row>
    <row r="674">
      <c r="B674" s="18" t="n"/>
      <c r="C674" s="17">
        <f>IF($B674="","",TEXT($B674,"ddd"))</f>
        <v/>
      </c>
      <c r="D674" s="46" t="n"/>
      <c r="E674" s="46"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IF(OR($B674="",$I674=""),"",IF(SUMPRODUCT((nrInstrNames&lt;&gt;"")*ISNUMBER(SEARCH(nrInstrNames,$I674)))&gt;0,"OK","UNRECOGNIZED"))</f>
        <v/>
      </c>
      <c r="O674" s="17">
        <f>IF(OR($B674="",$D674="",$E674=""),"",IF($E674=$D674,"CHECK TIMES (start = end)",IF($F674&gt;12,"CHECK TIMES (End is before Start?)","OK")))</f>
        <v/>
      </c>
    </row>
    <row r="675">
      <c r="B675" s="18" t="n"/>
      <c r="C675" s="17">
        <f>IF($B675="","",TEXT($B675,"ddd"))</f>
        <v/>
      </c>
      <c r="D675" s="46" t="n"/>
      <c r="E675" s="46"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IF(OR($B675="",$I675=""),"",IF(SUMPRODUCT((nrInstrNames&lt;&gt;"")*ISNUMBER(SEARCH(nrInstrNames,$I675)))&gt;0,"OK","UNRECOGNIZED"))</f>
        <v/>
      </c>
      <c r="O675" s="17">
        <f>IF(OR($B675="",$D675="",$E675=""),"",IF($E675=$D675,"CHECK TIMES (start = end)",IF($F675&gt;12,"CHECK TIMES (End is before Start?)","OK")))</f>
        <v/>
      </c>
    </row>
    <row r="676">
      <c r="B676" s="18" t="n"/>
      <c r="C676" s="17">
        <f>IF($B676="","",TEXT($B676,"ddd"))</f>
        <v/>
      </c>
      <c r="D676" s="46" t="n"/>
      <c r="E676" s="46"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IF(OR($B676="",$I676=""),"",IF(SUMPRODUCT((nrInstrNames&lt;&gt;"")*ISNUMBER(SEARCH(nrInstrNames,$I676)))&gt;0,"OK","UNRECOGNIZED"))</f>
        <v/>
      </c>
      <c r="O676" s="17">
        <f>IF(OR($B676="",$D676="",$E676=""),"",IF($E676=$D676,"CHECK TIMES (start = end)",IF($F676&gt;12,"CHECK TIMES (End is before Start?)","OK")))</f>
        <v/>
      </c>
    </row>
    <row r="677">
      <c r="B677" s="18" t="n"/>
      <c r="C677" s="17">
        <f>IF($B677="","",TEXT($B677,"ddd"))</f>
        <v/>
      </c>
      <c r="D677" s="46" t="n"/>
      <c r="E677" s="46"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IF(OR($B677="",$I677=""),"",IF(SUMPRODUCT((nrInstrNames&lt;&gt;"")*ISNUMBER(SEARCH(nrInstrNames,$I677)))&gt;0,"OK","UNRECOGNIZED"))</f>
        <v/>
      </c>
      <c r="O677" s="17">
        <f>IF(OR($B677="",$D677="",$E677=""),"",IF($E677=$D677,"CHECK TIMES (start = end)",IF($F677&gt;12,"CHECK TIMES (End is before Start?)","OK")))</f>
        <v/>
      </c>
    </row>
    <row r="678">
      <c r="B678" s="18" t="n"/>
      <c r="C678" s="17">
        <f>IF($B678="","",TEXT($B678,"ddd"))</f>
        <v/>
      </c>
      <c r="D678" s="46" t="n"/>
      <c r="E678" s="46"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IF(OR($B678="",$I678=""),"",IF(SUMPRODUCT((nrInstrNames&lt;&gt;"")*ISNUMBER(SEARCH(nrInstrNames,$I678)))&gt;0,"OK","UNRECOGNIZED"))</f>
        <v/>
      </c>
      <c r="O678" s="17">
        <f>IF(OR($B678="",$D678="",$E678=""),"",IF($E678=$D678,"CHECK TIMES (start = end)",IF($F678&gt;12,"CHECK TIMES (End is before Start?)","OK")))</f>
        <v/>
      </c>
    </row>
    <row r="679">
      <c r="B679" s="18" t="n"/>
      <c r="C679" s="17">
        <f>IF($B679="","",TEXT($B679,"ddd"))</f>
        <v/>
      </c>
      <c r="D679" s="46" t="n"/>
      <c r="E679" s="46"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IF(OR($B679="",$I679=""),"",IF(SUMPRODUCT((nrInstrNames&lt;&gt;"")*ISNUMBER(SEARCH(nrInstrNames,$I679)))&gt;0,"OK","UNRECOGNIZED"))</f>
        <v/>
      </c>
      <c r="O679" s="17">
        <f>IF(OR($B679="",$D679="",$E679=""),"",IF($E679=$D679,"CHECK TIMES (start = end)",IF($F679&gt;12,"CHECK TIMES (End is before Start?)","OK")))</f>
        <v/>
      </c>
    </row>
    <row r="680">
      <c r="B680" s="18" t="n"/>
      <c r="C680" s="17">
        <f>IF($B680="","",TEXT($B680,"ddd"))</f>
        <v/>
      </c>
      <c r="D680" s="46" t="n"/>
      <c r="E680" s="46"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IF(OR($B680="",$I680=""),"",IF(SUMPRODUCT((nrInstrNames&lt;&gt;"")*ISNUMBER(SEARCH(nrInstrNames,$I680)))&gt;0,"OK","UNRECOGNIZED"))</f>
        <v/>
      </c>
      <c r="O680" s="17">
        <f>IF(OR($B680="",$D680="",$E680=""),"",IF($E680=$D680,"CHECK TIMES (start = end)",IF($F680&gt;12,"CHECK TIMES (End is before Start?)","OK")))</f>
        <v/>
      </c>
    </row>
    <row r="681">
      <c r="B681" s="18" t="n"/>
      <c r="C681" s="17">
        <f>IF($B681="","",TEXT($B681,"ddd"))</f>
        <v/>
      </c>
      <c r="D681" s="46" t="n"/>
      <c r="E681" s="46"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IF(OR($B681="",$I681=""),"",IF(SUMPRODUCT((nrInstrNames&lt;&gt;"")*ISNUMBER(SEARCH(nrInstrNames,$I681)))&gt;0,"OK","UNRECOGNIZED"))</f>
        <v/>
      </c>
      <c r="O681" s="17">
        <f>IF(OR($B681="",$D681="",$E681=""),"",IF($E681=$D681,"CHECK TIMES (start = end)",IF($F681&gt;12,"CHECK TIMES (End is before Start?)","OK")))</f>
        <v/>
      </c>
    </row>
    <row r="682">
      <c r="B682" s="18" t="n"/>
      <c r="C682" s="17">
        <f>IF($B682="","",TEXT($B682,"ddd"))</f>
        <v/>
      </c>
      <c r="D682" s="46" t="n"/>
      <c r="E682" s="46"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IF(OR($B682="",$I682=""),"",IF(SUMPRODUCT((nrInstrNames&lt;&gt;"")*ISNUMBER(SEARCH(nrInstrNames,$I682)))&gt;0,"OK","UNRECOGNIZED"))</f>
        <v/>
      </c>
      <c r="O682" s="17">
        <f>IF(OR($B682="",$D682="",$E682=""),"",IF($E682=$D682,"CHECK TIMES (start = end)",IF($F682&gt;12,"CHECK TIMES (End is before Start?)","OK")))</f>
        <v/>
      </c>
    </row>
    <row r="683">
      <c r="B683" s="18" t="n"/>
      <c r="C683" s="17">
        <f>IF($B683="","",TEXT($B683,"ddd"))</f>
        <v/>
      </c>
      <c r="D683" s="46" t="n"/>
      <c r="E683" s="46"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IF(OR($B683="",$I683=""),"",IF(SUMPRODUCT((nrInstrNames&lt;&gt;"")*ISNUMBER(SEARCH(nrInstrNames,$I683)))&gt;0,"OK","UNRECOGNIZED"))</f>
        <v/>
      </c>
      <c r="O683" s="17">
        <f>IF(OR($B683="",$D683="",$E683=""),"",IF($E683=$D683,"CHECK TIMES (start = end)",IF($F683&gt;12,"CHECK TIMES (End is before Start?)","OK")))</f>
        <v/>
      </c>
    </row>
    <row r="684">
      <c r="B684" s="18" t="n"/>
      <c r="C684" s="17">
        <f>IF($B684="","",TEXT($B684,"ddd"))</f>
        <v/>
      </c>
      <c r="D684" s="46" t="n"/>
      <c r="E684" s="46"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IF(OR($B684="",$I684=""),"",IF(SUMPRODUCT((nrInstrNames&lt;&gt;"")*ISNUMBER(SEARCH(nrInstrNames,$I684)))&gt;0,"OK","UNRECOGNIZED"))</f>
        <v/>
      </c>
      <c r="O684" s="17">
        <f>IF(OR($B684="",$D684="",$E684=""),"",IF($E684=$D684,"CHECK TIMES (start = end)",IF($F684&gt;12,"CHECK TIMES (End is before Start?)","OK")))</f>
        <v/>
      </c>
    </row>
    <row r="685">
      <c r="B685" s="18" t="n"/>
      <c r="C685" s="17">
        <f>IF($B685="","",TEXT($B685,"ddd"))</f>
        <v/>
      </c>
      <c r="D685" s="46" t="n"/>
      <c r="E685" s="46"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IF(OR($B685="",$I685=""),"",IF(SUMPRODUCT((nrInstrNames&lt;&gt;"")*ISNUMBER(SEARCH(nrInstrNames,$I685)))&gt;0,"OK","UNRECOGNIZED"))</f>
        <v/>
      </c>
      <c r="O685" s="17">
        <f>IF(OR($B685="",$D685="",$E685=""),"",IF($E685=$D685,"CHECK TIMES (start = end)",IF($F685&gt;12,"CHECK TIMES (End is before Start?)","OK")))</f>
        <v/>
      </c>
    </row>
    <row r="686">
      <c r="B686" s="18" t="n"/>
      <c r="C686" s="17">
        <f>IF($B686="","",TEXT($B686,"ddd"))</f>
        <v/>
      </c>
      <c r="D686" s="46" t="n"/>
      <c r="E686" s="46"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IF(OR($B686="",$I686=""),"",IF(SUMPRODUCT((nrInstrNames&lt;&gt;"")*ISNUMBER(SEARCH(nrInstrNames,$I686)))&gt;0,"OK","UNRECOGNIZED"))</f>
        <v/>
      </c>
      <c r="O686" s="17">
        <f>IF(OR($B686="",$D686="",$E686=""),"",IF($E686=$D686,"CHECK TIMES (start = end)",IF($F686&gt;12,"CHECK TIMES (End is before Start?)","OK")))</f>
        <v/>
      </c>
    </row>
    <row r="687">
      <c r="B687" s="18" t="n"/>
      <c r="C687" s="17">
        <f>IF($B687="","",TEXT($B687,"ddd"))</f>
        <v/>
      </c>
      <c r="D687" s="46" t="n"/>
      <c r="E687" s="46"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IF(OR($B687="",$I687=""),"",IF(SUMPRODUCT((nrInstrNames&lt;&gt;"")*ISNUMBER(SEARCH(nrInstrNames,$I687)))&gt;0,"OK","UNRECOGNIZED"))</f>
        <v/>
      </c>
      <c r="O687" s="17">
        <f>IF(OR($B687="",$D687="",$E687=""),"",IF($E687=$D687,"CHECK TIMES (start = end)",IF($F687&gt;12,"CHECK TIMES (End is before Start?)","OK")))</f>
        <v/>
      </c>
    </row>
    <row r="688">
      <c r="B688" s="18" t="n"/>
      <c r="C688" s="17">
        <f>IF($B688="","",TEXT($B688,"ddd"))</f>
        <v/>
      </c>
      <c r="D688" s="46" t="n"/>
      <c r="E688" s="46"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IF(OR($B688="",$I688=""),"",IF(SUMPRODUCT((nrInstrNames&lt;&gt;"")*ISNUMBER(SEARCH(nrInstrNames,$I688)))&gt;0,"OK","UNRECOGNIZED"))</f>
        <v/>
      </c>
      <c r="O688" s="17">
        <f>IF(OR($B688="",$D688="",$E688=""),"",IF($E688=$D688,"CHECK TIMES (start = end)",IF($F688&gt;12,"CHECK TIMES (End is before Start?)","OK")))</f>
        <v/>
      </c>
    </row>
    <row r="689">
      <c r="B689" s="18" t="n"/>
      <c r="C689" s="17">
        <f>IF($B689="","",TEXT($B689,"ddd"))</f>
        <v/>
      </c>
      <c r="D689" s="46" t="n"/>
      <c r="E689" s="46"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IF(OR($B689="",$I689=""),"",IF(SUMPRODUCT((nrInstrNames&lt;&gt;"")*ISNUMBER(SEARCH(nrInstrNames,$I689)))&gt;0,"OK","UNRECOGNIZED"))</f>
        <v/>
      </c>
      <c r="O689" s="17">
        <f>IF(OR($B689="",$D689="",$E689=""),"",IF($E689=$D689,"CHECK TIMES (start = end)",IF($F689&gt;12,"CHECK TIMES (End is before Start?)","OK")))</f>
        <v/>
      </c>
    </row>
    <row r="690">
      <c r="B690" s="18" t="n"/>
      <c r="C690" s="17">
        <f>IF($B690="","",TEXT($B690,"ddd"))</f>
        <v/>
      </c>
      <c r="D690" s="46" t="n"/>
      <c r="E690" s="46"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IF(OR($B690="",$I690=""),"",IF(SUMPRODUCT((nrInstrNames&lt;&gt;"")*ISNUMBER(SEARCH(nrInstrNames,$I690)))&gt;0,"OK","UNRECOGNIZED"))</f>
        <v/>
      </c>
      <c r="O690" s="17">
        <f>IF(OR($B690="",$D690="",$E690=""),"",IF($E690=$D690,"CHECK TIMES (start = end)",IF($F690&gt;12,"CHECK TIMES (End is before Start?)","OK")))</f>
        <v/>
      </c>
    </row>
    <row r="691">
      <c r="B691" s="18" t="n"/>
      <c r="C691" s="17">
        <f>IF($B691="","",TEXT($B691,"ddd"))</f>
        <v/>
      </c>
      <c r="D691" s="46" t="n"/>
      <c r="E691" s="46"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IF(OR($B691="",$I691=""),"",IF(SUMPRODUCT((nrInstrNames&lt;&gt;"")*ISNUMBER(SEARCH(nrInstrNames,$I691)))&gt;0,"OK","UNRECOGNIZED"))</f>
        <v/>
      </c>
      <c r="O691" s="17">
        <f>IF(OR($B691="",$D691="",$E691=""),"",IF($E691=$D691,"CHECK TIMES (start = end)",IF($F691&gt;12,"CHECK TIMES (End is before Start?)","OK")))</f>
        <v/>
      </c>
    </row>
    <row r="692">
      <c r="B692" s="18" t="n"/>
      <c r="C692" s="17">
        <f>IF($B692="","",TEXT($B692,"ddd"))</f>
        <v/>
      </c>
      <c r="D692" s="46" t="n"/>
      <c r="E692" s="46"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IF(OR($B692="",$I692=""),"",IF(SUMPRODUCT((nrInstrNames&lt;&gt;"")*ISNUMBER(SEARCH(nrInstrNames,$I692)))&gt;0,"OK","UNRECOGNIZED"))</f>
        <v/>
      </c>
      <c r="O692" s="17">
        <f>IF(OR($B692="",$D692="",$E692=""),"",IF($E692=$D692,"CHECK TIMES (start = end)",IF($F692&gt;12,"CHECK TIMES (End is before Start?)","OK")))</f>
        <v/>
      </c>
    </row>
    <row r="693">
      <c r="B693" s="18" t="n"/>
      <c r="C693" s="17">
        <f>IF($B693="","",TEXT($B693,"ddd"))</f>
        <v/>
      </c>
      <c r="D693" s="46" t="n"/>
      <c r="E693" s="46"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IF(OR($B693="",$I693=""),"",IF(SUMPRODUCT((nrInstrNames&lt;&gt;"")*ISNUMBER(SEARCH(nrInstrNames,$I693)))&gt;0,"OK","UNRECOGNIZED"))</f>
        <v/>
      </c>
      <c r="O693" s="17">
        <f>IF(OR($B693="",$D693="",$E693=""),"",IF($E693=$D693,"CHECK TIMES (start = end)",IF($F693&gt;12,"CHECK TIMES (End is before Start?)","OK")))</f>
        <v/>
      </c>
    </row>
    <row r="694">
      <c r="B694" s="18" t="n"/>
      <c r="C694" s="17">
        <f>IF($B694="","",TEXT($B694,"ddd"))</f>
        <v/>
      </c>
      <c r="D694" s="46" t="n"/>
      <c r="E694" s="46"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IF(OR($B694="",$I694=""),"",IF(SUMPRODUCT((nrInstrNames&lt;&gt;"")*ISNUMBER(SEARCH(nrInstrNames,$I694)))&gt;0,"OK","UNRECOGNIZED"))</f>
        <v/>
      </c>
      <c r="O694" s="17">
        <f>IF(OR($B694="",$D694="",$E694=""),"",IF($E694=$D694,"CHECK TIMES (start = end)",IF($F694&gt;12,"CHECK TIMES (End is before Start?)","OK")))</f>
        <v/>
      </c>
    </row>
    <row r="695">
      <c r="B695" s="18" t="n"/>
      <c r="C695" s="17">
        <f>IF($B695="","",TEXT($B695,"ddd"))</f>
        <v/>
      </c>
      <c r="D695" s="46" t="n"/>
      <c r="E695" s="46"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IF(OR($B695="",$I695=""),"",IF(SUMPRODUCT((nrInstrNames&lt;&gt;"")*ISNUMBER(SEARCH(nrInstrNames,$I695)))&gt;0,"OK","UNRECOGNIZED"))</f>
        <v/>
      </c>
      <c r="O695" s="17">
        <f>IF(OR($B695="",$D695="",$E695=""),"",IF($E695=$D695,"CHECK TIMES (start = end)",IF($F695&gt;12,"CHECK TIMES (End is before Start?)","OK")))</f>
        <v/>
      </c>
    </row>
    <row r="696">
      <c r="B696" s="18" t="n"/>
      <c r="C696" s="17">
        <f>IF($B696="","",TEXT($B696,"ddd"))</f>
        <v/>
      </c>
      <c r="D696" s="46" t="n"/>
      <c r="E696" s="46"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IF(OR($B696="",$I696=""),"",IF(SUMPRODUCT((nrInstrNames&lt;&gt;"")*ISNUMBER(SEARCH(nrInstrNames,$I696)))&gt;0,"OK","UNRECOGNIZED"))</f>
        <v/>
      </c>
      <c r="O696" s="17">
        <f>IF(OR($B696="",$D696="",$E696=""),"",IF($E696=$D696,"CHECK TIMES (start = end)",IF($F696&gt;12,"CHECK TIMES (End is before Start?)","OK")))</f>
        <v/>
      </c>
    </row>
    <row r="697">
      <c r="B697" s="18" t="n"/>
      <c r="C697" s="17">
        <f>IF($B697="","",TEXT($B697,"ddd"))</f>
        <v/>
      </c>
      <c r="D697" s="46" t="n"/>
      <c r="E697" s="46"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IF(OR($B697="",$I697=""),"",IF(SUMPRODUCT((nrInstrNames&lt;&gt;"")*ISNUMBER(SEARCH(nrInstrNames,$I697)))&gt;0,"OK","UNRECOGNIZED"))</f>
        <v/>
      </c>
      <c r="O697" s="17">
        <f>IF(OR($B697="",$D697="",$E697=""),"",IF($E697=$D697,"CHECK TIMES (start = end)",IF($F697&gt;12,"CHECK TIMES (End is before Start?)","OK")))</f>
        <v/>
      </c>
    </row>
    <row r="698">
      <c r="B698" s="18" t="n"/>
      <c r="C698" s="17">
        <f>IF($B698="","",TEXT($B698,"ddd"))</f>
        <v/>
      </c>
      <c r="D698" s="46" t="n"/>
      <c r="E698" s="46"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IF(OR($B698="",$I698=""),"",IF(SUMPRODUCT((nrInstrNames&lt;&gt;"")*ISNUMBER(SEARCH(nrInstrNames,$I698)))&gt;0,"OK","UNRECOGNIZED"))</f>
        <v/>
      </c>
      <c r="O698" s="17">
        <f>IF(OR($B698="",$D698="",$E698=""),"",IF($E698=$D698,"CHECK TIMES (start = end)",IF($F698&gt;12,"CHECK TIMES (End is before Start?)","OK")))</f>
        <v/>
      </c>
    </row>
    <row r="699">
      <c r="B699" s="18" t="n"/>
      <c r="C699" s="17">
        <f>IF($B699="","",TEXT($B699,"ddd"))</f>
        <v/>
      </c>
      <c r="D699" s="46" t="n"/>
      <c r="E699" s="46"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IF(OR($B699="",$I699=""),"",IF(SUMPRODUCT((nrInstrNames&lt;&gt;"")*ISNUMBER(SEARCH(nrInstrNames,$I699)))&gt;0,"OK","UNRECOGNIZED"))</f>
        <v/>
      </c>
      <c r="O699" s="17">
        <f>IF(OR($B699="",$D699="",$E699=""),"",IF($E699=$D699,"CHECK TIMES (start = end)",IF($F699&gt;12,"CHECK TIMES (End is before Start?)","OK")))</f>
        <v/>
      </c>
    </row>
    <row r="700">
      <c r="B700" s="18" t="n"/>
      <c r="C700" s="17">
        <f>IF($B700="","",TEXT($B700,"ddd"))</f>
        <v/>
      </c>
      <c r="D700" s="46" t="n"/>
      <c r="E700" s="46"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IF(OR($B700="",$I700=""),"",IF(SUMPRODUCT((nrInstrNames&lt;&gt;"")*ISNUMBER(SEARCH(nrInstrNames,$I700)))&gt;0,"OK","UNRECOGNIZED"))</f>
        <v/>
      </c>
      <c r="O700" s="17">
        <f>IF(OR($B700="",$D700="",$E700=""),"",IF($E700=$D700,"CHECK TIMES (start = end)",IF($F700&gt;12,"CHECK TIMES (End is before Start?)","OK")))</f>
        <v/>
      </c>
    </row>
    <row r="701">
      <c r="B701" s="18" t="n"/>
      <c r="C701" s="17">
        <f>IF($B701="","",TEXT($B701,"ddd"))</f>
        <v/>
      </c>
      <c r="D701" s="46" t="n"/>
      <c r="E701" s="46"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IF(OR($B701="",$I701=""),"",IF(SUMPRODUCT((nrInstrNames&lt;&gt;"")*ISNUMBER(SEARCH(nrInstrNames,$I701)))&gt;0,"OK","UNRECOGNIZED"))</f>
        <v/>
      </c>
      <c r="O701" s="17">
        <f>IF(OR($B701="",$D701="",$E701=""),"",IF($E701=$D701,"CHECK TIMES (start = end)",IF($F701&gt;12,"CHECK TIMES (End is before Start?)","OK")))</f>
        <v/>
      </c>
    </row>
    <row r="702">
      <c r="B702" s="18" t="n"/>
      <c r="C702" s="17">
        <f>IF($B702="","",TEXT($B702,"ddd"))</f>
        <v/>
      </c>
      <c r="D702" s="46" t="n"/>
      <c r="E702" s="46"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IF(OR($B702="",$I702=""),"",IF(SUMPRODUCT((nrInstrNames&lt;&gt;"")*ISNUMBER(SEARCH(nrInstrNames,$I702)))&gt;0,"OK","UNRECOGNIZED"))</f>
        <v/>
      </c>
      <c r="O702" s="17">
        <f>IF(OR($B702="",$D702="",$E702=""),"",IF($E702=$D702,"CHECK TIMES (start = end)",IF($F702&gt;12,"CHECK TIMES (End is before Start?)","OK")))</f>
        <v/>
      </c>
    </row>
    <row r="703">
      <c r="B703" s="18" t="n"/>
      <c r="C703" s="17">
        <f>IF($B703="","",TEXT($B703,"ddd"))</f>
        <v/>
      </c>
      <c r="D703" s="46" t="n"/>
      <c r="E703" s="46"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IF(OR($B703="",$I703=""),"",IF(SUMPRODUCT((nrInstrNames&lt;&gt;"")*ISNUMBER(SEARCH(nrInstrNames,$I703)))&gt;0,"OK","UNRECOGNIZED"))</f>
        <v/>
      </c>
      <c r="O703" s="17">
        <f>IF(OR($B703="",$D703="",$E703=""),"",IF($E703=$D703,"CHECK TIMES (start = end)",IF($F703&gt;12,"CHECK TIMES (End is before Start?)","OK")))</f>
        <v/>
      </c>
    </row>
    <row r="704">
      <c r="B704" s="18" t="n"/>
      <c r="C704" s="17">
        <f>IF($B704="","",TEXT($B704,"ddd"))</f>
        <v/>
      </c>
      <c r="D704" s="46" t="n"/>
      <c r="E704" s="46"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IF(OR($B704="",$I704=""),"",IF(SUMPRODUCT((nrInstrNames&lt;&gt;"")*ISNUMBER(SEARCH(nrInstrNames,$I704)))&gt;0,"OK","UNRECOGNIZED"))</f>
        <v/>
      </c>
      <c r="O704" s="17">
        <f>IF(OR($B704="",$D704="",$E704=""),"",IF($E704=$D704,"CHECK TIMES (start = end)",IF($F704&gt;12,"CHECK TIMES (End is before Start?)","OK")))</f>
        <v/>
      </c>
    </row>
    <row r="705">
      <c r="B705" s="18" t="n"/>
      <c r="C705" s="17">
        <f>IF($B705="","",TEXT($B705,"ddd"))</f>
        <v/>
      </c>
      <c r="D705" s="46" t="n"/>
      <c r="E705" s="46"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IF(OR($B705="",$I705=""),"",IF(SUMPRODUCT((nrInstrNames&lt;&gt;"")*ISNUMBER(SEARCH(nrInstrNames,$I705)))&gt;0,"OK","UNRECOGNIZED"))</f>
        <v/>
      </c>
      <c r="O705" s="17">
        <f>IF(OR($B705="",$D705="",$E705=""),"",IF($E705=$D705,"CHECK TIMES (start = end)",IF($F705&gt;12,"CHECK TIMES (End is before Start?)","OK")))</f>
        <v/>
      </c>
    </row>
    <row r="706">
      <c r="B706" s="18" t="n"/>
      <c r="C706" s="17">
        <f>IF($B706="","",TEXT($B706,"ddd"))</f>
        <v/>
      </c>
      <c r="D706" s="46" t="n"/>
      <c r="E706" s="46"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IF(OR($B706="",$I706=""),"",IF(SUMPRODUCT((nrInstrNames&lt;&gt;"")*ISNUMBER(SEARCH(nrInstrNames,$I706)))&gt;0,"OK","UNRECOGNIZED"))</f>
        <v/>
      </c>
      <c r="O706" s="17">
        <f>IF(OR($B706="",$D706="",$E706=""),"",IF($E706=$D706,"CHECK TIMES (start = end)",IF($F706&gt;12,"CHECK TIMES (End is before Start?)","OK")))</f>
        <v/>
      </c>
    </row>
    <row r="707">
      <c r="B707" s="18" t="n"/>
      <c r="C707" s="17">
        <f>IF($B707="","",TEXT($B707,"ddd"))</f>
        <v/>
      </c>
      <c r="D707" s="46" t="n"/>
      <c r="E707" s="46"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IF(OR($B707="",$I707=""),"",IF(SUMPRODUCT((nrInstrNames&lt;&gt;"")*ISNUMBER(SEARCH(nrInstrNames,$I707)))&gt;0,"OK","UNRECOGNIZED"))</f>
        <v/>
      </c>
      <c r="O707" s="17">
        <f>IF(OR($B707="",$D707="",$E707=""),"",IF($E707=$D707,"CHECK TIMES (start = end)",IF($F707&gt;12,"CHECK TIMES (End is before Start?)","OK")))</f>
        <v/>
      </c>
    </row>
    <row r="708">
      <c r="B708" s="18" t="n"/>
      <c r="C708" s="17">
        <f>IF($B708="","",TEXT($B708,"ddd"))</f>
        <v/>
      </c>
      <c r="D708" s="46" t="n"/>
      <c r="E708" s="46"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IF(OR($B708="",$I708=""),"",IF(SUMPRODUCT((nrInstrNames&lt;&gt;"")*ISNUMBER(SEARCH(nrInstrNames,$I708)))&gt;0,"OK","UNRECOGNIZED"))</f>
        <v/>
      </c>
      <c r="O708" s="17">
        <f>IF(OR($B708="",$D708="",$E708=""),"",IF($E708=$D708,"CHECK TIMES (start = end)",IF($F708&gt;12,"CHECK TIMES (End is before Start?)","OK")))</f>
        <v/>
      </c>
    </row>
    <row r="709">
      <c r="B709" s="18" t="n"/>
      <c r="C709" s="17">
        <f>IF($B709="","",TEXT($B709,"ddd"))</f>
        <v/>
      </c>
      <c r="D709" s="46" t="n"/>
      <c r="E709" s="46"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IF(OR($B709="",$I709=""),"",IF(SUMPRODUCT((nrInstrNames&lt;&gt;"")*ISNUMBER(SEARCH(nrInstrNames,$I709)))&gt;0,"OK","UNRECOGNIZED"))</f>
        <v/>
      </c>
      <c r="O709" s="17">
        <f>IF(OR($B709="",$D709="",$E709=""),"",IF($E709=$D709,"CHECK TIMES (start = end)",IF($F709&gt;12,"CHECK TIMES (End is before Start?)","OK")))</f>
        <v/>
      </c>
    </row>
    <row r="710">
      <c r="B710" s="18" t="n"/>
      <c r="C710" s="17">
        <f>IF($B710="","",TEXT($B710,"ddd"))</f>
        <v/>
      </c>
      <c r="D710" s="46" t="n"/>
      <c r="E710" s="46"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IF(OR($B710="",$I710=""),"",IF(SUMPRODUCT((nrInstrNames&lt;&gt;"")*ISNUMBER(SEARCH(nrInstrNames,$I710)))&gt;0,"OK","UNRECOGNIZED"))</f>
        <v/>
      </c>
      <c r="O710" s="17">
        <f>IF(OR($B710="",$D710="",$E710=""),"",IF($E710=$D710,"CHECK TIMES (start = end)",IF($F710&gt;12,"CHECK TIMES (End is before Start?)","OK")))</f>
        <v/>
      </c>
    </row>
    <row r="711">
      <c r="B711" s="18" t="n"/>
      <c r="C711" s="17">
        <f>IF($B711="","",TEXT($B711,"ddd"))</f>
        <v/>
      </c>
      <c r="D711" s="46" t="n"/>
      <c r="E711" s="46"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IF(OR($B711="",$I711=""),"",IF(SUMPRODUCT((nrInstrNames&lt;&gt;"")*ISNUMBER(SEARCH(nrInstrNames,$I711)))&gt;0,"OK","UNRECOGNIZED"))</f>
        <v/>
      </c>
      <c r="O711" s="17">
        <f>IF(OR($B711="",$D711="",$E711=""),"",IF($E711=$D711,"CHECK TIMES (start = end)",IF($F711&gt;12,"CHECK TIMES (End is before Start?)","OK")))</f>
        <v/>
      </c>
    </row>
    <row r="712">
      <c r="B712" s="18" t="n"/>
      <c r="C712" s="17">
        <f>IF($B712="","",TEXT($B712,"ddd"))</f>
        <v/>
      </c>
      <c r="D712" s="46" t="n"/>
      <c r="E712" s="46"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IF(OR($B712="",$I712=""),"",IF(SUMPRODUCT((nrInstrNames&lt;&gt;"")*ISNUMBER(SEARCH(nrInstrNames,$I712)))&gt;0,"OK","UNRECOGNIZED"))</f>
        <v/>
      </c>
      <c r="O712" s="17">
        <f>IF(OR($B712="",$D712="",$E712=""),"",IF($E712=$D712,"CHECK TIMES (start = end)",IF($F712&gt;12,"CHECK TIMES (End is before Start?)","OK")))</f>
        <v/>
      </c>
    </row>
    <row r="713">
      <c r="B713" s="18" t="n"/>
      <c r="C713" s="17">
        <f>IF($B713="","",TEXT($B713,"ddd"))</f>
        <v/>
      </c>
      <c r="D713" s="46" t="n"/>
      <c r="E713" s="46"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IF(OR($B713="",$I713=""),"",IF(SUMPRODUCT((nrInstrNames&lt;&gt;"")*ISNUMBER(SEARCH(nrInstrNames,$I713)))&gt;0,"OK","UNRECOGNIZED"))</f>
        <v/>
      </c>
      <c r="O713" s="17">
        <f>IF(OR($B713="",$D713="",$E713=""),"",IF($E713=$D713,"CHECK TIMES (start = end)",IF($F713&gt;12,"CHECK TIMES (End is before Start?)","OK")))</f>
        <v/>
      </c>
    </row>
    <row r="714">
      <c r="B714" s="18" t="n"/>
      <c r="C714" s="17">
        <f>IF($B714="","",TEXT($B714,"ddd"))</f>
        <v/>
      </c>
      <c r="D714" s="46" t="n"/>
      <c r="E714" s="46"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IF(OR($B714="",$I714=""),"",IF(SUMPRODUCT((nrInstrNames&lt;&gt;"")*ISNUMBER(SEARCH(nrInstrNames,$I714)))&gt;0,"OK","UNRECOGNIZED"))</f>
        <v/>
      </c>
      <c r="O714" s="17">
        <f>IF(OR($B714="",$D714="",$E714=""),"",IF($E714=$D714,"CHECK TIMES (start = end)",IF($F714&gt;12,"CHECK TIMES (End is before Start?)","OK")))</f>
        <v/>
      </c>
    </row>
    <row r="715">
      <c r="B715" s="18" t="n"/>
      <c r="C715" s="17">
        <f>IF($B715="","",TEXT($B715,"ddd"))</f>
        <v/>
      </c>
      <c r="D715" s="46" t="n"/>
      <c r="E715" s="46"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IF(OR($B715="",$I715=""),"",IF(SUMPRODUCT((nrInstrNames&lt;&gt;"")*ISNUMBER(SEARCH(nrInstrNames,$I715)))&gt;0,"OK","UNRECOGNIZED"))</f>
        <v/>
      </c>
      <c r="O715" s="17">
        <f>IF(OR($B715="",$D715="",$E715=""),"",IF($E715=$D715,"CHECK TIMES (start = end)",IF($F715&gt;12,"CHECK TIMES (End is before Start?)","OK")))</f>
        <v/>
      </c>
    </row>
    <row r="716">
      <c r="B716" s="18" t="n"/>
      <c r="C716" s="17">
        <f>IF($B716="","",TEXT($B716,"ddd"))</f>
        <v/>
      </c>
      <c r="D716" s="46" t="n"/>
      <c r="E716" s="46"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IF(OR($B716="",$I716=""),"",IF(SUMPRODUCT((nrInstrNames&lt;&gt;"")*ISNUMBER(SEARCH(nrInstrNames,$I716)))&gt;0,"OK","UNRECOGNIZED"))</f>
        <v/>
      </c>
      <c r="O716" s="17">
        <f>IF(OR($B716="",$D716="",$E716=""),"",IF($E716=$D716,"CHECK TIMES (start = end)",IF($F716&gt;12,"CHECK TIMES (End is before Start?)","OK")))</f>
        <v/>
      </c>
    </row>
    <row r="717">
      <c r="B717" s="18" t="n"/>
      <c r="C717" s="17">
        <f>IF($B717="","",TEXT($B717,"ddd"))</f>
        <v/>
      </c>
      <c r="D717" s="46" t="n"/>
      <c r="E717" s="46"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IF(OR($B717="",$I717=""),"",IF(SUMPRODUCT((nrInstrNames&lt;&gt;"")*ISNUMBER(SEARCH(nrInstrNames,$I717)))&gt;0,"OK","UNRECOGNIZED"))</f>
        <v/>
      </c>
      <c r="O717" s="17">
        <f>IF(OR($B717="",$D717="",$E717=""),"",IF($E717=$D717,"CHECK TIMES (start = end)",IF($F717&gt;12,"CHECK TIMES (End is before Start?)","OK")))</f>
        <v/>
      </c>
    </row>
    <row r="718">
      <c r="B718" s="18" t="n"/>
      <c r="C718" s="17">
        <f>IF($B718="","",TEXT($B718,"ddd"))</f>
        <v/>
      </c>
      <c r="D718" s="46" t="n"/>
      <c r="E718" s="46"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IF(OR($B718="",$I718=""),"",IF(SUMPRODUCT((nrInstrNames&lt;&gt;"")*ISNUMBER(SEARCH(nrInstrNames,$I718)))&gt;0,"OK","UNRECOGNIZED"))</f>
        <v/>
      </c>
      <c r="O718" s="17">
        <f>IF(OR($B718="",$D718="",$E718=""),"",IF($E718=$D718,"CHECK TIMES (start = end)",IF($F718&gt;12,"CHECK TIMES (End is before Start?)","OK")))</f>
        <v/>
      </c>
    </row>
    <row r="719">
      <c r="B719" s="18" t="n"/>
      <c r="C719" s="17">
        <f>IF($B719="","",TEXT($B719,"ddd"))</f>
        <v/>
      </c>
      <c r="D719" s="46" t="n"/>
      <c r="E719" s="46"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IF(OR($B719="",$I719=""),"",IF(SUMPRODUCT((nrInstrNames&lt;&gt;"")*ISNUMBER(SEARCH(nrInstrNames,$I719)))&gt;0,"OK","UNRECOGNIZED"))</f>
        <v/>
      </c>
      <c r="O719" s="17">
        <f>IF(OR($B719="",$D719="",$E719=""),"",IF($E719=$D719,"CHECK TIMES (start = end)",IF($F719&gt;12,"CHECK TIMES (End is before Start?)","OK")))</f>
        <v/>
      </c>
    </row>
    <row r="720">
      <c r="B720" s="18" t="n"/>
      <c r="C720" s="17">
        <f>IF($B720="","",TEXT($B720,"ddd"))</f>
        <v/>
      </c>
      <c r="D720" s="46" t="n"/>
      <c r="E720" s="46"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IF(OR($B720="",$I720=""),"",IF(SUMPRODUCT((nrInstrNames&lt;&gt;"")*ISNUMBER(SEARCH(nrInstrNames,$I720)))&gt;0,"OK","UNRECOGNIZED"))</f>
        <v/>
      </c>
      <c r="O720" s="17">
        <f>IF(OR($B720="",$D720="",$E720=""),"",IF($E720=$D720,"CHECK TIMES (start = end)",IF($F720&gt;12,"CHECK TIMES (End is before Start?)","OK")))</f>
        <v/>
      </c>
    </row>
    <row r="721">
      <c r="B721" s="18" t="n"/>
      <c r="C721" s="17">
        <f>IF($B721="","",TEXT($B721,"ddd"))</f>
        <v/>
      </c>
      <c r="D721" s="46" t="n"/>
      <c r="E721" s="46"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IF(OR($B721="",$I721=""),"",IF(SUMPRODUCT((nrInstrNames&lt;&gt;"")*ISNUMBER(SEARCH(nrInstrNames,$I721)))&gt;0,"OK","UNRECOGNIZED"))</f>
        <v/>
      </c>
      <c r="O721" s="17">
        <f>IF(OR($B721="",$D721="",$E721=""),"",IF($E721=$D721,"CHECK TIMES (start = end)",IF($F721&gt;12,"CHECK TIMES (End is before Start?)","OK")))</f>
        <v/>
      </c>
    </row>
    <row r="722">
      <c r="B722" s="18" t="n"/>
      <c r="C722" s="17">
        <f>IF($B722="","",TEXT($B722,"ddd"))</f>
        <v/>
      </c>
      <c r="D722" s="46" t="n"/>
      <c r="E722" s="46"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IF(OR($B722="",$I722=""),"",IF(SUMPRODUCT((nrInstrNames&lt;&gt;"")*ISNUMBER(SEARCH(nrInstrNames,$I722)))&gt;0,"OK","UNRECOGNIZED"))</f>
        <v/>
      </c>
      <c r="O722" s="17">
        <f>IF(OR($B722="",$D722="",$E722=""),"",IF($E722=$D722,"CHECK TIMES (start = end)",IF($F722&gt;12,"CHECK TIMES (End is before Start?)","OK")))</f>
        <v/>
      </c>
    </row>
    <row r="723">
      <c r="B723" s="18" t="n"/>
      <c r="C723" s="17">
        <f>IF($B723="","",TEXT($B723,"ddd"))</f>
        <v/>
      </c>
      <c r="D723" s="46" t="n"/>
      <c r="E723" s="46"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IF(OR($B723="",$I723=""),"",IF(SUMPRODUCT((nrInstrNames&lt;&gt;"")*ISNUMBER(SEARCH(nrInstrNames,$I723)))&gt;0,"OK","UNRECOGNIZED"))</f>
        <v/>
      </c>
      <c r="O723" s="17">
        <f>IF(OR($B723="",$D723="",$E723=""),"",IF($E723=$D723,"CHECK TIMES (start = end)",IF($F723&gt;12,"CHECK TIMES (End is before Start?)","OK")))</f>
        <v/>
      </c>
    </row>
    <row r="724">
      <c r="B724" s="18" t="n"/>
      <c r="C724" s="17">
        <f>IF($B724="","",TEXT($B724,"ddd"))</f>
        <v/>
      </c>
      <c r="D724" s="46" t="n"/>
      <c r="E724" s="46"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IF(OR($B724="",$I724=""),"",IF(SUMPRODUCT((nrInstrNames&lt;&gt;"")*ISNUMBER(SEARCH(nrInstrNames,$I724)))&gt;0,"OK","UNRECOGNIZED"))</f>
        <v/>
      </c>
      <c r="O724" s="17">
        <f>IF(OR($B724="",$D724="",$E724=""),"",IF($E724=$D724,"CHECK TIMES (start = end)",IF($F724&gt;12,"CHECK TIMES (End is before Start?)","OK")))</f>
        <v/>
      </c>
    </row>
    <row r="725">
      <c r="B725" s="18" t="n"/>
      <c r="C725" s="17">
        <f>IF($B725="","",TEXT($B725,"ddd"))</f>
        <v/>
      </c>
      <c r="D725" s="46" t="n"/>
      <c r="E725" s="46"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IF(OR($B725="",$I725=""),"",IF(SUMPRODUCT((nrInstrNames&lt;&gt;"")*ISNUMBER(SEARCH(nrInstrNames,$I725)))&gt;0,"OK","UNRECOGNIZED"))</f>
        <v/>
      </c>
      <c r="O725" s="17">
        <f>IF(OR($B725="",$D725="",$E725=""),"",IF($E725=$D725,"CHECK TIMES (start = end)",IF($F725&gt;12,"CHECK TIMES (End is before Start?)","OK")))</f>
        <v/>
      </c>
    </row>
    <row r="726">
      <c r="B726" s="18" t="n"/>
      <c r="C726" s="17">
        <f>IF($B726="","",TEXT($B726,"ddd"))</f>
        <v/>
      </c>
      <c r="D726" s="46" t="n"/>
      <c r="E726" s="46"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IF(OR($B726="",$I726=""),"",IF(SUMPRODUCT((nrInstrNames&lt;&gt;"")*ISNUMBER(SEARCH(nrInstrNames,$I726)))&gt;0,"OK","UNRECOGNIZED"))</f>
        <v/>
      </c>
      <c r="O726" s="17">
        <f>IF(OR($B726="",$D726="",$E726=""),"",IF($E726=$D726,"CHECK TIMES (start = end)",IF($F726&gt;12,"CHECK TIMES (End is before Start?)","OK")))</f>
        <v/>
      </c>
    </row>
    <row r="727">
      <c r="B727" s="18" t="n"/>
      <c r="C727" s="17">
        <f>IF($B727="","",TEXT($B727,"ddd"))</f>
        <v/>
      </c>
      <c r="D727" s="46" t="n"/>
      <c r="E727" s="46"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IF(OR($B727="",$I727=""),"",IF(SUMPRODUCT((nrInstrNames&lt;&gt;"")*ISNUMBER(SEARCH(nrInstrNames,$I727)))&gt;0,"OK","UNRECOGNIZED"))</f>
        <v/>
      </c>
      <c r="O727" s="17">
        <f>IF(OR($B727="",$D727="",$E727=""),"",IF($E727=$D727,"CHECK TIMES (start = end)",IF($F727&gt;12,"CHECK TIMES (End is before Start?)","OK")))</f>
        <v/>
      </c>
    </row>
    <row r="728">
      <c r="B728" s="18" t="n"/>
      <c r="C728" s="17">
        <f>IF($B728="","",TEXT($B728,"ddd"))</f>
        <v/>
      </c>
      <c r="D728" s="46" t="n"/>
      <c r="E728" s="46"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IF(OR($B728="",$I728=""),"",IF(SUMPRODUCT((nrInstrNames&lt;&gt;"")*ISNUMBER(SEARCH(nrInstrNames,$I728)))&gt;0,"OK","UNRECOGNIZED"))</f>
        <v/>
      </c>
      <c r="O728" s="17">
        <f>IF(OR($B728="",$D728="",$E728=""),"",IF($E728=$D728,"CHECK TIMES (start = end)",IF($F728&gt;12,"CHECK TIMES (End is before Start?)","OK")))</f>
        <v/>
      </c>
    </row>
    <row r="729">
      <c r="B729" s="18" t="n"/>
      <c r="C729" s="17">
        <f>IF($B729="","",TEXT($B729,"ddd"))</f>
        <v/>
      </c>
      <c r="D729" s="46" t="n"/>
      <c r="E729" s="46"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IF(OR($B729="",$I729=""),"",IF(SUMPRODUCT((nrInstrNames&lt;&gt;"")*ISNUMBER(SEARCH(nrInstrNames,$I729)))&gt;0,"OK","UNRECOGNIZED"))</f>
        <v/>
      </c>
      <c r="O729" s="17">
        <f>IF(OR($B729="",$D729="",$E729=""),"",IF($E729=$D729,"CHECK TIMES (start = end)",IF($F729&gt;12,"CHECK TIMES (End is before Start?)","OK")))</f>
        <v/>
      </c>
    </row>
    <row r="730">
      <c r="B730" s="18" t="n"/>
      <c r="C730" s="17">
        <f>IF($B730="","",TEXT($B730,"ddd"))</f>
        <v/>
      </c>
      <c r="D730" s="46" t="n"/>
      <c r="E730" s="46"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IF(OR($B730="",$I730=""),"",IF(SUMPRODUCT((nrInstrNames&lt;&gt;"")*ISNUMBER(SEARCH(nrInstrNames,$I730)))&gt;0,"OK","UNRECOGNIZED"))</f>
        <v/>
      </c>
      <c r="O730" s="17">
        <f>IF(OR($B730="",$D730="",$E730=""),"",IF($E730=$D730,"CHECK TIMES (start = end)",IF($F730&gt;12,"CHECK TIMES (End is before Start?)","OK")))</f>
        <v/>
      </c>
    </row>
    <row r="731">
      <c r="B731" s="18" t="n"/>
      <c r="C731" s="17">
        <f>IF($B731="","",TEXT($B731,"ddd"))</f>
        <v/>
      </c>
      <c r="D731" s="46" t="n"/>
      <c r="E731" s="46"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IF(OR($B731="",$I731=""),"",IF(SUMPRODUCT((nrInstrNames&lt;&gt;"")*ISNUMBER(SEARCH(nrInstrNames,$I731)))&gt;0,"OK","UNRECOGNIZED"))</f>
        <v/>
      </c>
      <c r="O731" s="17">
        <f>IF(OR($B731="",$D731="",$E731=""),"",IF($E731=$D731,"CHECK TIMES (start = end)",IF($F731&gt;12,"CHECK TIMES (End is before Start?)","OK")))</f>
        <v/>
      </c>
    </row>
    <row r="732">
      <c r="B732" s="18" t="n"/>
      <c r="C732" s="17">
        <f>IF($B732="","",TEXT($B732,"ddd"))</f>
        <v/>
      </c>
      <c r="D732" s="46" t="n"/>
      <c r="E732" s="46"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IF(OR($B732="",$I732=""),"",IF(SUMPRODUCT((nrInstrNames&lt;&gt;"")*ISNUMBER(SEARCH(nrInstrNames,$I732)))&gt;0,"OK","UNRECOGNIZED"))</f>
        <v/>
      </c>
      <c r="O732" s="17">
        <f>IF(OR($B732="",$D732="",$E732=""),"",IF($E732=$D732,"CHECK TIMES (start = end)",IF($F732&gt;12,"CHECK TIMES (End is before Start?)","OK")))</f>
        <v/>
      </c>
    </row>
    <row r="733">
      <c r="B733" s="18" t="n"/>
      <c r="C733" s="17">
        <f>IF($B733="","",TEXT($B733,"ddd"))</f>
        <v/>
      </c>
      <c r="D733" s="46" t="n"/>
      <c r="E733" s="46"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IF(OR($B733="",$I733=""),"",IF(SUMPRODUCT((nrInstrNames&lt;&gt;"")*ISNUMBER(SEARCH(nrInstrNames,$I733)))&gt;0,"OK","UNRECOGNIZED"))</f>
        <v/>
      </c>
      <c r="O733" s="17">
        <f>IF(OR($B733="",$D733="",$E733=""),"",IF($E733=$D733,"CHECK TIMES (start = end)",IF($F733&gt;12,"CHECK TIMES (End is before Start?)","OK")))</f>
        <v/>
      </c>
    </row>
    <row r="734">
      <c r="B734" s="18" t="n"/>
      <c r="C734" s="17">
        <f>IF($B734="","",TEXT($B734,"ddd"))</f>
        <v/>
      </c>
      <c r="D734" s="46" t="n"/>
      <c r="E734" s="46"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IF(OR($B734="",$I734=""),"",IF(SUMPRODUCT((nrInstrNames&lt;&gt;"")*ISNUMBER(SEARCH(nrInstrNames,$I734)))&gt;0,"OK","UNRECOGNIZED"))</f>
        <v/>
      </c>
      <c r="O734" s="17">
        <f>IF(OR($B734="",$D734="",$E734=""),"",IF($E734=$D734,"CHECK TIMES (start = end)",IF($F734&gt;12,"CHECK TIMES (End is before Start?)","OK")))</f>
        <v/>
      </c>
    </row>
    <row r="735">
      <c r="B735" s="18" t="n"/>
      <c r="C735" s="17">
        <f>IF($B735="","",TEXT($B735,"ddd"))</f>
        <v/>
      </c>
      <c r="D735" s="46" t="n"/>
      <c r="E735" s="46"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IF(OR($B735="",$I735=""),"",IF(SUMPRODUCT((nrInstrNames&lt;&gt;"")*ISNUMBER(SEARCH(nrInstrNames,$I735)))&gt;0,"OK","UNRECOGNIZED"))</f>
        <v/>
      </c>
      <c r="O735" s="17">
        <f>IF(OR($B735="",$D735="",$E735=""),"",IF($E735=$D735,"CHECK TIMES (start = end)",IF($F735&gt;12,"CHECK TIMES (End is before Start?)","OK")))</f>
        <v/>
      </c>
    </row>
    <row r="736">
      <c r="B736" s="18" t="n"/>
      <c r="C736" s="17">
        <f>IF($B736="","",TEXT($B736,"ddd"))</f>
        <v/>
      </c>
      <c r="D736" s="46" t="n"/>
      <c r="E736" s="46"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IF(OR($B736="",$I736=""),"",IF(SUMPRODUCT((nrInstrNames&lt;&gt;"")*ISNUMBER(SEARCH(nrInstrNames,$I736)))&gt;0,"OK","UNRECOGNIZED"))</f>
        <v/>
      </c>
      <c r="O736" s="17">
        <f>IF(OR($B736="",$D736="",$E736=""),"",IF($E736=$D736,"CHECK TIMES (start = end)",IF($F736&gt;12,"CHECK TIMES (End is before Start?)","OK")))</f>
        <v/>
      </c>
    </row>
    <row r="737">
      <c r="B737" s="18" t="n"/>
      <c r="C737" s="17">
        <f>IF($B737="","",TEXT($B737,"ddd"))</f>
        <v/>
      </c>
      <c r="D737" s="46" t="n"/>
      <c r="E737" s="46"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IF(OR($B737="",$I737=""),"",IF(SUMPRODUCT((nrInstrNames&lt;&gt;"")*ISNUMBER(SEARCH(nrInstrNames,$I737)))&gt;0,"OK","UNRECOGNIZED"))</f>
        <v/>
      </c>
      <c r="O737" s="17">
        <f>IF(OR($B737="",$D737="",$E737=""),"",IF($E737=$D737,"CHECK TIMES (start = end)",IF($F737&gt;12,"CHECK TIMES (End is before Start?)","OK")))</f>
        <v/>
      </c>
    </row>
    <row r="738">
      <c r="B738" s="18" t="n"/>
      <c r="C738" s="17">
        <f>IF($B738="","",TEXT($B738,"ddd"))</f>
        <v/>
      </c>
      <c r="D738" s="46" t="n"/>
      <c r="E738" s="46"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IF(OR($B738="",$I738=""),"",IF(SUMPRODUCT((nrInstrNames&lt;&gt;"")*ISNUMBER(SEARCH(nrInstrNames,$I738)))&gt;0,"OK","UNRECOGNIZED"))</f>
        <v/>
      </c>
      <c r="O738" s="17">
        <f>IF(OR($B738="",$D738="",$E738=""),"",IF($E738=$D738,"CHECK TIMES (start = end)",IF($F738&gt;12,"CHECK TIMES (End is before Start?)","OK")))</f>
        <v/>
      </c>
    </row>
    <row r="739">
      <c r="B739" s="18" t="n"/>
      <c r="C739" s="17">
        <f>IF($B739="","",TEXT($B739,"ddd"))</f>
        <v/>
      </c>
      <c r="D739" s="46" t="n"/>
      <c r="E739" s="46"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IF(OR($B739="",$I739=""),"",IF(SUMPRODUCT((nrInstrNames&lt;&gt;"")*ISNUMBER(SEARCH(nrInstrNames,$I739)))&gt;0,"OK","UNRECOGNIZED"))</f>
        <v/>
      </c>
      <c r="O739" s="17">
        <f>IF(OR($B739="",$D739="",$E739=""),"",IF($E739=$D739,"CHECK TIMES (start = end)",IF($F739&gt;12,"CHECK TIMES (End is before Start?)","OK")))</f>
        <v/>
      </c>
    </row>
    <row r="740">
      <c r="B740" s="18" t="n"/>
      <c r="C740" s="17">
        <f>IF($B740="","",TEXT($B740,"ddd"))</f>
        <v/>
      </c>
      <c r="D740" s="46" t="n"/>
      <c r="E740" s="46"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IF(OR($B740="",$I740=""),"",IF(SUMPRODUCT((nrInstrNames&lt;&gt;"")*ISNUMBER(SEARCH(nrInstrNames,$I740)))&gt;0,"OK","UNRECOGNIZED"))</f>
        <v/>
      </c>
      <c r="O740" s="17">
        <f>IF(OR($B740="",$D740="",$E740=""),"",IF($E740=$D740,"CHECK TIMES (start = end)",IF($F740&gt;12,"CHECK TIMES (End is before Start?)","OK")))</f>
        <v/>
      </c>
    </row>
    <row r="741">
      <c r="B741" s="18" t="n"/>
      <c r="C741" s="17">
        <f>IF($B741="","",TEXT($B741,"ddd"))</f>
        <v/>
      </c>
      <c r="D741" s="46" t="n"/>
      <c r="E741" s="46"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IF(OR($B741="",$I741=""),"",IF(SUMPRODUCT((nrInstrNames&lt;&gt;"")*ISNUMBER(SEARCH(nrInstrNames,$I741)))&gt;0,"OK","UNRECOGNIZED"))</f>
        <v/>
      </c>
      <c r="O741" s="17">
        <f>IF(OR($B741="",$D741="",$E741=""),"",IF($E741=$D741,"CHECK TIMES (start = end)",IF($F741&gt;12,"CHECK TIMES (End is before Start?)","OK")))</f>
        <v/>
      </c>
    </row>
    <row r="742">
      <c r="B742" s="18" t="n"/>
      <c r="C742" s="17">
        <f>IF($B742="","",TEXT($B742,"ddd"))</f>
        <v/>
      </c>
      <c r="D742" s="46" t="n"/>
      <c r="E742" s="46"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IF(OR($B742="",$I742=""),"",IF(SUMPRODUCT((nrInstrNames&lt;&gt;"")*ISNUMBER(SEARCH(nrInstrNames,$I742)))&gt;0,"OK","UNRECOGNIZED"))</f>
        <v/>
      </c>
      <c r="O742" s="17">
        <f>IF(OR($B742="",$D742="",$E742=""),"",IF($E742=$D742,"CHECK TIMES (start = end)",IF($F742&gt;12,"CHECK TIMES (End is before Start?)","OK")))</f>
        <v/>
      </c>
    </row>
    <row r="743">
      <c r="B743" s="18" t="n"/>
      <c r="C743" s="17">
        <f>IF($B743="","",TEXT($B743,"ddd"))</f>
        <v/>
      </c>
      <c r="D743" s="46" t="n"/>
      <c r="E743" s="46"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IF(OR($B743="",$I743=""),"",IF(SUMPRODUCT((nrInstrNames&lt;&gt;"")*ISNUMBER(SEARCH(nrInstrNames,$I743)))&gt;0,"OK","UNRECOGNIZED"))</f>
        <v/>
      </c>
      <c r="O743" s="17">
        <f>IF(OR($B743="",$D743="",$E743=""),"",IF($E743=$D743,"CHECK TIMES (start = end)",IF($F743&gt;12,"CHECK TIMES (End is before Start?)","OK")))</f>
        <v/>
      </c>
    </row>
    <row r="744">
      <c r="B744" s="18" t="n"/>
      <c r="C744" s="17">
        <f>IF($B744="","",TEXT($B744,"ddd"))</f>
        <v/>
      </c>
      <c r="D744" s="46" t="n"/>
      <c r="E744" s="46"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IF(OR($B744="",$I744=""),"",IF(SUMPRODUCT((nrInstrNames&lt;&gt;"")*ISNUMBER(SEARCH(nrInstrNames,$I744)))&gt;0,"OK","UNRECOGNIZED"))</f>
        <v/>
      </c>
      <c r="O744" s="17">
        <f>IF(OR($B744="",$D744="",$E744=""),"",IF($E744=$D744,"CHECK TIMES (start = end)",IF($F744&gt;12,"CHECK TIMES (End is before Start?)","OK")))</f>
        <v/>
      </c>
    </row>
    <row r="745">
      <c r="B745" s="18" t="n"/>
      <c r="C745" s="17">
        <f>IF($B745="","",TEXT($B745,"ddd"))</f>
        <v/>
      </c>
      <c r="D745" s="46" t="n"/>
      <c r="E745" s="46"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IF(OR($B745="",$I745=""),"",IF(SUMPRODUCT((nrInstrNames&lt;&gt;"")*ISNUMBER(SEARCH(nrInstrNames,$I745)))&gt;0,"OK","UNRECOGNIZED"))</f>
        <v/>
      </c>
      <c r="O745" s="17">
        <f>IF(OR($B745="",$D745="",$E745=""),"",IF($E745=$D745,"CHECK TIMES (start = end)",IF($F745&gt;12,"CHECK TIMES (End is before Start?)","OK")))</f>
        <v/>
      </c>
    </row>
    <row r="746">
      <c r="B746" s="18" t="n"/>
      <c r="C746" s="17">
        <f>IF($B746="","",TEXT($B746,"ddd"))</f>
        <v/>
      </c>
      <c r="D746" s="46" t="n"/>
      <c r="E746" s="46"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IF(OR($B746="",$I746=""),"",IF(SUMPRODUCT((nrInstrNames&lt;&gt;"")*ISNUMBER(SEARCH(nrInstrNames,$I746)))&gt;0,"OK","UNRECOGNIZED"))</f>
        <v/>
      </c>
      <c r="O746" s="17">
        <f>IF(OR($B746="",$D746="",$E746=""),"",IF($E746=$D746,"CHECK TIMES (start = end)",IF($F746&gt;12,"CHECK TIMES (End is before Start?)","OK")))</f>
        <v/>
      </c>
    </row>
    <row r="747">
      <c r="B747" s="18" t="n"/>
      <c r="C747" s="17">
        <f>IF($B747="","",TEXT($B747,"ddd"))</f>
        <v/>
      </c>
      <c r="D747" s="46" t="n"/>
      <c r="E747" s="46"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IF(OR($B747="",$I747=""),"",IF(SUMPRODUCT((nrInstrNames&lt;&gt;"")*ISNUMBER(SEARCH(nrInstrNames,$I747)))&gt;0,"OK","UNRECOGNIZED"))</f>
        <v/>
      </c>
      <c r="O747" s="17">
        <f>IF(OR($B747="",$D747="",$E747=""),"",IF($E747=$D747,"CHECK TIMES (start = end)",IF($F747&gt;12,"CHECK TIMES (End is before Start?)","OK")))</f>
        <v/>
      </c>
    </row>
    <row r="748">
      <c r="B748" s="18" t="n"/>
      <c r="C748" s="17">
        <f>IF($B748="","",TEXT($B748,"ddd"))</f>
        <v/>
      </c>
      <c r="D748" s="46" t="n"/>
      <c r="E748" s="46"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IF(OR($B748="",$I748=""),"",IF(SUMPRODUCT((nrInstrNames&lt;&gt;"")*ISNUMBER(SEARCH(nrInstrNames,$I748)))&gt;0,"OK","UNRECOGNIZED"))</f>
        <v/>
      </c>
      <c r="O748" s="17">
        <f>IF(OR($B748="",$D748="",$E748=""),"",IF($E748=$D748,"CHECK TIMES (start = end)",IF($F748&gt;12,"CHECK TIMES (End is before Start?)","OK")))</f>
        <v/>
      </c>
    </row>
    <row r="749">
      <c r="B749" s="18" t="n"/>
      <c r="C749" s="17">
        <f>IF($B749="","",TEXT($B749,"ddd"))</f>
        <v/>
      </c>
      <c r="D749" s="46" t="n"/>
      <c r="E749" s="46"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IF(OR($B749="",$I749=""),"",IF(SUMPRODUCT((nrInstrNames&lt;&gt;"")*ISNUMBER(SEARCH(nrInstrNames,$I749)))&gt;0,"OK","UNRECOGNIZED"))</f>
        <v/>
      </c>
      <c r="O749" s="17">
        <f>IF(OR($B749="",$D749="",$E749=""),"",IF($E749=$D749,"CHECK TIMES (start = end)",IF($F749&gt;12,"CHECK TIMES (End is before Start?)","OK")))</f>
        <v/>
      </c>
    </row>
    <row r="750">
      <c r="B750" s="18" t="n"/>
      <c r="C750" s="17">
        <f>IF($B750="","",TEXT($B750,"ddd"))</f>
        <v/>
      </c>
      <c r="D750" s="46" t="n"/>
      <c r="E750" s="46"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IF(OR($B750="",$I750=""),"",IF(SUMPRODUCT((nrInstrNames&lt;&gt;"")*ISNUMBER(SEARCH(nrInstrNames,$I750)))&gt;0,"OK","UNRECOGNIZED"))</f>
        <v/>
      </c>
      <c r="O750" s="17">
        <f>IF(OR($B750="",$D750="",$E750=""),"",IF($E750=$D750,"CHECK TIMES (start = end)",IF($F750&gt;12,"CHECK TIMES (End is before Start?)","OK")))</f>
        <v/>
      </c>
    </row>
    <row r="751">
      <c r="B751" s="18" t="n"/>
      <c r="C751" s="17">
        <f>IF($B751="","",TEXT($B751,"ddd"))</f>
        <v/>
      </c>
      <c r="D751" s="46" t="n"/>
      <c r="E751" s="46"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IF(OR($B751="",$I751=""),"",IF(SUMPRODUCT((nrInstrNames&lt;&gt;"")*ISNUMBER(SEARCH(nrInstrNames,$I751)))&gt;0,"OK","UNRECOGNIZED"))</f>
        <v/>
      </c>
      <c r="O751" s="17">
        <f>IF(OR($B751="",$D751="",$E751=""),"",IF($E751=$D751,"CHECK TIMES (start = end)",IF($F751&gt;12,"CHECK TIMES (End is before Start?)","OK")))</f>
        <v/>
      </c>
    </row>
    <row r="752">
      <c r="B752" s="18" t="n"/>
      <c r="C752" s="17">
        <f>IF($B752="","",TEXT($B752,"ddd"))</f>
        <v/>
      </c>
      <c r="D752" s="46" t="n"/>
      <c r="E752" s="46"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IF(OR($B752="",$I752=""),"",IF(SUMPRODUCT((nrInstrNames&lt;&gt;"")*ISNUMBER(SEARCH(nrInstrNames,$I752)))&gt;0,"OK","UNRECOGNIZED"))</f>
        <v/>
      </c>
      <c r="O752" s="17">
        <f>IF(OR($B752="",$D752="",$E752=""),"",IF($E752=$D752,"CHECK TIMES (start = end)",IF($F752&gt;12,"CHECK TIMES (End is before Start?)","OK")))</f>
        <v/>
      </c>
    </row>
    <row r="753">
      <c r="B753" s="18" t="n"/>
      <c r="C753" s="17">
        <f>IF($B753="","",TEXT($B753,"ddd"))</f>
        <v/>
      </c>
      <c r="D753" s="46" t="n"/>
      <c r="E753" s="46"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IF(OR($B753="",$I753=""),"",IF(SUMPRODUCT((nrInstrNames&lt;&gt;"")*ISNUMBER(SEARCH(nrInstrNames,$I753)))&gt;0,"OK","UNRECOGNIZED"))</f>
        <v/>
      </c>
      <c r="O753" s="17">
        <f>IF(OR($B753="",$D753="",$E753=""),"",IF($E753=$D753,"CHECK TIMES (start = end)",IF($F753&gt;12,"CHECK TIMES (End is before Start?)","OK")))</f>
        <v/>
      </c>
    </row>
    <row r="754">
      <c r="B754" s="18" t="n"/>
      <c r="C754" s="17">
        <f>IF($B754="","",TEXT($B754,"ddd"))</f>
        <v/>
      </c>
      <c r="D754" s="46" t="n"/>
      <c r="E754" s="46"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IF(OR($B754="",$I754=""),"",IF(SUMPRODUCT((nrInstrNames&lt;&gt;"")*ISNUMBER(SEARCH(nrInstrNames,$I754)))&gt;0,"OK","UNRECOGNIZED"))</f>
        <v/>
      </c>
      <c r="O754" s="17">
        <f>IF(OR($B754="",$D754="",$E754=""),"",IF($E754=$D754,"CHECK TIMES (start = end)",IF($F754&gt;12,"CHECK TIMES (End is before Start?)","OK")))</f>
        <v/>
      </c>
    </row>
    <row r="755">
      <c r="B755" s="18" t="n"/>
      <c r="C755" s="17">
        <f>IF($B755="","",TEXT($B755,"ddd"))</f>
        <v/>
      </c>
      <c r="D755" s="46" t="n"/>
      <c r="E755" s="46"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IF(OR($B755="",$I755=""),"",IF(SUMPRODUCT((nrInstrNames&lt;&gt;"")*ISNUMBER(SEARCH(nrInstrNames,$I755)))&gt;0,"OK","UNRECOGNIZED"))</f>
        <v/>
      </c>
      <c r="O755" s="17">
        <f>IF(OR($B755="",$D755="",$E755=""),"",IF($E755=$D755,"CHECK TIMES (start = end)",IF($F755&gt;12,"CHECK TIMES (End is before Start?)","OK")))</f>
        <v/>
      </c>
    </row>
    <row r="756">
      <c r="B756" s="18" t="n"/>
      <c r="C756" s="17">
        <f>IF($B756="","",TEXT($B756,"ddd"))</f>
        <v/>
      </c>
      <c r="D756" s="46" t="n"/>
      <c r="E756" s="46"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IF(OR($B756="",$I756=""),"",IF(SUMPRODUCT((nrInstrNames&lt;&gt;"")*ISNUMBER(SEARCH(nrInstrNames,$I756)))&gt;0,"OK","UNRECOGNIZED"))</f>
        <v/>
      </c>
      <c r="O756" s="17">
        <f>IF(OR($B756="",$D756="",$E756=""),"",IF($E756=$D756,"CHECK TIMES (start = end)",IF($F756&gt;12,"CHECK TIMES (End is before Start?)","OK")))</f>
        <v/>
      </c>
    </row>
    <row r="757">
      <c r="B757" s="18" t="n"/>
      <c r="C757" s="17">
        <f>IF($B757="","",TEXT($B757,"ddd"))</f>
        <v/>
      </c>
      <c r="D757" s="46" t="n"/>
      <c r="E757" s="46"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IF(OR($B757="",$I757=""),"",IF(SUMPRODUCT((nrInstrNames&lt;&gt;"")*ISNUMBER(SEARCH(nrInstrNames,$I757)))&gt;0,"OK","UNRECOGNIZED"))</f>
        <v/>
      </c>
      <c r="O757" s="17">
        <f>IF(OR($B757="",$D757="",$E757=""),"",IF($E757=$D757,"CHECK TIMES (start = end)",IF($F757&gt;12,"CHECK TIMES (End is before Start?)","OK")))</f>
        <v/>
      </c>
    </row>
    <row r="758">
      <c r="B758" s="18" t="n"/>
      <c r="C758" s="17">
        <f>IF($B758="","",TEXT($B758,"ddd"))</f>
        <v/>
      </c>
      <c r="D758" s="46" t="n"/>
      <c r="E758" s="46"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IF(OR($B758="",$I758=""),"",IF(SUMPRODUCT((nrInstrNames&lt;&gt;"")*ISNUMBER(SEARCH(nrInstrNames,$I758)))&gt;0,"OK","UNRECOGNIZED"))</f>
        <v/>
      </c>
      <c r="O758" s="17">
        <f>IF(OR($B758="",$D758="",$E758=""),"",IF($E758=$D758,"CHECK TIMES (start = end)",IF($F758&gt;12,"CHECK TIMES (End is before Start?)","OK")))</f>
        <v/>
      </c>
    </row>
    <row r="759">
      <c r="B759" s="18" t="n"/>
      <c r="C759" s="17">
        <f>IF($B759="","",TEXT($B759,"ddd"))</f>
        <v/>
      </c>
      <c r="D759" s="46" t="n"/>
      <c r="E759" s="46"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IF(OR($B759="",$I759=""),"",IF(SUMPRODUCT((nrInstrNames&lt;&gt;"")*ISNUMBER(SEARCH(nrInstrNames,$I759)))&gt;0,"OK","UNRECOGNIZED"))</f>
        <v/>
      </c>
      <c r="O759" s="17">
        <f>IF(OR($B759="",$D759="",$E759=""),"",IF($E759=$D759,"CHECK TIMES (start = end)",IF($F759&gt;12,"CHECK TIMES (End is before Start?)","OK")))</f>
        <v/>
      </c>
    </row>
    <row r="760">
      <c r="B760" s="18" t="n"/>
      <c r="C760" s="17">
        <f>IF($B760="","",TEXT($B760,"ddd"))</f>
        <v/>
      </c>
      <c r="D760" s="46" t="n"/>
      <c r="E760" s="46"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IF(OR($B760="",$I760=""),"",IF(SUMPRODUCT((nrInstrNames&lt;&gt;"")*ISNUMBER(SEARCH(nrInstrNames,$I760)))&gt;0,"OK","UNRECOGNIZED"))</f>
        <v/>
      </c>
      <c r="O760" s="17">
        <f>IF(OR($B760="",$D760="",$E760=""),"",IF($E760=$D760,"CHECK TIMES (start = end)",IF($F760&gt;12,"CHECK TIMES (End is before Start?)","OK")))</f>
        <v/>
      </c>
    </row>
    <row r="761">
      <c r="B761" s="18" t="n"/>
      <c r="C761" s="17">
        <f>IF($B761="","",TEXT($B761,"ddd"))</f>
        <v/>
      </c>
      <c r="D761" s="46" t="n"/>
      <c r="E761" s="46"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IF(OR($B761="",$I761=""),"",IF(SUMPRODUCT((nrInstrNames&lt;&gt;"")*ISNUMBER(SEARCH(nrInstrNames,$I761)))&gt;0,"OK","UNRECOGNIZED"))</f>
        <v/>
      </c>
      <c r="O761" s="17">
        <f>IF(OR($B761="",$D761="",$E761=""),"",IF($E761=$D761,"CHECK TIMES (start = end)",IF($F761&gt;12,"CHECK TIMES (End is before Start?)","OK")))</f>
        <v/>
      </c>
    </row>
    <row r="762">
      <c r="B762" s="18" t="n"/>
      <c r="C762" s="17">
        <f>IF($B762="","",TEXT($B762,"ddd"))</f>
        <v/>
      </c>
      <c r="D762" s="46" t="n"/>
      <c r="E762" s="46"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IF(OR($B762="",$I762=""),"",IF(SUMPRODUCT((nrInstrNames&lt;&gt;"")*ISNUMBER(SEARCH(nrInstrNames,$I762)))&gt;0,"OK","UNRECOGNIZED"))</f>
        <v/>
      </c>
      <c r="O762" s="17">
        <f>IF(OR($B762="",$D762="",$E762=""),"",IF($E762=$D762,"CHECK TIMES (start = end)",IF($F762&gt;12,"CHECK TIMES (End is before Start?)","OK")))</f>
        <v/>
      </c>
    </row>
    <row r="763">
      <c r="B763" s="18" t="n"/>
      <c r="C763" s="17">
        <f>IF($B763="","",TEXT($B763,"ddd"))</f>
        <v/>
      </c>
      <c r="D763" s="46" t="n"/>
      <c r="E763" s="46"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IF(OR($B763="",$I763=""),"",IF(SUMPRODUCT((nrInstrNames&lt;&gt;"")*ISNUMBER(SEARCH(nrInstrNames,$I763)))&gt;0,"OK","UNRECOGNIZED"))</f>
        <v/>
      </c>
      <c r="O763" s="17">
        <f>IF(OR($B763="",$D763="",$E763=""),"",IF($E763=$D763,"CHECK TIMES (start = end)",IF($F763&gt;12,"CHECK TIMES (End is before Start?)","OK")))</f>
        <v/>
      </c>
    </row>
    <row r="764">
      <c r="B764" s="18" t="n"/>
      <c r="C764" s="17">
        <f>IF($B764="","",TEXT($B764,"ddd"))</f>
        <v/>
      </c>
      <c r="D764" s="46" t="n"/>
      <c r="E764" s="46"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IF(OR($B764="",$I764=""),"",IF(SUMPRODUCT((nrInstrNames&lt;&gt;"")*ISNUMBER(SEARCH(nrInstrNames,$I764)))&gt;0,"OK","UNRECOGNIZED"))</f>
        <v/>
      </c>
      <c r="O764" s="17">
        <f>IF(OR($B764="",$D764="",$E764=""),"",IF($E764=$D764,"CHECK TIMES (start = end)",IF($F764&gt;12,"CHECK TIMES (End is before Start?)","OK")))</f>
        <v/>
      </c>
    </row>
    <row r="765">
      <c r="B765" s="18" t="n"/>
      <c r="C765" s="17">
        <f>IF($B765="","",TEXT($B765,"ddd"))</f>
        <v/>
      </c>
      <c r="D765" s="46" t="n"/>
      <c r="E765" s="46"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IF(OR($B765="",$I765=""),"",IF(SUMPRODUCT((nrInstrNames&lt;&gt;"")*ISNUMBER(SEARCH(nrInstrNames,$I765)))&gt;0,"OK","UNRECOGNIZED"))</f>
        <v/>
      </c>
      <c r="O765" s="17">
        <f>IF(OR($B765="",$D765="",$E765=""),"",IF($E765=$D765,"CHECK TIMES (start = end)",IF($F765&gt;12,"CHECK TIMES (End is before Start?)","OK")))</f>
        <v/>
      </c>
    </row>
    <row r="766">
      <c r="B766" s="18" t="n"/>
      <c r="C766" s="17">
        <f>IF($B766="","",TEXT($B766,"ddd"))</f>
        <v/>
      </c>
      <c r="D766" s="46" t="n"/>
      <c r="E766" s="46"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IF(OR($B766="",$I766=""),"",IF(SUMPRODUCT((nrInstrNames&lt;&gt;"")*ISNUMBER(SEARCH(nrInstrNames,$I766)))&gt;0,"OK","UNRECOGNIZED"))</f>
        <v/>
      </c>
      <c r="O766" s="17">
        <f>IF(OR($B766="",$D766="",$E766=""),"",IF($E766=$D766,"CHECK TIMES (start = end)",IF($F766&gt;12,"CHECK TIMES (End is before Start?)","OK")))</f>
        <v/>
      </c>
    </row>
    <row r="767">
      <c r="B767" s="18" t="n"/>
      <c r="C767" s="17">
        <f>IF($B767="","",TEXT($B767,"ddd"))</f>
        <v/>
      </c>
      <c r="D767" s="46" t="n"/>
      <c r="E767" s="46"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IF(OR($B767="",$I767=""),"",IF(SUMPRODUCT((nrInstrNames&lt;&gt;"")*ISNUMBER(SEARCH(nrInstrNames,$I767)))&gt;0,"OK","UNRECOGNIZED"))</f>
        <v/>
      </c>
      <c r="O767" s="17">
        <f>IF(OR($B767="",$D767="",$E767=""),"",IF($E767=$D767,"CHECK TIMES (start = end)",IF($F767&gt;12,"CHECK TIMES (End is before Start?)","OK")))</f>
        <v/>
      </c>
    </row>
    <row r="768">
      <c r="B768" s="18" t="n"/>
      <c r="C768" s="17">
        <f>IF($B768="","",TEXT($B768,"ddd"))</f>
        <v/>
      </c>
      <c r="D768" s="46" t="n"/>
      <c r="E768" s="46"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IF(OR($B768="",$I768=""),"",IF(SUMPRODUCT((nrInstrNames&lt;&gt;"")*ISNUMBER(SEARCH(nrInstrNames,$I768)))&gt;0,"OK","UNRECOGNIZED"))</f>
        <v/>
      </c>
      <c r="O768" s="17">
        <f>IF(OR($B768="",$D768="",$E768=""),"",IF($E768=$D768,"CHECK TIMES (start = end)",IF($F768&gt;12,"CHECK TIMES (End is before Start?)","OK")))</f>
        <v/>
      </c>
    </row>
    <row r="769">
      <c r="B769" s="18" t="n"/>
      <c r="C769" s="17">
        <f>IF($B769="","",TEXT($B769,"ddd"))</f>
        <v/>
      </c>
      <c r="D769" s="46" t="n"/>
      <c r="E769" s="46"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IF(OR($B769="",$I769=""),"",IF(SUMPRODUCT((nrInstrNames&lt;&gt;"")*ISNUMBER(SEARCH(nrInstrNames,$I769)))&gt;0,"OK","UNRECOGNIZED"))</f>
        <v/>
      </c>
      <c r="O769" s="17">
        <f>IF(OR($B769="",$D769="",$E769=""),"",IF($E769=$D769,"CHECK TIMES (start = end)",IF($F769&gt;12,"CHECK TIMES (End is before Start?)","OK")))</f>
        <v/>
      </c>
    </row>
    <row r="770">
      <c r="B770" s="18" t="n"/>
      <c r="C770" s="17">
        <f>IF($B770="","",TEXT($B770,"ddd"))</f>
        <v/>
      </c>
      <c r="D770" s="46" t="n"/>
      <c r="E770" s="46"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IF(OR($B770="",$I770=""),"",IF(SUMPRODUCT((nrInstrNames&lt;&gt;"")*ISNUMBER(SEARCH(nrInstrNames,$I770)))&gt;0,"OK","UNRECOGNIZED"))</f>
        <v/>
      </c>
      <c r="O770" s="17">
        <f>IF(OR($B770="",$D770="",$E770=""),"",IF($E770=$D770,"CHECK TIMES (start = end)",IF($F770&gt;12,"CHECK TIMES (End is before Start?)","OK")))</f>
        <v/>
      </c>
    </row>
    <row r="771">
      <c r="B771" s="18" t="n"/>
      <c r="C771" s="17">
        <f>IF($B771="","",TEXT($B771,"ddd"))</f>
        <v/>
      </c>
      <c r="D771" s="46" t="n"/>
      <c r="E771" s="46"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IF(OR($B771="",$I771=""),"",IF(SUMPRODUCT((nrInstrNames&lt;&gt;"")*ISNUMBER(SEARCH(nrInstrNames,$I771)))&gt;0,"OK","UNRECOGNIZED"))</f>
        <v/>
      </c>
      <c r="O771" s="17">
        <f>IF(OR($B771="",$D771="",$E771=""),"",IF($E771=$D771,"CHECK TIMES (start = end)",IF($F771&gt;12,"CHECK TIMES (End is before Start?)","OK")))</f>
        <v/>
      </c>
    </row>
    <row r="772">
      <c r="B772" s="18" t="n"/>
      <c r="C772" s="17">
        <f>IF($B772="","",TEXT($B772,"ddd"))</f>
        <v/>
      </c>
      <c r="D772" s="46" t="n"/>
      <c r="E772" s="46"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IF(OR($B772="",$I772=""),"",IF(SUMPRODUCT((nrInstrNames&lt;&gt;"")*ISNUMBER(SEARCH(nrInstrNames,$I772)))&gt;0,"OK","UNRECOGNIZED"))</f>
        <v/>
      </c>
      <c r="O772" s="17">
        <f>IF(OR($B772="",$D772="",$E772=""),"",IF($E772=$D772,"CHECK TIMES (start = end)",IF($F772&gt;12,"CHECK TIMES (End is before Start?)","OK")))</f>
        <v/>
      </c>
    </row>
    <row r="773">
      <c r="B773" s="18" t="n"/>
      <c r="C773" s="17">
        <f>IF($B773="","",TEXT($B773,"ddd"))</f>
        <v/>
      </c>
      <c r="D773" s="46" t="n"/>
      <c r="E773" s="46"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IF(OR($B773="",$I773=""),"",IF(SUMPRODUCT((nrInstrNames&lt;&gt;"")*ISNUMBER(SEARCH(nrInstrNames,$I773)))&gt;0,"OK","UNRECOGNIZED"))</f>
        <v/>
      </c>
      <c r="O773" s="17">
        <f>IF(OR($B773="",$D773="",$E773=""),"",IF($E773=$D773,"CHECK TIMES (start = end)",IF($F773&gt;12,"CHECK TIMES (End is before Start?)","OK")))</f>
        <v/>
      </c>
    </row>
    <row r="774">
      <c r="B774" s="18" t="n"/>
      <c r="C774" s="17">
        <f>IF($B774="","",TEXT($B774,"ddd"))</f>
        <v/>
      </c>
      <c r="D774" s="46" t="n"/>
      <c r="E774" s="46"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IF(OR($B774="",$I774=""),"",IF(SUMPRODUCT((nrInstrNames&lt;&gt;"")*ISNUMBER(SEARCH(nrInstrNames,$I774)))&gt;0,"OK","UNRECOGNIZED"))</f>
        <v/>
      </c>
      <c r="O774" s="17">
        <f>IF(OR($B774="",$D774="",$E774=""),"",IF($E774=$D774,"CHECK TIMES (start = end)",IF($F774&gt;12,"CHECK TIMES (End is before Start?)","OK")))</f>
        <v/>
      </c>
    </row>
    <row r="775">
      <c r="B775" s="18" t="n"/>
      <c r="C775" s="17">
        <f>IF($B775="","",TEXT($B775,"ddd"))</f>
        <v/>
      </c>
      <c r="D775" s="46" t="n"/>
      <c r="E775" s="46"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IF(OR($B775="",$I775=""),"",IF(SUMPRODUCT((nrInstrNames&lt;&gt;"")*ISNUMBER(SEARCH(nrInstrNames,$I775)))&gt;0,"OK","UNRECOGNIZED"))</f>
        <v/>
      </c>
      <c r="O775" s="17">
        <f>IF(OR($B775="",$D775="",$E775=""),"",IF($E775=$D775,"CHECK TIMES (start = end)",IF($F775&gt;12,"CHECK TIMES (End is before Start?)","OK")))</f>
        <v/>
      </c>
    </row>
    <row r="776">
      <c r="B776" s="18" t="n"/>
      <c r="C776" s="17">
        <f>IF($B776="","",TEXT($B776,"ddd"))</f>
        <v/>
      </c>
      <c r="D776" s="46" t="n"/>
      <c r="E776" s="46"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IF(OR($B776="",$I776=""),"",IF(SUMPRODUCT((nrInstrNames&lt;&gt;"")*ISNUMBER(SEARCH(nrInstrNames,$I776)))&gt;0,"OK","UNRECOGNIZED"))</f>
        <v/>
      </c>
      <c r="O776" s="17">
        <f>IF(OR($B776="",$D776="",$E776=""),"",IF($E776=$D776,"CHECK TIMES (start = end)",IF($F776&gt;12,"CHECK TIMES (End is before Start?)","OK")))</f>
        <v/>
      </c>
    </row>
    <row r="777">
      <c r="B777" s="18" t="n"/>
      <c r="C777" s="17">
        <f>IF($B777="","",TEXT($B777,"ddd"))</f>
        <v/>
      </c>
      <c r="D777" s="46" t="n"/>
      <c r="E777" s="46"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IF(OR($B777="",$I777=""),"",IF(SUMPRODUCT((nrInstrNames&lt;&gt;"")*ISNUMBER(SEARCH(nrInstrNames,$I777)))&gt;0,"OK","UNRECOGNIZED"))</f>
        <v/>
      </c>
      <c r="O777" s="17">
        <f>IF(OR($B777="",$D777="",$E777=""),"",IF($E777=$D777,"CHECK TIMES (start = end)",IF($F777&gt;12,"CHECK TIMES (End is before Start?)","OK")))</f>
        <v/>
      </c>
    </row>
    <row r="778">
      <c r="B778" s="18" t="n"/>
      <c r="C778" s="17">
        <f>IF($B778="","",TEXT($B778,"ddd"))</f>
        <v/>
      </c>
      <c r="D778" s="46" t="n"/>
      <c r="E778" s="46"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IF(OR($B778="",$I778=""),"",IF(SUMPRODUCT((nrInstrNames&lt;&gt;"")*ISNUMBER(SEARCH(nrInstrNames,$I778)))&gt;0,"OK","UNRECOGNIZED"))</f>
        <v/>
      </c>
      <c r="O778" s="17">
        <f>IF(OR($B778="",$D778="",$E778=""),"",IF($E778=$D778,"CHECK TIMES (start = end)",IF($F778&gt;12,"CHECK TIMES (End is before Start?)","OK")))</f>
        <v/>
      </c>
    </row>
    <row r="779">
      <c r="B779" s="18" t="n"/>
      <c r="C779" s="17">
        <f>IF($B779="","",TEXT($B779,"ddd"))</f>
        <v/>
      </c>
      <c r="D779" s="46" t="n"/>
      <c r="E779" s="46"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IF(OR($B779="",$I779=""),"",IF(SUMPRODUCT((nrInstrNames&lt;&gt;"")*ISNUMBER(SEARCH(nrInstrNames,$I779)))&gt;0,"OK","UNRECOGNIZED"))</f>
        <v/>
      </c>
      <c r="O779" s="17">
        <f>IF(OR($B779="",$D779="",$E779=""),"",IF($E779=$D779,"CHECK TIMES (start = end)",IF($F779&gt;12,"CHECK TIMES (End is before Start?)","OK")))</f>
        <v/>
      </c>
    </row>
    <row r="780">
      <c r="B780" s="18" t="n"/>
      <c r="C780" s="17">
        <f>IF($B780="","",TEXT($B780,"ddd"))</f>
        <v/>
      </c>
      <c r="D780" s="46" t="n"/>
      <c r="E780" s="46"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IF(OR($B780="",$I780=""),"",IF(SUMPRODUCT((nrInstrNames&lt;&gt;"")*ISNUMBER(SEARCH(nrInstrNames,$I780)))&gt;0,"OK","UNRECOGNIZED"))</f>
        <v/>
      </c>
      <c r="O780" s="17">
        <f>IF(OR($B780="",$D780="",$E780=""),"",IF($E780=$D780,"CHECK TIMES (start = end)",IF($F780&gt;12,"CHECK TIMES (End is before Start?)","OK")))</f>
        <v/>
      </c>
    </row>
    <row r="781">
      <c r="B781" s="18" t="n"/>
      <c r="C781" s="17">
        <f>IF($B781="","",TEXT($B781,"ddd"))</f>
        <v/>
      </c>
      <c r="D781" s="46" t="n"/>
      <c r="E781" s="46"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IF(OR($B781="",$I781=""),"",IF(SUMPRODUCT((nrInstrNames&lt;&gt;"")*ISNUMBER(SEARCH(nrInstrNames,$I781)))&gt;0,"OK","UNRECOGNIZED"))</f>
        <v/>
      </c>
      <c r="O781" s="17">
        <f>IF(OR($B781="",$D781="",$E781=""),"",IF($E781=$D781,"CHECK TIMES (start = end)",IF($F781&gt;12,"CHECK TIMES (End is before Start?)","OK")))</f>
        <v/>
      </c>
    </row>
    <row r="782">
      <c r="B782" s="18" t="n"/>
      <c r="C782" s="17">
        <f>IF($B782="","",TEXT($B782,"ddd"))</f>
        <v/>
      </c>
      <c r="D782" s="46" t="n"/>
      <c r="E782" s="46"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IF(OR($B782="",$I782=""),"",IF(SUMPRODUCT((nrInstrNames&lt;&gt;"")*ISNUMBER(SEARCH(nrInstrNames,$I782)))&gt;0,"OK","UNRECOGNIZED"))</f>
        <v/>
      </c>
      <c r="O782" s="17">
        <f>IF(OR($B782="",$D782="",$E782=""),"",IF($E782=$D782,"CHECK TIMES (start = end)",IF($F782&gt;12,"CHECK TIMES (End is before Start?)","OK")))</f>
        <v/>
      </c>
    </row>
    <row r="783">
      <c r="B783" s="18" t="n"/>
      <c r="C783" s="17">
        <f>IF($B783="","",TEXT($B783,"ddd"))</f>
        <v/>
      </c>
      <c r="D783" s="46" t="n"/>
      <c r="E783" s="46"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IF(OR($B783="",$I783=""),"",IF(SUMPRODUCT((nrInstrNames&lt;&gt;"")*ISNUMBER(SEARCH(nrInstrNames,$I783)))&gt;0,"OK","UNRECOGNIZED"))</f>
        <v/>
      </c>
      <c r="O783" s="17">
        <f>IF(OR($B783="",$D783="",$E783=""),"",IF($E783=$D783,"CHECK TIMES (start = end)",IF($F783&gt;12,"CHECK TIMES (End is before Start?)","OK")))</f>
        <v/>
      </c>
    </row>
    <row r="784">
      <c r="B784" s="18" t="n"/>
      <c r="C784" s="17">
        <f>IF($B784="","",TEXT($B784,"ddd"))</f>
        <v/>
      </c>
      <c r="D784" s="46" t="n"/>
      <c r="E784" s="46"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IF(OR($B784="",$I784=""),"",IF(SUMPRODUCT((nrInstrNames&lt;&gt;"")*ISNUMBER(SEARCH(nrInstrNames,$I784)))&gt;0,"OK","UNRECOGNIZED"))</f>
        <v/>
      </c>
      <c r="O784" s="17">
        <f>IF(OR($B784="",$D784="",$E784=""),"",IF($E784=$D784,"CHECK TIMES (start = end)",IF($F784&gt;12,"CHECK TIMES (End is before Start?)","OK")))</f>
        <v/>
      </c>
    </row>
    <row r="785">
      <c r="B785" s="18" t="n"/>
      <c r="C785" s="17">
        <f>IF($B785="","",TEXT($B785,"ddd"))</f>
        <v/>
      </c>
      <c r="D785" s="46" t="n"/>
      <c r="E785" s="46"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IF(OR($B785="",$I785=""),"",IF(SUMPRODUCT((nrInstrNames&lt;&gt;"")*ISNUMBER(SEARCH(nrInstrNames,$I785)))&gt;0,"OK","UNRECOGNIZED"))</f>
        <v/>
      </c>
      <c r="O785" s="17">
        <f>IF(OR($B785="",$D785="",$E785=""),"",IF($E785=$D785,"CHECK TIMES (start = end)",IF($F785&gt;12,"CHECK TIMES (End is before Start?)","OK")))</f>
        <v/>
      </c>
    </row>
    <row r="786">
      <c r="B786" s="18" t="n"/>
      <c r="C786" s="17">
        <f>IF($B786="","",TEXT($B786,"ddd"))</f>
        <v/>
      </c>
      <c r="D786" s="46" t="n"/>
      <c r="E786" s="46"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IF(OR($B786="",$I786=""),"",IF(SUMPRODUCT((nrInstrNames&lt;&gt;"")*ISNUMBER(SEARCH(nrInstrNames,$I786)))&gt;0,"OK","UNRECOGNIZED"))</f>
        <v/>
      </c>
      <c r="O786" s="17">
        <f>IF(OR($B786="",$D786="",$E786=""),"",IF($E786=$D786,"CHECK TIMES (start = end)",IF($F786&gt;12,"CHECK TIMES (End is before Start?)","OK")))</f>
        <v/>
      </c>
    </row>
    <row r="787">
      <c r="B787" s="18" t="n"/>
      <c r="C787" s="17">
        <f>IF($B787="","",TEXT($B787,"ddd"))</f>
        <v/>
      </c>
      <c r="D787" s="46" t="n"/>
      <c r="E787" s="46"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IF(OR($B787="",$I787=""),"",IF(SUMPRODUCT((nrInstrNames&lt;&gt;"")*ISNUMBER(SEARCH(nrInstrNames,$I787)))&gt;0,"OK","UNRECOGNIZED"))</f>
        <v/>
      </c>
      <c r="O787" s="17">
        <f>IF(OR($B787="",$D787="",$E787=""),"",IF($E787=$D787,"CHECK TIMES (start = end)",IF($F787&gt;12,"CHECK TIMES (End is before Start?)","OK")))</f>
        <v/>
      </c>
    </row>
    <row r="788">
      <c r="B788" s="18" t="n"/>
      <c r="C788" s="17">
        <f>IF($B788="","",TEXT($B788,"ddd"))</f>
        <v/>
      </c>
      <c r="D788" s="46" t="n"/>
      <c r="E788" s="46"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IF(OR($B788="",$I788=""),"",IF(SUMPRODUCT((nrInstrNames&lt;&gt;"")*ISNUMBER(SEARCH(nrInstrNames,$I788)))&gt;0,"OK","UNRECOGNIZED"))</f>
        <v/>
      </c>
      <c r="O788" s="17">
        <f>IF(OR($B788="",$D788="",$E788=""),"",IF($E788=$D788,"CHECK TIMES (start = end)",IF($F788&gt;12,"CHECK TIMES (End is before Start?)","OK")))</f>
        <v/>
      </c>
    </row>
    <row r="789">
      <c r="B789" s="18" t="n"/>
      <c r="C789" s="17">
        <f>IF($B789="","",TEXT($B789,"ddd"))</f>
        <v/>
      </c>
      <c r="D789" s="46" t="n"/>
      <c r="E789" s="46"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IF(OR($B789="",$I789=""),"",IF(SUMPRODUCT((nrInstrNames&lt;&gt;"")*ISNUMBER(SEARCH(nrInstrNames,$I789)))&gt;0,"OK","UNRECOGNIZED"))</f>
        <v/>
      </c>
      <c r="O789" s="17">
        <f>IF(OR($B789="",$D789="",$E789=""),"",IF($E789=$D789,"CHECK TIMES (start = end)",IF($F789&gt;12,"CHECK TIMES (End is before Start?)","OK")))</f>
        <v/>
      </c>
    </row>
    <row r="790">
      <c r="B790" s="18" t="n"/>
      <c r="C790" s="17">
        <f>IF($B790="","",TEXT($B790,"ddd"))</f>
        <v/>
      </c>
      <c r="D790" s="46" t="n"/>
      <c r="E790" s="46"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IF(OR($B790="",$I790=""),"",IF(SUMPRODUCT((nrInstrNames&lt;&gt;"")*ISNUMBER(SEARCH(nrInstrNames,$I790)))&gt;0,"OK","UNRECOGNIZED"))</f>
        <v/>
      </c>
      <c r="O790" s="17">
        <f>IF(OR($B790="",$D790="",$E790=""),"",IF($E790=$D790,"CHECK TIMES (start = end)",IF($F790&gt;12,"CHECK TIMES (End is before Start?)","OK")))</f>
        <v/>
      </c>
    </row>
    <row r="791">
      <c r="B791" s="18" t="n"/>
      <c r="C791" s="17">
        <f>IF($B791="","",TEXT($B791,"ddd"))</f>
        <v/>
      </c>
      <c r="D791" s="46" t="n"/>
      <c r="E791" s="46"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IF(OR($B791="",$I791=""),"",IF(SUMPRODUCT((nrInstrNames&lt;&gt;"")*ISNUMBER(SEARCH(nrInstrNames,$I791)))&gt;0,"OK","UNRECOGNIZED"))</f>
        <v/>
      </c>
      <c r="O791" s="17">
        <f>IF(OR($B791="",$D791="",$E791=""),"",IF($E791=$D791,"CHECK TIMES (start = end)",IF($F791&gt;12,"CHECK TIMES (End is before Start?)","OK")))</f>
        <v/>
      </c>
    </row>
    <row r="792">
      <c r="B792" s="18" t="n"/>
      <c r="C792" s="17">
        <f>IF($B792="","",TEXT($B792,"ddd"))</f>
        <v/>
      </c>
      <c r="D792" s="46" t="n"/>
      <c r="E792" s="46"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IF(OR($B792="",$I792=""),"",IF(SUMPRODUCT((nrInstrNames&lt;&gt;"")*ISNUMBER(SEARCH(nrInstrNames,$I792)))&gt;0,"OK","UNRECOGNIZED"))</f>
        <v/>
      </c>
      <c r="O792" s="17">
        <f>IF(OR($B792="",$D792="",$E792=""),"",IF($E792=$D792,"CHECK TIMES (start = end)",IF($F792&gt;12,"CHECK TIMES (End is before Start?)","OK")))</f>
        <v/>
      </c>
    </row>
    <row r="793">
      <c r="B793" s="18" t="n"/>
      <c r="C793" s="17">
        <f>IF($B793="","",TEXT($B793,"ddd"))</f>
        <v/>
      </c>
      <c r="D793" s="46" t="n"/>
      <c r="E793" s="46"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IF(OR($B793="",$I793=""),"",IF(SUMPRODUCT((nrInstrNames&lt;&gt;"")*ISNUMBER(SEARCH(nrInstrNames,$I793)))&gt;0,"OK","UNRECOGNIZED"))</f>
        <v/>
      </c>
      <c r="O793" s="17">
        <f>IF(OR($B793="",$D793="",$E793=""),"",IF($E793=$D793,"CHECK TIMES (start = end)",IF($F793&gt;12,"CHECK TIMES (End is before Start?)","OK")))</f>
        <v/>
      </c>
    </row>
    <row r="794">
      <c r="B794" s="18" t="n"/>
      <c r="C794" s="17">
        <f>IF($B794="","",TEXT($B794,"ddd"))</f>
        <v/>
      </c>
      <c r="D794" s="46" t="n"/>
      <c r="E794" s="46"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IF(OR($B794="",$I794=""),"",IF(SUMPRODUCT((nrInstrNames&lt;&gt;"")*ISNUMBER(SEARCH(nrInstrNames,$I794)))&gt;0,"OK","UNRECOGNIZED"))</f>
        <v/>
      </c>
      <c r="O794" s="17">
        <f>IF(OR($B794="",$D794="",$E794=""),"",IF($E794=$D794,"CHECK TIMES (start = end)",IF($F794&gt;12,"CHECK TIMES (End is before Start?)","OK")))</f>
        <v/>
      </c>
    </row>
    <row r="795">
      <c r="B795" s="18" t="n"/>
      <c r="C795" s="17">
        <f>IF($B795="","",TEXT($B795,"ddd"))</f>
        <v/>
      </c>
      <c r="D795" s="46" t="n"/>
      <c r="E795" s="46"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IF(OR($B795="",$I795=""),"",IF(SUMPRODUCT((nrInstrNames&lt;&gt;"")*ISNUMBER(SEARCH(nrInstrNames,$I795)))&gt;0,"OK","UNRECOGNIZED"))</f>
        <v/>
      </c>
      <c r="O795" s="17">
        <f>IF(OR($B795="",$D795="",$E795=""),"",IF($E795=$D795,"CHECK TIMES (start = end)",IF($F795&gt;12,"CHECK TIMES (End is before Start?)","OK")))</f>
        <v/>
      </c>
    </row>
    <row r="796">
      <c r="B796" s="18" t="n"/>
      <c r="C796" s="17">
        <f>IF($B796="","",TEXT($B796,"ddd"))</f>
        <v/>
      </c>
      <c r="D796" s="46" t="n"/>
      <c r="E796" s="46"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IF(OR($B796="",$I796=""),"",IF(SUMPRODUCT((nrInstrNames&lt;&gt;"")*ISNUMBER(SEARCH(nrInstrNames,$I796)))&gt;0,"OK","UNRECOGNIZED"))</f>
        <v/>
      </c>
      <c r="O796" s="17">
        <f>IF(OR($B796="",$D796="",$E796=""),"",IF($E796=$D796,"CHECK TIMES (start = end)",IF($F796&gt;12,"CHECK TIMES (End is before Start?)","OK")))</f>
        <v/>
      </c>
    </row>
    <row r="797">
      <c r="B797" s="18" t="n"/>
      <c r="C797" s="17">
        <f>IF($B797="","",TEXT($B797,"ddd"))</f>
        <v/>
      </c>
      <c r="D797" s="46" t="n"/>
      <c r="E797" s="46"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IF(OR($B797="",$I797=""),"",IF(SUMPRODUCT((nrInstrNames&lt;&gt;"")*ISNUMBER(SEARCH(nrInstrNames,$I797)))&gt;0,"OK","UNRECOGNIZED"))</f>
        <v/>
      </c>
      <c r="O797" s="17">
        <f>IF(OR($B797="",$D797="",$E797=""),"",IF($E797=$D797,"CHECK TIMES (start = end)",IF($F797&gt;12,"CHECK TIMES (End is before Start?)","OK")))</f>
        <v/>
      </c>
    </row>
    <row r="798">
      <c r="B798" s="18" t="n"/>
      <c r="C798" s="17">
        <f>IF($B798="","",TEXT($B798,"ddd"))</f>
        <v/>
      </c>
      <c r="D798" s="46" t="n"/>
      <c r="E798" s="46"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IF(OR($B798="",$I798=""),"",IF(SUMPRODUCT((nrInstrNames&lt;&gt;"")*ISNUMBER(SEARCH(nrInstrNames,$I798)))&gt;0,"OK","UNRECOGNIZED"))</f>
        <v/>
      </c>
      <c r="O798" s="17">
        <f>IF(OR($B798="",$D798="",$E798=""),"",IF($E798=$D798,"CHECK TIMES (start = end)",IF($F798&gt;12,"CHECK TIMES (End is before Start?)","OK")))</f>
        <v/>
      </c>
    </row>
    <row r="799">
      <c r="B799" s="18" t="n"/>
      <c r="C799" s="17">
        <f>IF($B799="","",TEXT($B799,"ddd"))</f>
        <v/>
      </c>
      <c r="D799" s="46" t="n"/>
      <c r="E799" s="46"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IF(OR($B799="",$I799=""),"",IF(SUMPRODUCT((nrInstrNames&lt;&gt;"")*ISNUMBER(SEARCH(nrInstrNames,$I799)))&gt;0,"OK","UNRECOGNIZED"))</f>
        <v/>
      </c>
      <c r="O799" s="17">
        <f>IF(OR($B799="",$D799="",$E799=""),"",IF($E799=$D799,"CHECK TIMES (start = end)",IF($F799&gt;12,"CHECK TIMES (End is before Start?)","OK")))</f>
        <v/>
      </c>
    </row>
    <row r="800">
      <c r="B800" s="18" t="n"/>
      <c r="C800" s="17">
        <f>IF($B800="","",TEXT($B800,"ddd"))</f>
        <v/>
      </c>
      <c r="D800" s="46" t="n"/>
      <c r="E800" s="46"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IF(OR($B800="",$I800=""),"",IF(SUMPRODUCT((nrInstrNames&lt;&gt;"")*ISNUMBER(SEARCH(nrInstrNames,$I800)))&gt;0,"OK","UNRECOGNIZED"))</f>
        <v/>
      </c>
      <c r="O800" s="17">
        <f>IF(OR($B800="",$D800="",$E800=""),"",IF($E800=$D800,"CHECK TIMES (start = end)",IF($F800&gt;12,"CHECK TIMES (End is before Start?)","OK")))</f>
        <v/>
      </c>
    </row>
    <row r="801">
      <c r="B801" s="18" t="n"/>
      <c r="C801" s="17">
        <f>IF($B801="","",TEXT($B801,"ddd"))</f>
        <v/>
      </c>
      <c r="D801" s="46" t="n"/>
      <c r="E801" s="46"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IF(OR($B801="",$I801=""),"",IF(SUMPRODUCT((nrInstrNames&lt;&gt;"")*ISNUMBER(SEARCH(nrInstrNames,$I801)))&gt;0,"OK","UNRECOGNIZED"))</f>
        <v/>
      </c>
      <c r="O801" s="17">
        <f>IF(OR($B801="",$D801="",$E801=""),"",IF($E801=$D801,"CHECK TIMES (start = end)",IF($F801&gt;12,"CHECK TIMES (End is before Start?)","OK")))</f>
        <v/>
      </c>
    </row>
    <row r="802">
      <c r="B802" s="18" t="n"/>
      <c r="C802" s="17">
        <f>IF($B802="","",TEXT($B802,"ddd"))</f>
        <v/>
      </c>
      <c r="D802" s="46" t="n"/>
      <c r="E802" s="46"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IF(OR($B802="",$I802=""),"",IF(SUMPRODUCT((nrInstrNames&lt;&gt;"")*ISNUMBER(SEARCH(nrInstrNames,$I802)))&gt;0,"OK","UNRECOGNIZED"))</f>
        <v/>
      </c>
      <c r="O802" s="17">
        <f>IF(OR($B802="",$D802="",$E802=""),"",IF($E802=$D802,"CHECK TIMES (start = end)",IF($F802&gt;12,"CHECK TIMES (End is before Start?)","OK")))</f>
        <v/>
      </c>
    </row>
    <row r="803">
      <c r="B803" s="18" t="n"/>
      <c r="C803" s="17">
        <f>IF($B803="","",TEXT($B803,"ddd"))</f>
        <v/>
      </c>
      <c r="D803" s="46" t="n"/>
      <c r="E803" s="46"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IF(OR($B803="",$I803=""),"",IF(SUMPRODUCT((nrInstrNames&lt;&gt;"")*ISNUMBER(SEARCH(nrInstrNames,$I803)))&gt;0,"OK","UNRECOGNIZED"))</f>
        <v/>
      </c>
      <c r="O803" s="17">
        <f>IF(OR($B803="",$D803="",$E803=""),"",IF($E803=$D803,"CHECK TIMES (start = end)",IF($F803&gt;12,"CHECK TIMES (End is before Start?)","OK")))</f>
        <v/>
      </c>
    </row>
    <row r="804">
      <c r="B804" s="18" t="n"/>
      <c r="C804" s="17">
        <f>IF($B804="","",TEXT($B804,"ddd"))</f>
        <v/>
      </c>
      <c r="D804" s="46" t="n"/>
      <c r="E804" s="46"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IF(OR($B804="",$I804=""),"",IF(SUMPRODUCT((nrInstrNames&lt;&gt;"")*ISNUMBER(SEARCH(nrInstrNames,$I804)))&gt;0,"OK","UNRECOGNIZED"))</f>
        <v/>
      </c>
      <c r="O804" s="17">
        <f>IF(OR($B804="",$D804="",$E804=""),"",IF($E804=$D804,"CHECK TIMES (start = end)",IF($F804&gt;12,"CHECK TIMES (End is before Start?)","OK")))</f>
        <v/>
      </c>
    </row>
    <row r="805">
      <c r="B805" s="18" t="n"/>
      <c r="C805" s="17">
        <f>IF($B805="","",TEXT($B805,"ddd"))</f>
        <v/>
      </c>
      <c r="D805" s="46" t="n"/>
      <c r="E805" s="46"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IF(OR($B805="",$I805=""),"",IF(SUMPRODUCT((nrInstrNames&lt;&gt;"")*ISNUMBER(SEARCH(nrInstrNames,$I805)))&gt;0,"OK","UNRECOGNIZED"))</f>
        <v/>
      </c>
      <c r="O805" s="17">
        <f>IF(OR($B805="",$D805="",$E805=""),"",IF($E805=$D805,"CHECK TIMES (start = end)",IF($F805&gt;12,"CHECK TIMES (End is before Start?)","OK")))</f>
        <v/>
      </c>
    </row>
    <row r="806">
      <c r="B806" s="18" t="n"/>
      <c r="C806" s="17">
        <f>IF($B806="","",TEXT($B806,"ddd"))</f>
        <v/>
      </c>
      <c r="D806" s="46" t="n"/>
      <c r="E806" s="46"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IF(OR($B806="",$I806=""),"",IF(SUMPRODUCT((nrInstrNames&lt;&gt;"")*ISNUMBER(SEARCH(nrInstrNames,$I806)))&gt;0,"OK","UNRECOGNIZED"))</f>
        <v/>
      </c>
      <c r="O806" s="17">
        <f>IF(OR($B806="",$D806="",$E806=""),"",IF($E806=$D806,"CHECK TIMES (start = end)",IF($F806&gt;12,"CHECK TIMES (End is before Start?)","OK")))</f>
        <v/>
      </c>
    </row>
    <row r="807">
      <c r="B807" s="18" t="n"/>
      <c r="C807" s="17">
        <f>IF($B807="","",TEXT($B807,"ddd"))</f>
        <v/>
      </c>
      <c r="D807" s="46" t="n"/>
      <c r="E807" s="46"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IF(OR($B807="",$I807=""),"",IF(SUMPRODUCT((nrInstrNames&lt;&gt;"")*ISNUMBER(SEARCH(nrInstrNames,$I807)))&gt;0,"OK","UNRECOGNIZED"))</f>
        <v/>
      </c>
      <c r="O807" s="17">
        <f>IF(OR($B807="",$D807="",$E807=""),"",IF($E807=$D807,"CHECK TIMES (start = end)",IF($F807&gt;12,"CHECK TIMES (End is before Start?)","OK")))</f>
        <v/>
      </c>
    </row>
    <row r="808">
      <c r="B808" s="18" t="n"/>
      <c r="C808" s="17">
        <f>IF($B808="","",TEXT($B808,"ddd"))</f>
        <v/>
      </c>
      <c r="D808" s="46" t="n"/>
      <c r="E808" s="46"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IF(OR($B808="",$I808=""),"",IF(SUMPRODUCT((nrInstrNames&lt;&gt;"")*ISNUMBER(SEARCH(nrInstrNames,$I808)))&gt;0,"OK","UNRECOGNIZED"))</f>
        <v/>
      </c>
      <c r="O808" s="17">
        <f>IF(OR($B808="",$D808="",$E808=""),"",IF($E808=$D808,"CHECK TIMES (start = end)",IF($F808&gt;12,"CHECK TIMES (End is before Start?)","OK")))</f>
        <v/>
      </c>
    </row>
    <row r="809">
      <c r="B809" s="18" t="n"/>
      <c r="C809" s="17">
        <f>IF($B809="","",TEXT($B809,"ddd"))</f>
        <v/>
      </c>
      <c r="D809" s="46" t="n"/>
      <c r="E809" s="46"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IF(OR($B809="",$I809=""),"",IF(SUMPRODUCT((nrInstrNames&lt;&gt;"")*ISNUMBER(SEARCH(nrInstrNames,$I809)))&gt;0,"OK","UNRECOGNIZED"))</f>
        <v/>
      </c>
      <c r="O809" s="17">
        <f>IF(OR($B809="",$D809="",$E809=""),"",IF($E809=$D809,"CHECK TIMES (start = end)",IF($F809&gt;12,"CHECK TIMES (End is before Start?)","OK")))</f>
        <v/>
      </c>
    </row>
    <row r="810">
      <c r="B810" s="18" t="n"/>
      <c r="C810" s="17">
        <f>IF($B810="","",TEXT($B810,"ddd"))</f>
        <v/>
      </c>
      <c r="D810" s="46" t="n"/>
      <c r="E810" s="46"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IF(OR($B810="",$I810=""),"",IF(SUMPRODUCT((nrInstrNames&lt;&gt;"")*ISNUMBER(SEARCH(nrInstrNames,$I810)))&gt;0,"OK","UNRECOGNIZED"))</f>
        <v/>
      </c>
      <c r="O810" s="17">
        <f>IF(OR($B810="",$D810="",$E810=""),"",IF($E810=$D810,"CHECK TIMES (start = end)",IF($F810&gt;12,"CHECK TIMES (End is before Start?)","OK")))</f>
        <v/>
      </c>
    </row>
    <row r="811">
      <c r="B811" s="18" t="n"/>
      <c r="C811" s="17">
        <f>IF($B811="","",TEXT($B811,"ddd"))</f>
        <v/>
      </c>
      <c r="D811" s="46" t="n"/>
      <c r="E811" s="46"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IF(OR($B811="",$I811=""),"",IF(SUMPRODUCT((nrInstrNames&lt;&gt;"")*ISNUMBER(SEARCH(nrInstrNames,$I811)))&gt;0,"OK","UNRECOGNIZED"))</f>
        <v/>
      </c>
      <c r="O811" s="17">
        <f>IF(OR($B811="",$D811="",$E811=""),"",IF($E811=$D811,"CHECK TIMES (start = end)",IF($F811&gt;12,"CHECK TIMES (End is before Start?)","OK")))</f>
        <v/>
      </c>
    </row>
    <row r="812">
      <c r="B812" s="18" t="n"/>
      <c r="C812" s="17">
        <f>IF($B812="","",TEXT($B812,"ddd"))</f>
        <v/>
      </c>
      <c r="D812" s="46" t="n"/>
      <c r="E812" s="46"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IF(OR($B812="",$I812=""),"",IF(SUMPRODUCT((nrInstrNames&lt;&gt;"")*ISNUMBER(SEARCH(nrInstrNames,$I812)))&gt;0,"OK","UNRECOGNIZED"))</f>
        <v/>
      </c>
      <c r="O812" s="17">
        <f>IF(OR($B812="",$D812="",$E812=""),"",IF($E812=$D812,"CHECK TIMES (start = end)",IF($F812&gt;12,"CHECK TIMES (End is before Start?)","OK")))</f>
        <v/>
      </c>
    </row>
    <row r="813">
      <c r="B813" s="18" t="n"/>
      <c r="C813" s="17">
        <f>IF($B813="","",TEXT($B813,"ddd"))</f>
        <v/>
      </c>
      <c r="D813" s="46" t="n"/>
      <c r="E813" s="46"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IF(OR($B813="",$I813=""),"",IF(SUMPRODUCT((nrInstrNames&lt;&gt;"")*ISNUMBER(SEARCH(nrInstrNames,$I813)))&gt;0,"OK","UNRECOGNIZED"))</f>
        <v/>
      </c>
      <c r="O813" s="17">
        <f>IF(OR($B813="",$D813="",$E813=""),"",IF($E813=$D813,"CHECK TIMES (start = end)",IF($F813&gt;12,"CHECK TIMES (End is before Start?)","OK")))</f>
        <v/>
      </c>
    </row>
    <row r="814">
      <c r="B814" s="18" t="n"/>
      <c r="C814" s="17">
        <f>IF($B814="","",TEXT($B814,"ddd"))</f>
        <v/>
      </c>
      <c r="D814" s="46" t="n"/>
      <c r="E814" s="46"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IF(OR($B814="",$I814=""),"",IF(SUMPRODUCT((nrInstrNames&lt;&gt;"")*ISNUMBER(SEARCH(nrInstrNames,$I814)))&gt;0,"OK","UNRECOGNIZED"))</f>
        <v/>
      </c>
      <c r="O814" s="17">
        <f>IF(OR($B814="",$D814="",$E814=""),"",IF($E814=$D814,"CHECK TIMES (start = end)",IF($F814&gt;12,"CHECK TIMES (End is before Start?)","OK")))</f>
        <v/>
      </c>
    </row>
    <row r="815">
      <c r="B815" s="18" t="n"/>
      <c r="C815" s="17">
        <f>IF($B815="","",TEXT($B815,"ddd"))</f>
        <v/>
      </c>
      <c r="D815" s="46" t="n"/>
      <c r="E815" s="46"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IF(OR($B815="",$I815=""),"",IF(SUMPRODUCT((nrInstrNames&lt;&gt;"")*ISNUMBER(SEARCH(nrInstrNames,$I815)))&gt;0,"OK","UNRECOGNIZED"))</f>
        <v/>
      </c>
      <c r="O815" s="17">
        <f>IF(OR($B815="",$D815="",$E815=""),"",IF($E815=$D815,"CHECK TIMES (start = end)",IF($F815&gt;12,"CHECK TIMES (End is before Start?)","OK")))</f>
        <v/>
      </c>
    </row>
    <row r="816">
      <c r="B816" s="18" t="n"/>
      <c r="C816" s="17">
        <f>IF($B816="","",TEXT($B816,"ddd"))</f>
        <v/>
      </c>
      <c r="D816" s="46" t="n"/>
      <c r="E816" s="46"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IF(OR($B816="",$I816=""),"",IF(SUMPRODUCT((nrInstrNames&lt;&gt;"")*ISNUMBER(SEARCH(nrInstrNames,$I816)))&gt;0,"OK","UNRECOGNIZED"))</f>
        <v/>
      </c>
      <c r="O816" s="17">
        <f>IF(OR($B816="",$D816="",$E816=""),"",IF($E816=$D816,"CHECK TIMES (start = end)",IF($F816&gt;12,"CHECK TIMES (End is before Start?)","OK")))</f>
        <v/>
      </c>
    </row>
    <row r="817">
      <c r="B817" s="18" t="n"/>
      <c r="C817" s="17">
        <f>IF($B817="","",TEXT($B817,"ddd"))</f>
        <v/>
      </c>
      <c r="D817" s="46" t="n"/>
      <c r="E817" s="46"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IF(OR($B817="",$I817=""),"",IF(SUMPRODUCT((nrInstrNames&lt;&gt;"")*ISNUMBER(SEARCH(nrInstrNames,$I817)))&gt;0,"OK","UNRECOGNIZED"))</f>
        <v/>
      </c>
      <c r="O817" s="17">
        <f>IF(OR($B817="",$D817="",$E817=""),"",IF($E817=$D817,"CHECK TIMES (start = end)",IF($F817&gt;12,"CHECK TIMES (End is before Start?)","OK")))</f>
        <v/>
      </c>
    </row>
    <row r="818">
      <c r="B818" s="18" t="n"/>
      <c r="C818" s="17">
        <f>IF($B818="","",TEXT($B818,"ddd"))</f>
        <v/>
      </c>
      <c r="D818" s="46" t="n"/>
      <c r="E818" s="46"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IF(OR($B818="",$I818=""),"",IF(SUMPRODUCT((nrInstrNames&lt;&gt;"")*ISNUMBER(SEARCH(nrInstrNames,$I818)))&gt;0,"OK","UNRECOGNIZED"))</f>
        <v/>
      </c>
      <c r="O818" s="17">
        <f>IF(OR($B818="",$D818="",$E818=""),"",IF($E818=$D818,"CHECK TIMES (start = end)",IF($F818&gt;12,"CHECK TIMES (End is before Start?)","OK")))</f>
        <v/>
      </c>
    </row>
    <row r="819">
      <c r="B819" s="18" t="n"/>
      <c r="C819" s="17">
        <f>IF($B819="","",TEXT($B819,"ddd"))</f>
        <v/>
      </c>
      <c r="D819" s="46" t="n"/>
      <c r="E819" s="46"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IF(OR($B819="",$I819=""),"",IF(SUMPRODUCT((nrInstrNames&lt;&gt;"")*ISNUMBER(SEARCH(nrInstrNames,$I819)))&gt;0,"OK","UNRECOGNIZED"))</f>
        <v/>
      </c>
      <c r="O819" s="17">
        <f>IF(OR($B819="",$D819="",$E819=""),"",IF($E819=$D819,"CHECK TIMES (start = end)",IF($F819&gt;12,"CHECK TIMES (End is before Start?)","OK")))</f>
        <v/>
      </c>
    </row>
    <row r="820">
      <c r="B820" s="18" t="n"/>
      <c r="C820" s="17">
        <f>IF($B820="","",TEXT($B820,"ddd"))</f>
        <v/>
      </c>
      <c r="D820" s="46" t="n"/>
      <c r="E820" s="46"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IF(OR($B820="",$I820=""),"",IF(SUMPRODUCT((nrInstrNames&lt;&gt;"")*ISNUMBER(SEARCH(nrInstrNames,$I820)))&gt;0,"OK","UNRECOGNIZED"))</f>
        <v/>
      </c>
      <c r="O820" s="17">
        <f>IF(OR($B820="",$D820="",$E820=""),"",IF($E820=$D820,"CHECK TIMES (start = end)",IF($F820&gt;12,"CHECK TIMES (End is before Start?)","OK")))</f>
        <v/>
      </c>
    </row>
    <row r="821">
      <c r="B821" s="18" t="n"/>
      <c r="C821" s="17">
        <f>IF($B821="","",TEXT($B821,"ddd"))</f>
        <v/>
      </c>
      <c r="D821" s="46" t="n"/>
      <c r="E821" s="46"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IF(OR($B821="",$I821=""),"",IF(SUMPRODUCT((nrInstrNames&lt;&gt;"")*ISNUMBER(SEARCH(nrInstrNames,$I821)))&gt;0,"OK","UNRECOGNIZED"))</f>
        <v/>
      </c>
      <c r="O821" s="17">
        <f>IF(OR($B821="",$D821="",$E821=""),"",IF($E821=$D821,"CHECK TIMES (start = end)",IF($F821&gt;12,"CHECK TIMES (End is before Start?)","OK")))</f>
        <v/>
      </c>
    </row>
    <row r="822">
      <c r="B822" s="18" t="n"/>
      <c r="C822" s="17">
        <f>IF($B822="","",TEXT($B822,"ddd"))</f>
        <v/>
      </c>
      <c r="D822" s="46" t="n"/>
      <c r="E822" s="46"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IF(OR($B822="",$I822=""),"",IF(SUMPRODUCT((nrInstrNames&lt;&gt;"")*ISNUMBER(SEARCH(nrInstrNames,$I822)))&gt;0,"OK","UNRECOGNIZED"))</f>
        <v/>
      </c>
      <c r="O822" s="17">
        <f>IF(OR($B822="",$D822="",$E822=""),"",IF($E822=$D822,"CHECK TIMES (start = end)",IF($F822&gt;12,"CHECK TIMES (End is before Start?)","OK")))</f>
        <v/>
      </c>
    </row>
    <row r="823">
      <c r="B823" s="18" t="n"/>
      <c r="C823" s="17">
        <f>IF($B823="","",TEXT($B823,"ddd"))</f>
        <v/>
      </c>
      <c r="D823" s="46" t="n"/>
      <c r="E823" s="46"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IF(OR($B823="",$I823=""),"",IF(SUMPRODUCT((nrInstrNames&lt;&gt;"")*ISNUMBER(SEARCH(nrInstrNames,$I823)))&gt;0,"OK","UNRECOGNIZED"))</f>
        <v/>
      </c>
      <c r="O823" s="17">
        <f>IF(OR($B823="",$D823="",$E823=""),"",IF($E823=$D823,"CHECK TIMES (start = end)",IF($F823&gt;12,"CHECK TIMES (End is before Start?)","OK")))</f>
        <v/>
      </c>
    </row>
    <row r="824">
      <c r="B824" s="18" t="n"/>
      <c r="C824" s="17">
        <f>IF($B824="","",TEXT($B824,"ddd"))</f>
        <v/>
      </c>
      <c r="D824" s="46" t="n"/>
      <c r="E824" s="46"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IF(OR($B824="",$I824=""),"",IF(SUMPRODUCT((nrInstrNames&lt;&gt;"")*ISNUMBER(SEARCH(nrInstrNames,$I824)))&gt;0,"OK","UNRECOGNIZED"))</f>
        <v/>
      </c>
      <c r="O824" s="17">
        <f>IF(OR($B824="",$D824="",$E824=""),"",IF($E824=$D824,"CHECK TIMES (start = end)",IF($F824&gt;12,"CHECK TIMES (End is before Start?)","OK")))</f>
        <v/>
      </c>
    </row>
    <row r="825">
      <c r="B825" s="18" t="n"/>
      <c r="C825" s="17">
        <f>IF($B825="","",TEXT($B825,"ddd"))</f>
        <v/>
      </c>
      <c r="D825" s="46" t="n"/>
      <c r="E825" s="46"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IF(OR($B825="",$I825=""),"",IF(SUMPRODUCT((nrInstrNames&lt;&gt;"")*ISNUMBER(SEARCH(nrInstrNames,$I825)))&gt;0,"OK","UNRECOGNIZED"))</f>
        <v/>
      </c>
      <c r="O825" s="17">
        <f>IF(OR($B825="",$D825="",$E825=""),"",IF($E825=$D825,"CHECK TIMES (start = end)",IF($F825&gt;12,"CHECK TIMES (End is before Start?)","OK")))</f>
        <v/>
      </c>
    </row>
    <row r="826">
      <c r="B826" s="18" t="n"/>
      <c r="C826" s="17">
        <f>IF($B826="","",TEXT($B826,"ddd"))</f>
        <v/>
      </c>
      <c r="D826" s="46" t="n"/>
      <c r="E826" s="46"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IF(OR($B826="",$I826=""),"",IF(SUMPRODUCT((nrInstrNames&lt;&gt;"")*ISNUMBER(SEARCH(nrInstrNames,$I826)))&gt;0,"OK","UNRECOGNIZED"))</f>
        <v/>
      </c>
      <c r="O826" s="17">
        <f>IF(OR($B826="",$D826="",$E826=""),"",IF($E826=$D826,"CHECK TIMES (start = end)",IF($F826&gt;12,"CHECK TIMES (End is before Start?)","OK")))</f>
        <v/>
      </c>
    </row>
    <row r="827">
      <c r="B827" s="18" t="n"/>
      <c r="C827" s="17">
        <f>IF($B827="","",TEXT($B827,"ddd"))</f>
        <v/>
      </c>
      <c r="D827" s="46" t="n"/>
      <c r="E827" s="46"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IF(OR($B827="",$I827=""),"",IF(SUMPRODUCT((nrInstrNames&lt;&gt;"")*ISNUMBER(SEARCH(nrInstrNames,$I827)))&gt;0,"OK","UNRECOGNIZED"))</f>
        <v/>
      </c>
      <c r="O827" s="17">
        <f>IF(OR($B827="",$D827="",$E827=""),"",IF($E827=$D827,"CHECK TIMES (start = end)",IF($F827&gt;12,"CHECK TIMES (End is before Start?)","OK")))</f>
        <v/>
      </c>
    </row>
    <row r="828">
      <c r="B828" s="18" t="n"/>
      <c r="C828" s="17">
        <f>IF($B828="","",TEXT($B828,"ddd"))</f>
        <v/>
      </c>
      <c r="D828" s="46" t="n"/>
      <c r="E828" s="46"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IF(OR($B828="",$I828=""),"",IF(SUMPRODUCT((nrInstrNames&lt;&gt;"")*ISNUMBER(SEARCH(nrInstrNames,$I828)))&gt;0,"OK","UNRECOGNIZED"))</f>
        <v/>
      </c>
      <c r="O828" s="17">
        <f>IF(OR($B828="",$D828="",$E828=""),"",IF($E828=$D828,"CHECK TIMES (start = end)",IF($F828&gt;12,"CHECK TIMES (End is before Start?)","OK")))</f>
        <v/>
      </c>
    </row>
    <row r="829">
      <c r="B829" s="18" t="n"/>
      <c r="C829" s="17">
        <f>IF($B829="","",TEXT($B829,"ddd"))</f>
        <v/>
      </c>
      <c r="D829" s="46" t="n"/>
      <c r="E829" s="46"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IF(OR($B829="",$I829=""),"",IF(SUMPRODUCT((nrInstrNames&lt;&gt;"")*ISNUMBER(SEARCH(nrInstrNames,$I829)))&gt;0,"OK","UNRECOGNIZED"))</f>
        <v/>
      </c>
      <c r="O829" s="17">
        <f>IF(OR($B829="",$D829="",$E829=""),"",IF($E829=$D829,"CHECK TIMES (start = end)",IF($F829&gt;12,"CHECK TIMES (End is before Start?)","OK")))</f>
        <v/>
      </c>
    </row>
    <row r="830">
      <c r="B830" s="18" t="n"/>
      <c r="C830" s="17">
        <f>IF($B830="","",TEXT($B830,"ddd"))</f>
        <v/>
      </c>
      <c r="D830" s="46" t="n"/>
      <c r="E830" s="46"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IF(OR($B830="",$I830=""),"",IF(SUMPRODUCT((nrInstrNames&lt;&gt;"")*ISNUMBER(SEARCH(nrInstrNames,$I830)))&gt;0,"OK","UNRECOGNIZED"))</f>
        <v/>
      </c>
      <c r="O830" s="17">
        <f>IF(OR($B830="",$D830="",$E830=""),"",IF($E830=$D830,"CHECK TIMES (start = end)",IF($F830&gt;12,"CHECK TIMES (End is before Start?)","OK")))</f>
        <v/>
      </c>
    </row>
    <row r="831">
      <c r="B831" s="18" t="n"/>
      <c r="C831" s="17">
        <f>IF($B831="","",TEXT($B831,"ddd"))</f>
        <v/>
      </c>
      <c r="D831" s="46" t="n"/>
      <c r="E831" s="46"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IF(OR($B831="",$I831=""),"",IF(SUMPRODUCT((nrInstrNames&lt;&gt;"")*ISNUMBER(SEARCH(nrInstrNames,$I831)))&gt;0,"OK","UNRECOGNIZED"))</f>
        <v/>
      </c>
      <c r="O831" s="17">
        <f>IF(OR($B831="",$D831="",$E831=""),"",IF($E831=$D831,"CHECK TIMES (start = end)",IF($F831&gt;12,"CHECK TIMES (End is before Start?)","OK")))</f>
        <v/>
      </c>
    </row>
    <row r="832">
      <c r="B832" s="18" t="n"/>
      <c r="C832" s="17">
        <f>IF($B832="","",TEXT($B832,"ddd"))</f>
        <v/>
      </c>
      <c r="D832" s="46" t="n"/>
      <c r="E832" s="46"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IF(OR($B832="",$I832=""),"",IF(SUMPRODUCT((nrInstrNames&lt;&gt;"")*ISNUMBER(SEARCH(nrInstrNames,$I832)))&gt;0,"OK","UNRECOGNIZED"))</f>
        <v/>
      </c>
      <c r="O832" s="17">
        <f>IF(OR($B832="",$D832="",$E832=""),"",IF($E832=$D832,"CHECK TIMES (start = end)",IF($F832&gt;12,"CHECK TIMES (End is before Start?)","OK")))</f>
        <v/>
      </c>
    </row>
    <row r="833">
      <c r="B833" s="18" t="n"/>
      <c r="C833" s="17">
        <f>IF($B833="","",TEXT($B833,"ddd"))</f>
        <v/>
      </c>
      <c r="D833" s="46" t="n"/>
      <c r="E833" s="46"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IF(OR($B833="",$I833=""),"",IF(SUMPRODUCT((nrInstrNames&lt;&gt;"")*ISNUMBER(SEARCH(nrInstrNames,$I833)))&gt;0,"OK","UNRECOGNIZED"))</f>
        <v/>
      </c>
      <c r="O833" s="17">
        <f>IF(OR($B833="",$D833="",$E833=""),"",IF($E833=$D833,"CHECK TIMES (start = end)",IF($F833&gt;12,"CHECK TIMES (End is before Start?)","OK")))</f>
        <v/>
      </c>
    </row>
    <row r="834">
      <c r="B834" s="18" t="n"/>
      <c r="C834" s="17">
        <f>IF($B834="","",TEXT($B834,"ddd"))</f>
        <v/>
      </c>
      <c r="D834" s="46" t="n"/>
      <c r="E834" s="46"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IF(OR($B834="",$I834=""),"",IF(SUMPRODUCT((nrInstrNames&lt;&gt;"")*ISNUMBER(SEARCH(nrInstrNames,$I834)))&gt;0,"OK","UNRECOGNIZED"))</f>
        <v/>
      </c>
      <c r="O834" s="17">
        <f>IF(OR($B834="",$D834="",$E834=""),"",IF($E834=$D834,"CHECK TIMES (start = end)",IF($F834&gt;12,"CHECK TIMES (End is before Start?)","OK")))</f>
        <v/>
      </c>
    </row>
    <row r="835">
      <c r="B835" s="18" t="n"/>
      <c r="C835" s="17">
        <f>IF($B835="","",TEXT($B835,"ddd"))</f>
        <v/>
      </c>
      <c r="D835" s="46" t="n"/>
      <c r="E835" s="46"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IF(OR($B835="",$I835=""),"",IF(SUMPRODUCT((nrInstrNames&lt;&gt;"")*ISNUMBER(SEARCH(nrInstrNames,$I835)))&gt;0,"OK","UNRECOGNIZED"))</f>
        <v/>
      </c>
      <c r="O835" s="17">
        <f>IF(OR($B835="",$D835="",$E835=""),"",IF($E835=$D835,"CHECK TIMES (start = end)",IF($F835&gt;12,"CHECK TIMES (End is before Start?)","OK")))</f>
        <v/>
      </c>
    </row>
    <row r="836">
      <c r="B836" s="18" t="n"/>
      <c r="C836" s="17">
        <f>IF($B836="","",TEXT($B836,"ddd"))</f>
        <v/>
      </c>
      <c r="D836" s="46" t="n"/>
      <c r="E836" s="46"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IF(OR($B836="",$I836=""),"",IF(SUMPRODUCT((nrInstrNames&lt;&gt;"")*ISNUMBER(SEARCH(nrInstrNames,$I836)))&gt;0,"OK","UNRECOGNIZED"))</f>
        <v/>
      </c>
      <c r="O836" s="17">
        <f>IF(OR($B836="",$D836="",$E836=""),"",IF($E836=$D836,"CHECK TIMES (start = end)",IF($F836&gt;12,"CHECK TIMES (End is before Start?)","OK")))</f>
        <v/>
      </c>
    </row>
    <row r="837">
      <c r="B837" s="18" t="n"/>
      <c r="C837" s="17">
        <f>IF($B837="","",TEXT($B837,"ddd"))</f>
        <v/>
      </c>
      <c r="D837" s="46" t="n"/>
      <c r="E837" s="46"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IF(OR($B837="",$I837=""),"",IF(SUMPRODUCT((nrInstrNames&lt;&gt;"")*ISNUMBER(SEARCH(nrInstrNames,$I837)))&gt;0,"OK","UNRECOGNIZED"))</f>
        <v/>
      </c>
      <c r="O837" s="17">
        <f>IF(OR($B837="",$D837="",$E837=""),"",IF($E837=$D837,"CHECK TIMES (start = end)",IF($F837&gt;12,"CHECK TIMES (End is before Start?)","OK")))</f>
        <v/>
      </c>
    </row>
    <row r="838">
      <c r="B838" s="18" t="n"/>
      <c r="C838" s="17">
        <f>IF($B838="","",TEXT($B838,"ddd"))</f>
        <v/>
      </c>
      <c r="D838" s="46" t="n"/>
      <c r="E838" s="46"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IF(OR($B838="",$I838=""),"",IF(SUMPRODUCT((nrInstrNames&lt;&gt;"")*ISNUMBER(SEARCH(nrInstrNames,$I838)))&gt;0,"OK","UNRECOGNIZED"))</f>
        <v/>
      </c>
      <c r="O838" s="17">
        <f>IF(OR($B838="",$D838="",$E838=""),"",IF($E838=$D838,"CHECK TIMES (start = end)",IF($F838&gt;12,"CHECK TIMES (End is before Start?)","OK")))</f>
        <v/>
      </c>
    </row>
    <row r="839">
      <c r="B839" s="18" t="n"/>
      <c r="C839" s="17">
        <f>IF($B839="","",TEXT($B839,"ddd"))</f>
        <v/>
      </c>
      <c r="D839" s="46" t="n"/>
      <c r="E839" s="46"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IF(OR($B839="",$I839=""),"",IF(SUMPRODUCT((nrInstrNames&lt;&gt;"")*ISNUMBER(SEARCH(nrInstrNames,$I839)))&gt;0,"OK","UNRECOGNIZED"))</f>
        <v/>
      </c>
      <c r="O839" s="17">
        <f>IF(OR($B839="",$D839="",$E839=""),"",IF($E839=$D839,"CHECK TIMES (start = end)",IF($F839&gt;12,"CHECK TIMES (End is before Start?)","OK")))</f>
        <v/>
      </c>
    </row>
    <row r="840">
      <c r="B840" s="18" t="n"/>
      <c r="C840" s="17">
        <f>IF($B840="","",TEXT($B840,"ddd"))</f>
        <v/>
      </c>
      <c r="D840" s="46" t="n"/>
      <c r="E840" s="46"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IF(OR($B840="",$I840=""),"",IF(SUMPRODUCT((nrInstrNames&lt;&gt;"")*ISNUMBER(SEARCH(nrInstrNames,$I840)))&gt;0,"OK","UNRECOGNIZED"))</f>
        <v/>
      </c>
      <c r="O840" s="17">
        <f>IF(OR($B840="",$D840="",$E840=""),"",IF($E840=$D840,"CHECK TIMES (start = end)",IF($F840&gt;12,"CHECK TIMES (End is before Start?)","OK")))</f>
        <v/>
      </c>
    </row>
    <row r="841">
      <c r="B841" s="18" t="n"/>
      <c r="C841" s="17">
        <f>IF($B841="","",TEXT($B841,"ddd"))</f>
        <v/>
      </c>
      <c r="D841" s="46" t="n"/>
      <c r="E841" s="46"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IF(OR($B841="",$I841=""),"",IF(SUMPRODUCT((nrInstrNames&lt;&gt;"")*ISNUMBER(SEARCH(nrInstrNames,$I841)))&gt;0,"OK","UNRECOGNIZED"))</f>
        <v/>
      </c>
      <c r="O841" s="17">
        <f>IF(OR($B841="",$D841="",$E841=""),"",IF($E841=$D841,"CHECK TIMES (start = end)",IF($F841&gt;12,"CHECK TIMES (End is before Start?)","OK")))</f>
        <v/>
      </c>
    </row>
    <row r="842">
      <c r="B842" s="18" t="n"/>
      <c r="C842" s="17">
        <f>IF($B842="","",TEXT($B842,"ddd"))</f>
        <v/>
      </c>
      <c r="D842" s="46" t="n"/>
      <c r="E842" s="46"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IF(OR($B842="",$I842=""),"",IF(SUMPRODUCT((nrInstrNames&lt;&gt;"")*ISNUMBER(SEARCH(nrInstrNames,$I842)))&gt;0,"OK","UNRECOGNIZED"))</f>
        <v/>
      </c>
      <c r="O842" s="17">
        <f>IF(OR($B842="",$D842="",$E842=""),"",IF($E842=$D842,"CHECK TIMES (start = end)",IF($F842&gt;12,"CHECK TIMES (End is before Start?)","OK")))</f>
        <v/>
      </c>
    </row>
    <row r="843">
      <c r="B843" s="18" t="n"/>
      <c r="C843" s="17">
        <f>IF($B843="","",TEXT($B843,"ddd"))</f>
        <v/>
      </c>
      <c r="D843" s="46" t="n"/>
      <c r="E843" s="46"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IF(OR($B843="",$I843=""),"",IF(SUMPRODUCT((nrInstrNames&lt;&gt;"")*ISNUMBER(SEARCH(nrInstrNames,$I843)))&gt;0,"OK","UNRECOGNIZED"))</f>
        <v/>
      </c>
      <c r="O843" s="17">
        <f>IF(OR($B843="",$D843="",$E843=""),"",IF($E843=$D843,"CHECK TIMES (start = end)",IF($F843&gt;12,"CHECK TIMES (End is before Start?)","OK")))</f>
        <v/>
      </c>
    </row>
    <row r="844">
      <c r="B844" s="18" t="n"/>
      <c r="C844" s="17">
        <f>IF($B844="","",TEXT($B844,"ddd"))</f>
        <v/>
      </c>
      <c r="D844" s="46" t="n"/>
      <c r="E844" s="46"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IF(OR($B844="",$I844=""),"",IF(SUMPRODUCT((nrInstrNames&lt;&gt;"")*ISNUMBER(SEARCH(nrInstrNames,$I844)))&gt;0,"OK","UNRECOGNIZED"))</f>
        <v/>
      </c>
      <c r="O844" s="17">
        <f>IF(OR($B844="",$D844="",$E844=""),"",IF($E844=$D844,"CHECK TIMES (start = end)",IF($F844&gt;12,"CHECK TIMES (End is before Start?)","OK")))</f>
        <v/>
      </c>
    </row>
    <row r="845">
      <c r="B845" s="18" t="n"/>
      <c r="C845" s="17">
        <f>IF($B845="","",TEXT($B845,"ddd"))</f>
        <v/>
      </c>
      <c r="D845" s="46" t="n"/>
      <c r="E845" s="46"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IF(OR($B845="",$I845=""),"",IF(SUMPRODUCT((nrInstrNames&lt;&gt;"")*ISNUMBER(SEARCH(nrInstrNames,$I845)))&gt;0,"OK","UNRECOGNIZED"))</f>
        <v/>
      </c>
      <c r="O845" s="17">
        <f>IF(OR($B845="",$D845="",$E845=""),"",IF($E845=$D845,"CHECK TIMES (start = end)",IF($F845&gt;12,"CHECK TIMES (End is before Start?)","OK")))</f>
        <v/>
      </c>
    </row>
    <row r="846">
      <c r="B846" s="18" t="n"/>
      <c r="C846" s="17">
        <f>IF($B846="","",TEXT($B846,"ddd"))</f>
        <v/>
      </c>
      <c r="D846" s="46" t="n"/>
      <c r="E846" s="46"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IF(OR($B846="",$I846=""),"",IF(SUMPRODUCT((nrInstrNames&lt;&gt;"")*ISNUMBER(SEARCH(nrInstrNames,$I846)))&gt;0,"OK","UNRECOGNIZED"))</f>
        <v/>
      </c>
      <c r="O846" s="17">
        <f>IF(OR($B846="",$D846="",$E846=""),"",IF($E846=$D846,"CHECK TIMES (start = end)",IF($F846&gt;12,"CHECK TIMES (End is before Start?)","OK")))</f>
        <v/>
      </c>
    </row>
    <row r="847">
      <c r="B847" s="18" t="n"/>
      <c r="C847" s="17">
        <f>IF($B847="","",TEXT($B847,"ddd"))</f>
        <v/>
      </c>
      <c r="D847" s="46" t="n"/>
      <c r="E847" s="46"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IF(OR($B847="",$I847=""),"",IF(SUMPRODUCT((nrInstrNames&lt;&gt;"")*ISNUMBER(SEARCH(nrInstrNames,$I847)))&gt;0,"OK","UNRECOGNIZED"))</f>
        <v/>
      </c>
      <c r="O847" s="17">
        <f>IF(OR($B847="",$D847="",$E847=""),"",IF($E847=$D847,"CHECK TIMES (start = end)",IF($F847&gt;12,"CHECK TIMES (End is before Start?)","OK")))</f>
        <v/>
      </c>
    </row>
    <row r="848">
      <c r="B848" s="18" t="n"/>
      <c r="C848" s="17">
        <f>IF($B848="","",TEXT($B848,"ddd"))</f>
        <v/>
      </c>
      <c r="D848" s="46" t="n"/>
      <c r="E848" s="46"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IF(OR($B848="",$I848=""),"",IF(SUMPRODUCT((nrInstrNames&lt;&gt;"")*ISNUMBER(SEARCH(nrInstrNames,$I848)))&gt;0,"OK","UNRECOGNIZED"))</f>
        <v/>
      </c>
      <c r="O848" s="17">
        <f>IF(OR($B848="",$D848="",$E848=""),"",IF($E848=$D848,"CHECK TIMES (start = end)",IF($F848&gt;12,"CHECK TIMES (End is before Start?)","OK")))</f>
        <v/>
      </c>
    </row>
    <row r="849">
      <c r="B849" s="18" t="n"/>
      <c r="C849" s="17">
        <f>IF($B849="","",TEXT($B849,"ddd"))</f>
        <v/>
      </c>
      <c r="D849" s="46" t="n"/>
      <c r="E849" s="46"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IF(OR($B849="",$I849=""),"",IF(SUMPRODUCT((nrInstrNames&lt;&gt;"")*ISNUMBER(SEARCH(nrInstrNames,$I849)))&gt;0,"OK","UNRECOGNIZED"))</f>
        <v/>
      </c>
      <c r="O849" s="17">
        <f>IF(OR($B849="",$D849="",$E849=""),"",IF($E849=$D849,"CHECK TIMES (start = end)",IF($F849&gt;12,"CHECK TIMES (End is before Start?)","OK")))</f>
        <v/>
      </c>
    </row>
    <row r="850">
      <c r="B850" s="18" t="n"/>
      <c r="C850" s="17">
        <f>IF($B850="","",TEXT($B850,"ddd"))</f>
        <v/>
      </c>
      <c r="D850" s="46" t="n"/>
      <c r="E850" s="46"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IF(OR($B850="",$I850=""),"",IF(SUMPRODUCT((nrInstrNames&lt;&gt;"")*ISNUMBER(SEARCH(nrInstrNames,$I850)))&gt;0,"OK","UNRECOGNIZED"))</f>
        <v/>
      </c>
      <c r="O850" s="17">
        <f>IF(OR($B850="",$D850="",$E850=""),"",IF($E850=$D850,"CHECK TIMES (start = end)",IF($F850&gt;12,"CHECK TIMES (End is before Start?)","OK")))</f>
        <v/>
      </c>
    </row>
    <row r="851">
      <c r="B851" s="18" t="n"/>
      <c r="C851" s="17">
        <f>IF($B851="","",TEXT($B851,"ddd"))</f>
        <v/>
      </c>
      <c r="D851" s="46" t="n"/>
      <c r="E851" s="46"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IF(OR($B851="",$I851=""),"",IF(SUMPRODUCT((nrInstrNames&lt;&gt;"")*ISNUMBER(SEARCH(nrInstrNames,$I851)))&gt;0,"OK","UNRECOGNIZED"))</f>
        <v/>
      </c>
      <c r="O851" s="17">
        <f>IF(OR($B851="",$D851="",$E851=""),"",IF($E851=$D851,"CHECK TIMES (start = end)",IF($F851&gt;12,"CHECK TIMES (End is before Start?)","OK")))</f>
        <v/>
      </c>
    </row>
    <row r="852">
      <c r="B852" s="18" t="n"/>
      <c r="C852" s="17">
        <f>IF($B852="","",TEXT($B852,"ddd"))</f>
        <v/>
      </c>
      <c r="D852" s="46" t="n"/>
      <c r="E852" s="46"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IF(OR($B852="",$I852=""),"",IF(SUMPRODUCT((nrInstrNames&lt;&gt;"")*ISNUMBER(SEARCH(nrInstrNames,$I852)))&gt;0,"OK","UNRECOGNIZED"))</f>
        <v/>
      </c>
      <c r="O852" s="17">
        <f>IF(OR($B852="",$D852="",$E852=""),"",IF($E852=$D852,"CHECK TIMES (start = end)",IF($F852&gt;12,"CHECK TIMES (End is before Start?)","OK")))</f>
        <v/>
      </c>
    </row>
    <row r="853">
      <c r="B853" s="18" t="n"/>
      <c r="C853" s="17">
        <f>IF($B853="","",TEXT($B853,"ddd"))</f>
        <v/>
      </c>
      <c r="D853" s="46" t="n"/>
      <c r="E853" s="46"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IF(OR($B853="",$I853=""),"",IF(SUMPRODUCT((nrInstrNames&lt;&gt;"")*ISNUMBER(SEARCH(nrInstrNames,$I853)))&gt;0,"OK","UNRECOGNIZED"))</f>
        <v/>
      </c>
      <c r="O853" s="17">
        <f>IF(OR($B853="",$D853="",$E853=""),"",IF($E853=$D853,"CHECK TIMES (start = end)",IF($F853&gt;12,"CHECK TIMES (End is before Start?)","OK")))</f>
        <v/>
      </c>
    </row>
    <row r="854">
      <c r="B854" s="18" t="n"/>
      <c r="C854" s="17">
        <f>IF($B854="","",TEXT($B854,"ddd"))</f>
        <v/>
      </c>
      <c r="D854" s="46" t="n"/>
      <c r="E854" s="46"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IF(OR($B854="",$I854=""),"",IF(SUMPRODUCT((nrInstrNames&lt;&gt;"")*ISNUMBER(SEARCH(nrInstrNames,$I854)))&gt;0,"OK","UNRECOGNIZED"))</f>
        <v/>
      </c>
      <c r="O854" s="17">
        <f>IF(OR($B854="",$D854="",$E854=""),"",IF($E854=$D854,"CHECK TIMES (start = end)",IF($F854&gt;12,"CHECK TIMES (End is before Start?)","OK")))</f>
        <v/>
      </c>
    </row>
    <row r="855">
      <c r="B855" s="18" t="n"/>
      <c r="C855" s="17">
        <f>IF($B855="","",TEXT($B855,"ddd"))</f>
        <v/>
      </c>
      <c r="D855" s="46" t="n"/>
      <c r="E855" s="46"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IF(OR($B855="",$I855=""),"",IF(SUMPRODUCT((nrInstrNames&lt;&gt;"")*ISNUMBER(SEARCH(nrInstrNames,$I855)))&gt;0,"OK","UNRECOGNIZED"))</f>
        <v/>
      </c>
      <c r="O855" s="17">
        <f>IF(OR($B855="",$D855="",$E855=""),"",IF($E855=$D855,"CHECK TIMES (start = end)",IF($F855&gt;12,"CHECK TIMES (End is before Start?)","OK")))</f>
        <v/>
      </c>
    </row>
    <row r="856">
      <c r="B856" s="18" t="n"/>
      <c r="C856" s="17">
        <f>IF($B856="","",TEXT($B856,"ddd"))</f>
        <v/>
      </c>
      <c r="D856" s="46" t="n"/>
      <c r="E856" s="46"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IF(OR($B856="",$I856=""),"",IF(SUMPRODUCT((nrInstrNames&lt;&gt;"")*ISNUMBER(SEARCH(nrInstrNames,$I856)))&gt;0,"OK","UNRECOGNIZED"))</f>
        <v/>
      </c>
      <c r="O856" s="17">
        <f>IF(OR($B856="",$D856="",$E856=""),"",IF($E856=$D856,"CHECK TIMES (start = end)",IF($F856&gt;12,"CHECK TIMES (End is before Start?)","OK")))</f>
        <v/>
      </c>
    </row>
    <row r="857">
      <c r="B857" s="18" t="n"/>
      <c r="C857" s="17">
        <f>IF($B857="","",TEXT($B857,"ddd"))</f>
        <v/>
      </c>
      <c r="D857" s="46" t="n"/>
      <c r="E857" s="46"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IF(OR($B857="",$I857=""),"",IF(SUMPRODUCT((nrInstrNames&lt;&gt;"")*ISNUMBER(SEARCH(nrInstrNames,$I857)))&gt;0,"OK","UNRECOGNIZED"))</f>
        <v/>
      </c>
      <c r="O857" s="17">
        <f>IF(OR($B857="",$D857="",$E857=""),"",IF($E857=$D857,"CHECK TIMES (start = end)",IF($F857&gt;12,"CHECK TIMES (End is before Start?)","OK")))</f>
        <v/>
      </c>
    </row>
    <row r="858">
      <c r="B858" s="18" t="n"/>
      <c r="C858" s="17">
        <f>IF($B858="","",TEXT($B858,"ddd"))</f>
        <v/>
      </c>
      <c r="D858" s="46" t="n"/>
      <c r="E858" s="46"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IF(OR($B858="",$I858=""),"",IF(SUMPRODUCT((nrInstrNames&lt;&gt;"")*ISNUMBER(SEARCH(nrInstrNames,$I858)))&gt;0,"OK","UNRECOGNIZED"))</f>
        <v/>
      </c>
      <c r="O858" s="17">
        <f>IF(OR($B858="",$D858="",$E858=""),"",IF($E858=$D858,"CHECK TIMES (start = end)",IF($F858&gt;12,"CHECK TIMES (End is before Start?)","OK")))</f>
        <v/>
      </c>
    </row>
    <row r="859">
      <c r="B859" s="18" t="n"/>
      <c r="C859" s="17">
        <f>IF($B859="","",TEXT($B859,"ddd"))</f>
        <v/>
      </c>
      <c r="D859" s="46" t="n"/>
      <c r="E859" s="46"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IF(OR($B859="",$I859=""),"",IF(SUMPRODUCT((nrInstrNames&lt;&gt;"")*ISNUMBER(SEARCH(nrInstrNames,$I859)))&gt;0,"OK","UNRECOGNIZED"))</f>
        <v/>
      </c>
      <c r="O859" s="17">
        <f>IF(OR($B859="",$D859="",$E859=""),"",IF($E859=$D859,"CHECK TIMES (start = end)",IF($F859&gt;12,"CHECK TIMES (End is before Start?)","OK")))</f>
        <v/>
      </c>
    </row>
    <row r="860">
      <c r="B860" s="18" t="n"/>
      <c r="C860" s="17">
        <f>IF($B860="","",TEXT($B860,"ddd"))</f>
        <v/>
      </c>
      <c r="D860" s="46" t="n"/>
      <c r="E860" s="46"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IF(OR($B860="",$I860=""),"",IF(SUMPRODUCT((nrInstrNames&lt;&gt;"")*ISNUMBER(SEARCH(nrInstrNames,$I860)))&gt;0,"OK","UNRECOGNIZED"))</f>
        <v/>
      </c>
      <c r="O860" s="17">
        <f>IF(OR($B860="",$D860="",$E860=""),"",IF($E860=$D860,"CHECK TIMES (start = end)",IF($F860&gt;12,"CHECK TIMES (End is before Start?)","OK")))</f>
        <v/>
      </c>
    </row>
    <row r="861">
      <c r="B861" s="18" t="n"/>
      <c r="C861" s="17">
        <f>IF($B861="","",TEXT($B861,"ddd"))</f>
        <v/>
      </c>
      <c r="D861" s="46" t="n"/>
      <c r="E861" s="46"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IF(OR($B861="",$I861=""),"",IF(SUMPRODUCT((nrInstrNames&lt;&gt;"")*ISNUMBER(SEARCH(nrInstrNames,$I861)))&gt;0,"OK","UNRECOGNIZED"))</f>
        <v/>
      </c>
      <c r="O861" s="17">
        <f>IF(OR($B861="",$D861="",$E861=""),"",IF($E861=$D861,"CHECK TIMES (start = end)",IF($F861&gt;12,"CHECK TIMES (End is before Start?)","OK")))</f>
        <v/>
      </c>
    </row>
    <row r="862">
      <c r="B862" s="18" t="n"/>
      <c r="C862" s="17">
        <f>IF($B862="","",TEXT($B862,"ddd"))</f>
        <v/>
      </c>
      <c r="D862" s="46" t="n"/>
      <c r="E862" s="46"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IF(OR($B862="",$I862=""),"",IF(SUMPRODUCT((nrInstrNames&lt;&gt;"")*ISNUMBER(SEARCH(nrInstrNames,$I862)))&gt;0,"OK","UNRECOGNIZED"))</f>
        <v/>
      </c>
      <c r="O862" s="17">
        <f>IF(OR($B862="",$D862="",$E862=""),"",IF($E862=$D862,"CHECK TIMES (start = end)",IF($F862&gt;12,"CHECK TIMES (End is before Start?)","OK")))</f>
        <v/>
      </c>
    </row>
    <row r="863">
      <c r="B863" s="18" t="n"/>
      <c r="C863" s="17">
        <f>IF($B863="","",TEXT($B863,"ddd"))</f>
        <v/>
      </c>
      <c r="D863" s="46" t="n"/>
      <c r="E863" s="46"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IF(OR($B863="",$I863=""),"",IF(SUMPRODUCT((nrInstrNames&lt;&gt;"")*ISNUMBER(SEARCH(nrInstrNames,$I863)))&gt;0,"OK","UNRECOGNIZED"))</f>
        <v/>
      </c>
      <c r="O863" s="17">
        <f>IF(OR($B863="",$D863="",$E863=""),"",IF($E863=$D863,"CHECK TIMES (start = end)",IF($F863&gt;12,"CHECK TIMES (End is before Start?)","OK")))</f>
        <v/>
      </c>
    </row>
    <row r="864">
      <c r="B864" s="18" t="n"/>
      <c r="C864" s="17">
        <f>IF($B864="","",TEXT($B864,"ddd"))</f>
        <v/>
      </c>
      <c r="D864" s="46" t="n"/>
      <c r="E864" s="46"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IF(OR($B864="",$I864=""),"",IF(SUMPRODUCT((nrInstrNames&lt;&gt;"")*ISNUMBER(SEARCH(nrInstrNames,$I864)))&gt;0,"OK","UNRECOGNIZED"))</f>
        <v/>
      </c>
      <c r="O864" s="17">
        <f>IF(OR($B864="",$D864="",$E864=""),"",IF($E864=$D864,"CHECK TIMES (start = end)",IF($F864&gt;12,"CHECK TIMES (End is before Start?)","OK")))</f>
        <v/>
      </c>
    </row>
    <row r="865">
      <c r="B865" s="18" t="n"/>
      <c r="C865" s="17">
        <f>IF($B865="","",TEXT($B865,"ddd"))</f>
        <v/>
      </c>
      <c r="D865" s="46" t="n"/>
      <c r="E865" s="46"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IF(OR($B865="",$I865=""),"",IF(SUMPRODUCT((nrInstrNames&lt;&gt;"")*ISNUMBER(SEARCH(nrInstrNames,$I865)))&gt;0,"OK","UNRECOGNIZED"))</f>
        <v/>
      </c>
      <c r="O865" s="17">
        <f>IF(OR($B865="",$D865="",$E865=""),"",IF($E865=$D865,"CHECK TIMES (start = end)",IF($F865&gt;12,"CHECK TIMES (End is before Start?)","OK")))</f>
        <v/>
      </c>
    </row>
    <row r="866">
      <c r="B866" s="18" t="n"/>
      <c r="C866" s="17">
        <f>IF($B866="","",TEXT($B866,"ddd"))</f>
        <v/>
      </c>
      <c r="D866" s="46" t="n"/>
      <c r="E866" s="46"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IF(OR($B866="",$I866=""),"",IF(SUMPRODUCT((nrInstrNames&lt;&gt;"")*ISNUMBER(SEARCH(nrInstrNames,$I866)))&gt;0,"OK","UNRECOGNIZED"))</f>
        <v/>
      </c>
      <c r="O866" s="17">
        <f>IF(OR($B866="",$D866="",$E866=""),"",IF($E866=$D866,"CHECK TIMES (start = end)",IF($F866&gt;12,"CHECK TIMES (End is before Start?)","OK")))</f>
        <v/>
      </c>
    </row>
    <row r="867">
      <c r="B867" s="18" t="n"/>
      <c r="C867" s="17">
        <f>IF($B867="","",TEXT($B867,"ddd"))</f>
        <v/>
      </c>
      <c r="D867" s="46" t="n"/>
      <c r="E867" s="46"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IF(OR($B867="",$I867=""),"",IF(SUMPRODUCT((nrInstrNames&lt;&gt;"")*ISNUMBER(SEARCH(nrInstrNames,$I867)))&gt;0,"OK","UNRECOGNIZED"))</f>
        <v/>
      </c>
      <c r="O867" s="17">
        <f>IF(OR($B867="",$D867="",$E867=""),"",IF($E867=$D867,"CHECK TIMES (start = end)",IF($F867&gt;12,"CHECK TIMES (End is before Start?)","OK")))</f>
        <v/>
      </c>
    </row>
    <row r="868">
      <c r="B868" s="18" t="n"/>
      <c r="C868" s="17">
        <f>IF($B868="","",TEXT($B868,"ddd"))</f>
        <v/>
      </c>
      <c r="D868" s="46" t="n"/>
      <c r="E868" s="46"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IF(OR($B868="",$I868=""),"",IF(SUMPRODUCT((nrInstrNames&lt;&gt;"")*ISNUMBER(SEARCH(nrInstrNames,$I868)))&gt;0,"OK","UNRECOGNIZED"))</f>
        <v/>
      </c>
      <c r="O868" s="17">
        <f>IF(OR($B868="",$D868="",$E868=""),"",IF($E868=$D868,"CHECK TIMES (start = end)",IF($F868&gt;12,"CHECK TIMES (End is before Start?)","OK")))</f>
        <v/>
      </c>
    </row>
    <row r="869">
      <c r="B869" s="18" t="n"/>
      <c r="C869" s="17">
        <f>IF($B869="","",TEXT($B869,"ddd"))</f>
        <v/>
      </c>
      <c r="D869" s="46" t="n"/>
      <c r="E869" s="46"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IF(OR($B869="",$I869=""),"",IF(SUMPRODUCT((nrInstrNames&lt;&gt;"")*ISNUMBER(SEARCH(nrInstrNames,$I869)))&gt;0,"OK","UNRECOGNIZED"))</f>
        <v/>
      </c>
      <c r="O869" s="17">
        <f>IF(OR($B869="",$D869="",$E869=""),"",IF($E869=$D869,"CHECK TIMES (start = end)",IF($F869&gt;12,"CHECK TIMES (End is before Start?)","OK")))</f>
        <v/>
      </c>
    </row>
    <row r="870">
      <c r="B870" s="18" t="n"/>
      <c r="C870" s="17">
        <f>IF($B870="","",TEXT($B870,"ddd"))</f>
        <v/>
      </c>
      <c r="D870" s="46" t="n"/>
      <c r="E870" s="46"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IF(OR($B870="",$I870=""),"",IF(SUMPRODUCT((nrInstrNames&lt;&gt;"")*ISNUMBER(SEARCH(nrInstrNames,$I870)))&gt;0,"OK","UNRECOGNIZED"))</f>
        <v/>
      </c>
      <c r="O870" s="17">
        <f>IF(OR($B870="",$D870="",$E870=""),"",IF($E870=$D870,"CHECK TIMES (start = end)",IF($F870&gt;12,"CHECK TIMES (End is before Start?)","OK")))</f>
        <v/>
      </c>
    </row>
    <row r="871">
      <c r="B871" s="18" t="n"/>
      <c r="C871" s="17">
        <f>IF($B871="","",TEXT($B871,"ddd"))</f>
        <v/>
      </c>
      <c r="D871" s="46" t="n"/>
      <c r="E871" s="46"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IF(OR($B871="",$I871=""),"",IF(SUMPRODUCT((nrInstrNames&lt;&gt;"")*ISNUMBER(SEARCH(nrInstrNames,$I871)))&gt;0,"OK","UNRECOGNIZED"))</f>
        <v/>
      </c>
      <c r="O871" s="17">
        <f>IF(OR($B871="",$D871="",$E871=""),"",IF($E871=$D871,"CHECK TIMES (start = end)",IF($F871&gt;12,"CHECK TIMES (End is before Start?)","OK")))</f>
        <v/>
      </c>
    </row>
    <row r="872">
      <c r="B872" s="18" t="n"/>
      <c r="C872" s="17">
        <f>IF($B872="","",TEXT($B872,"ddd"))</f>
        <v/>
      </c>
      <c r="D872" s="46" t="n"/>
      <c r="E872" s="46"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IF(OR($B872="",$I872=""),"",IF(SUMPRODUCT((nrInstrNames&lt;&gt;"")*ISNUMBER(SEARCH(nrInstrNames,$I872)))&gt;0,"OK","UNRECOGNIZED"))</f>
        <v/>
      </c>
      <c r="O872" s="17">
        <f>IF(OR($B872="",$D872="",$E872=""),"",IF($E872=$D872,"CHECK TIMES (start = end)",IF($F872&gt;12,"CHECK TIMES (End is before Start?)","OK")))</f>
        <v/>
      </c>
    </row>
    <row r="873">
      <c r="B873" s="18" t="n"/>
      <c r="C873" s="17">
        <f>IF($B873="","",TEXT($B873,"ddd"))</f>
        <v/>
      </c>
      <c r="D873" s="46" t="n"/>
      <c r="E873" s="46"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IF(OR($B873="",$I873=""),"",IF(SUMPRODUCT((nrInstrNames&lt;&gt;"")*ISNUMBER(SEARCH(nrInstrNames,$I873)))&gt;0,"OK","UNRECOGNIZED"))</f>
        <v/>
      </c>
      <c r="O873" s="17">
        <f>IF(OR($B873="",$D873="",$E873=""),"",IF($E873=$D873,"CHECK TIMES (start = end)",IF($F873&gt;12,"CHECK TIMES (End is before Start?)","OK")))</f>
        <v/>
      </c>
    </row>
    <row r="874">
      <c r="B874" s="18" t="n"/>
      <c r="C874" s="17">
        <f>IF($B874="","",TEXT($B874,"ddd"))</f>
        <v/>
      </c>
      <c r="D874" s="46" t="n"/>
      <c r="E874" s="46"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IF(OR($B874="",$I874=""),"",IF(SUMPRODUCT((nrInstrNames&lt;&gt;"")*ISNUMBER(SEARCH(nrInstrNames,$I874)))&gt;0,"OK","UNRECOGNIZED"))</f>
        <v/>
      </c>
      <c r="O874" s="17">
        <f>IF(OR($B874="",$D874="",$E874=""),"",IF($E874=$D874,"CHECK TIMES (start = end)",IF($F874&gt;12,"CHECK TIMES (End is before Start?)","OK")))</f>
        <v/>
      </c>
    </row>
    <row r="875">
      <c r="B875" s="18" t="n"/>
      <c r="C875" s="17">
        <f>IF($B875="","",TEXT($B875,"ddd"))</f>
        <v/>
      </c>
      <c r="D875" s="46" t="n"/>
      <c r="E875" s="46"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IF(OR($B875="",$I875=""),"",IF(SUMPRODUCT((nrInstrNames&lt;&gt;"")*ISNUMBER(SEARCH(nrInstrNames,$I875)))&gt;0,"OK","UNRECOGNIZED"))</f>
        <v/>
      </c>
      <c r="O875" s="17">
        <f>IF(OR($B875="",$D875="",$E875=""),"",IF($E875=$D875,"CHECK TIMES (start = end)",IF($F875&gt;12,"CHECK TIMES (End is before Start?)","OK")))</f>
        <v/>
      </c>
    </row>
    <row r="876">
      <c r="B876" s="18" t="n"/>
      <c r="C876" s="17">
        <f>IF($B876="","",TEXT($B876,"ddd"))</f>
        <v/>
      </c>
      <c r="D876" s="46" t="n"/>
      <c r="E876" s="46"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IF(OR($B876="",$I876=""),"",IF(SUMPRODUCT((nrInstrNames&lt;&gt;"")*ISNUMBER(SEARCH(nrInstrNames,$I876)))&gt;0,"OK","UNRECOGNIZED"))</f>
        <v/>
      </c>
      <c r="O876" s="17">
        <f>IF(OR($B876="",$D876="",$E876=""),"",IF($E876=$D876,"CHECK TIMES (start = end)",IF($F876&gt;12,"CHECK TIMES (End is before Start?)","OK")))</f>
        <v/>
      </c>
    </row>
    <row r="877">
      <c r="B877" s="18" t="n"/>
      <c r="C877" s="17">
        <f>IF($B877="","",TEXT($B877,"ddd"))</f>
        <v/>
      </c>
      <c r="D877" s="46" t="n"/>
      <c r="E877" s="46"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IF(OR($B877="",$I877=""),"",IF(SUMPRODUCT((nrInstrNames&lt;&gt;"")*ISNUMBER(SEARCH(nrInstrNames,$I877)))&gt;0,"OK","UNRECOGNIZED"))</f>
        <v/>
      </c>
      <c r="O877" s="17">
        <f>IF(OR($B877="",$D877="",$E877=""),"",IF($E877=$D877,"CHECK TIMES (start = end)",IF($F877&gt;12,"CHECK TIMES (End is before Start?)","OK")))</f>
        <v/>
      </c>
    </row>
    <row r="878">
      <c r="B878" s="18" t="n"/>
      <c r="C878" s="17">
        <f>IF($B878="","",TEXT($B878,"ddd"))</f>
        <v/>
      </c>
      <c r="D878" s="46" t="n"/>
      <c r="E878" s="46"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IF(OR($B878="",$I878=""),"",IF(SUMPRODUCT((nrInstrNames&lt;&gt;"")*ISNUMBER(SEARCH(nrInstrNames,$I878)))&gt;0,"OK","UNRECOGNIZED"))</f>
        <v/>
      </c>
      <c r="O878" s="17">
        <f>IF(OR($B878="",$D878="",$E878=""),"",IF($E878=$D878,"CHECK TIMES (start = end)",IF($F878&gt;12,"CHECK TIMES (End is before Start?)","OK")))</f>
        <v/>
      </c>
    </row>
    <row r="879">
      <c r="B879" s="18" t="n"/>
      <c r="C879" s="17">
        <f>IF($B879="","",TEXT($B879,"ddd"))</f>
        <v/>
      </c>
      <c r="D879" s="46" t="n"/>
      <c r="E879" s="46"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IF(OR($B879="",$I879=""),"",IF(SUMPRODUCT((nrInstrNames&lt;&gt;"")*ISNUMBER(SEARCH(nrInstrNames,$I879)))&gt;0,"OK","UNRECOGNIZED"))</f>
        <v/>
      </c>
      <c r="O879" s="17">
        <f>IF(OR($B879="",$D879="",$E879=""),"",IF($E879=$D879,"CHECK TIMES (start = end)",IF($F879&gt;12,"CHECK TIMES (End is before Start?)","OK")))</f>
        <v/>
      </c>
    </row>
    <row r="880">
      <c r="B880" s="18" t="n"/>
      <c r="C880" s="17">
        <f>IF($B880="","",TEXT($B880,"ddd"))</f>
        <v/>
      </c>
      <c r="D880" s="46" t="n"/>
      <c r="E880" s="46"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IF(OR($B880="",$I880=""),"",IF(SUMPRODUCT((nrInstrNames&lt;&gt;"")*ISNUMBER(SEARCH(nrInstrNames,$I880)))&gt;0,"OK","UNRECOGNIZED"))</f>
        <v/>
      </c>
      <c r="O880" s="17">
        <f>IF(OR($B880="",$D880="",$E880=""),"",IF($E880=$D880,"CHECK TIMES (start = end)",IF($F880&gt;12,"CHECK TIMES (End is before Start?)","OK")))</f>
        <v/>
      </c>
    </row>
    <row r="881">
      <c r="B881" s="18" t="n"/>
      <c r="C881" s="17">
        <f>IF($B881="","",TEXT($B881,"ddd"))</f>
        <v/>
      </c>
      <c r="D881" s="46" t="n"/>
      <c r="E881" s="46"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IF(OR($B881="",$I881=""),"",IF(SUMPRODUCT((nrInstrNames&lt;&gt;"")*ISNUMBER(SEARCH(nrInstrNames,$I881)))&gt;0,"OK","UNRECOGNIZED"))</f>
        <v/>
      </c>
      <c r="O881" s="17">
        <f>IF(OR($B881="",$D881="",$E881=""),"",IF($E881=$D881,"CHECK TIMES (start = end)",IF($F881&gt;12,"CHECK TIMES (End is before Start?)","OK")))</f>
        <v/>
      </c>
    </row>
    <row r="882">
      <c r="B882" s="18" t="n"/>
      <c r="C882" s="17">
        <f>IF($B882="","",TEXT($B882,"ddd"))</f>
        <v/>
      </c>
      <c r="D882" s="46" t="n"/>
      <c r="E882" s="46"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IF(OR($B882="",$I882=""),"",IF(SUMPRODUCT((nrInstrNames&lt;&gt;"")*ISNUMBER(SEARCH(nrInstrNames,$I882)))&gt;0,"OK","UNRECOGNIZED"))</f>
        <v/>
      </c>
      <c r="O882" s="17">
        <f>IF(OR($B882="",$D882="",$E882=""),"",IF($E882=$D882,"CHECK TIMES (start = end)",IF($F882&gt;12,"CHECK TIMES (End is before Start?)","OK")))</f>
        <v/>
      </c>
    </row>
    <row r="883">
      <c r="B883" s="18" t="n"/>
      <c r="C883" s="17">
        <f>IF($B883="","",TEXT($B883,"ddd"))</f>
        <v/>
      </c>
      <c r="D883" s="46" t="n"/>
      <c r="E883" s="46"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IF(OR($B883="",$I883=""),"",IF(SUMPRODUCT((nrInstrNames&lt;&gt;"")*ISNUMBER(SEARCH(nrInstrNames,$I883)))&gt;0,"OK","UNRECOGNIZED"))</f>
        <v/>
      </c>
      <c r="O883" s="17">
        <f>IF(OR($B883="",$D883="",$E883=""),"",IF($E883=$D883,"CHECK TIMES (start = end)",IF($F883&gt;12,"CHECK TIMES (End is before Start?)","OK")))</f>
        <v/>
      </c>
    </row>
    <row r="884">
      <c r="B884" s="18" t="n"/>
      <c r="C884" s="17">
        <f>IF($B884="","",TEXT($B884,"ddd"))</f>
        <v/>
      </c>
      <c r="D884" s="46" t="n"/>
      <c r="E884" s="46"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IF(OR($B884="",$I884=""),"",IF(SUMPRODUCT((nrInstrNames&lt;&gt;"")*ISNUMBER(SEARCH(nrInstrNames,$I884)))&gt;0,"OK","UNRECOGNIZED"))</f>
        <v/>
      </c>
      <c r="O884" s="17">
        <f>IF(OR($B884="",$D884="",$E884=""),"",IF($E884=$D884,"CHECK TIMES (start = end)",IF($F884&gt;12,"CHECK TIMES (End is before Start?)","OK")))</f>
        <v/>
      </c>
    </row>
    <row r="885">
      <c r="B885" s="18" t="n"/>
      <c r="C885" s="17">
        <f>IF($B885="","",TEXT($B885,"ddd"))</f>
        <v/>
      </c>
      <c r="D885" s="46" t="n"/>
      <c r="E885" s="46"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IF(OR($B885="",$I885=""),"",IF(SUMPRODUCT((nrInstrNames&lt;&gt;"")*ISNUMBER(SEARCH(nrInstrNames,$I885)))&gt;0,"OK","UNRECOGNIZED"))</f>
        <v/>
      </c>
      <c r="O885" s="17">
        <f>IF(OR($B885="",$D885="",$E885=""),"",IF($E885=$D885,"CHECK TIMES (start = end)",IF($F885&gt;12,"CHECK TIMES (End is before Start?)","OK")))</f>
        <v/>
      </c>
    </row>
    <row r="886">
      <c r="B886" s="18" t="n"/>
      <c r="C886" s="17">
        <f>IF($B886="","",TEXT($B886,"ddd"))</f>
        <v/>
      </c>
      <c r="D886" s="46" t="n"/>
      <c r="E886" s="46"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IF(OR($B886="",$I886=""),"",IF(SUMPRODUCT((nrInstrNames&lt;&gt;"")*ISNUMBER(SEARCH(nrInstrNames,$I886)))&gt;0,"OK","UNRECOGNIZED"))</f>
        <v/>
      </c>
      <c r="O886" s="17">
        <f>IF(OR($B886="",$D886="",$E886=""),"",IF($E886=$D886,"CHECK TIMES (start = end)",IF($F886&gt;12,"CHECK TIMES (End is before Start?)","OK")))</f>
        <v/>
      </c>
    </row>
    <row r="887">
      <c r="B887" s="18" t="n"/>
      <c r="C887" s="17">
        <f>IF($B887="","",TEXT($B887,"ddd"))</f>
        <v/>
      </c>
      <c r="D887" s="46" t="n"/>
      <c r="E887" s="46"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IF(OR($B887="",$I887=""),"",IF(SUMPRODUCT((nrInstrNames&lt;&gt;"")*ISNUMBER(SEARCH(nrInstrNames,$I887)))&gt;0,"OK","UNRECOGNIZED"))</f>
        <v/>
      </c>
      <c r="O887" s="17">
        <f>IF(OR($B887="",$D887="",$E887=""),"",IF($E887=$D887,"CHECK TIMES (start = end)",IF($F887&gt;12,"CHECK TIMES (End is before Start?)","OK")))</f>
        <v/>
      </c>
    </row>
    <row r="888">
      <c r="B888" s="18" t="n"/>
      <c r="C888" s="17">
        <f>IF($B888="","",TEXT($B888,"ddd"))</f>
        <v/>
      </c>
      <c r="D888" s="46" t="n"/>
      <c r="E888" s="46"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IF(OR($B888="",$I888=""),"",IF(SUMPRODUCT((nrInstrNames&lt;&gt;"")*ISNUMBER(SEARCH(nrInstrNames,$I888)))&gt;0,"OK","UNRECOGNIZED"))</f>
        <v/>
      </c>
      <c r="O888" s="17">
        <f>IF(OR($B888="",$D888="",$E888=""),"",IF($E888=$D888,"CHECK TIMES (start = end)",IF($F888&gt;12,"CHECK TIMES (End is before Start?)","OK")))</f>
        <v/>
      </c>
    </row>
    <row r="889">
      <c r="B889" s="18" t="n"/>
      <c r="C889" s="17">
        <f>IF($B889="","",TEXT($B889,"ddd"))</f>
        <v/>
      </c>
      <c r="D889" s="46" t="n"/>
      <c r="E889" s="46"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IF(OR($B889="",$I889=""),"",IF(SUMPRODUCT((nrInstrNames&lt;&gt;"")*ISNUMBER(SEARCH(nrInstrNames,$I889)))&gt;0,"OK","UNRECOGNIZED"))</f>
        <v/>
      </c>
      <c r="O889" s="17">
        <f>IF(OR($B889="",$D889="",$E889=""),"",IF($E889=$D889,"CHECK TIMES (start = end)",IF($F889&gt;12,"CHECK TIMES (End is before Start?)","OK")))</f>
        <v/>
      </c>
    </row>
    <row r="890">
      <c r="B890" s="18" t="n"/>
      <c r="C890" s="17">
        <f>IF($B890="","",TEXT($B890,"ddd"))</f>
        <v/>
      </c>
      <c r="D890" s="46" t="n"/>
      <c r="E890" s="46"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IF(OR($B890="",$I890=""),"",IF(SUMPRODUCT((nrInstrNames&lt;&gt;"")*ISNUMBER(SEARCH(nrInstrNames,$I890)))&gt;0,"OK","UNRECOGNIZED"))</f>
        <v/>
      </c>
      <c r="O890" s="17">
        <f>IF(OR($B890="",$D890="",$E890=""),"",IF($E890=$D890,"CHECK TIMES (start = end)",IF($F890&gt;12,"CHECK TIMES (End is before Start?)","OK")))</f>
        <v/>
      </c>
    </row>
    <row r="891">
      <c r="B891" s="18" t="n"/>
      <c r="C891" s="17">
        <f>IF($B891="","",TEXT($B891,"ddd"))</f>
        <v/>
      </c>
      <c r="D891" s="46" t="n"/>
      <c r="E891" s="46"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IF(OR($B891="",$I891=""),"",IF(SUMPRODUCT((nrInstrNames&lt;&gt;"")*ISNUMBER(SEARCH(nrInstrNames,$I891)))&gt;0,"OK","UNRECOGNIZED"))</f>
        <v/>
      </c>
      <c r="O891" s="17">
        <f>IF(OR($B891="",$D891="",$E891=""),"",IF($E891=$D891,"CHECK TIMES (start = end)",IF($F891&gt;12,"CHECK TIMES (End is before Start?)","OK")))</f>
        <v/>
      </c>
    </row>
    <row r="892">
      <c r="B892" s="18" t="n"/>
      <c r="C892" s="17">
        <f>IF($B892="","",TEXT($B892,"ddd"))</f>
        <v/>
      </c>
      <c r="D892" s="46" t="n"/>
      <c r="E892" s="46"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IF(OR($B892="",$I892=""),"",IF(SUMPRODUCT((nrInstrNames&lt;&gt;"")*ISNUMBER(SEARCH(nrInstrNames,$I892)))&gt;0,"OK","UNRECOGNIZED"))</f>
        <v/>
      </c>
      <c r="O892" s="17">
        <f>IF(OR($B892="",$D892="",$E892=""),"",IF($E892=$D892,"CHECK TIMES (start = end)",IF($F892&gt;12,"CHECK TIMES (End is before Start?)","OK")))</f>
        <v/>
      </c>
    </row>
    <row r="893">
      <c r="B893" s="18" t="n"/>
      <c r="C893" s="17">
        <f>IF($B893="","",TEXT($B893,"ddd"))</f>
        <v/>
      </c>
      <c r="D893" s="46" t="n"/>
      <c r="E893" s="46"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IF(OR($B893="",$I893=""),"",IF(SUMPRODUCT((nrInstrNames&lt;&gt;"")*ISNUMBER(SEARCH(nrInstrNames,$I893)))&gt;0,"OK","UNRECOGNIZED"))</f>
        <v/>
      </c>
      <c r="O893" s="17">
        <f>IF(OR($B893="",$D893="",$E893=""),"",IF($E893=$D893,"CHECK TIMES (start = end)",IF($F893&gt;12,"CHECK TIMES (End is before Start?)","OK")))</f>
        <v/>
      </c>
    </row>
    <row r="894">
      <c r="B894" s="18" t="n"/>
      <c r="C894" s="17">
        <f>IF($B894="","",TEXT($B894,"ddd"))</f>
        <v/>
      </c>
      <c r="D894" s="46" t="n"/>
      <c r="E894" s="46"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IF(OR($B894="",$I894=""),"",IF(SUMPRODUCT((nrInstrNames&lt;&gt;"")*ISNUMBER(SEARCH(nrInstrNames,$I894)))&gt;0,"OK","UNRECOGNIZED"))</f>
        <v/>
      </c>
      <c r="O894" s="17">
        <f>IF(OR($B894="",$D894="",$E894=""),"",IF($E894=$D894,"CHECK TIMES (start = end)",IF($F894&gt;12,"CHECK TIMES (End is before Start?)","OK")))</f>
        <v/>
      </c>
    </row>
    <row r="895">
      <c r="B895" s="18" t="n"/>
      <c r="C895" s="17">
        <f>IF($B895="","",TEXT($B895,"ddd"))</f>
        <v/>
      </c>
      <c r="D895" s="46" t="n"/>
      <c r="E895" s="46"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IF(OR($B895="",$I895=""),"",IF(SUMPRODUCT((nrInstrNames&lt;&gt;"")*ISNUMBER(SEARCH(nrInstrNames,$I895)))&gt;0,"OK","UNRECOGNIZED"))</f>
        <v/>
      </c>
      <c r="O895" s="17">
        <f>IF(OR($B895="",$D895="",$E895=""),"",IF($E895=$D895,"CHECK TIMES (start = end)",IF($F895&gt;12,"CHECK TIMES (End is before Start?)","OK")))</f>
        <v/>
      </c>
    </row>
    <row r="896">
      <c r="B896" s="18" t="n"/>
      <c r="C896" s="17">
        <f>IF($B896="","",TEXT($B896,"ddd"))</f>
        <v/>
      </c>
      <c r="D896" s="46" t="n"/>
      <c r="E896" s="46"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IF(OR($B896="",$I896=""),"",IF(SUMPRODUCT((nrInstrNames&lt;&gt;"")*ISNUMBER(SEARCH(nrInstrNames,$I896)))&gt;0,"OK","UNRECOGNIZED"))</f>
        <v/>
      </c>
      <c r="O896" s="17">
        <f>IF(OR($B896="",$D896="",$E896=""),"",IF($E896=$D896,"CHECK TIMES (start = end)",IF($F896&gt;12,"CHECK TIMES (End is before Start?)","OK")))</f>
        <v/>
      </c>
    </row>
    <row r="897">
      <c r="B897" s="18" t="n"/>
      <c r="C897" s="17">
        <f>IF($B897="","",TEXT($B897,"ddd"))</f>
        <v/>
      </c>
      <c r="D897" s="46" t="n"/>
      <c r="E897" s="46"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IF(OR($B897="",$I897=""),"",IF(SUMPRODUCT((nrInstrNames&lt;&gt;"")*ISNUMBER(SEARCH(nrInstrNames,$I897)))&gt;0,"OK","UNRECOGNIZED"))</f>
        <v/>
      </c>
      <c r="O897" s="17">
        <f>IF(OR($B897="",$D897="",$E897=""),"",IF($E897=$D897,"CHECK TIMES (start = end)",IF($F897&gt;12,"CHECK TIMES (End is before Start?)","OK")))</f>
        <v/>
      </c>
    </row>
    <row r="898">
      <c r="B898" s="18" t="n"/>
      <c r="C898" s="17">
        <f>IF($B898="","",TEXT($B898,"ddd"))</f>
        <v/>
      </c>
      <c r="D898" s="46" t="n"/>
      <c r="E898" s="46"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IF(OR($B898="",$I898=""),"",IF(SUMPRODUCT((nrInstrNames&lt;&gt;"")*ISNUMBER(SEARCH(nrInstrNames,$I898)))&gt;0,"OK","UNRECOGNIZED"))</f>
        <v/>
      </c>
      <c r="O898" s="17">
        <f>IF(OR($B898="",$D898="",$E898=""),"",IF($E898=$D898,"CHECK TIMES (start = end)",IF($F898&gt;12,"CHECK TIMES (End is before Start?)","OK")))</f>
        <v/>
      </c>
    </row>
    <row r="899">
      <c r="B899" s="18" t="n"/>
      <c r="C899" s="17">
        <f>IF($B899="","",TEXT($B899,"ddd"))</f>
        <v/>
      </c>
      <c r="D899" s="46" t="n"/>
      <c r="E899" s="46"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IF(OR($B899="",$I899=""),"",IF(SUMPRODUCT((nrInstrNames&lt;&gt;"")*ISNUMBER(SEARCH(nrInstrNames,$I899)))&gt;0,"OK","UNRECOGNIZED"))</f>
        <v/>
      </c>
      <c r="O899" s="17">
        <f>IF(OR($B899="",$D899="",$E899=""),"",IF($E899=$D899,"CHECK TIMES (start = end)",IF($F899&gt;12,"CHECK TIMES (End is before Start?)","OK")))</f>
        <v/>
      </c>
    </row>
    <row r="900">
      <c r="B900" s="18" t="n"/>
      <c r="C900" s="17">
        <f>IF($B900="","",TEXT($B900,"ddd"))</f>
        <v/>
      </c>
      <c r="D900" s="46" t="n"/>
      <c r="E900" s="46"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IF(OR($B900="",$I900=""),"",IF(SUMPRODUCT((nrInstrNames&lt;&gt;"")*ISNUMBER(SEARCH(nrInstrNames,$I900)))&gt;0,"OK","UNRECOGNIZED"))</f>
        <v/>
      </c>
      <c r="O900" s="17">
        <f>IF(OR($B900="",$D900="",$E900=""),"",IF($E900=$D900,"CHECK TIMES (start = end)",IF($F900&gt;12,"CHECK TIMES (End is before Start?)","OK")))</f>
        <v/>
      </c>
    </row>
    <row r="901">
      <c r="B901" s="18" t="n"/>
      <c r="C901" s="17">
        <f>IF($B901="","",TEXT($B901,"ddd"))</f>
        <v/>
      </c>
      <c r="D901" s="46" t="n"/>
      <c r="E901" s="46"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IF(OR($B901="",$I901=""),"",IF(SUMPRODUCT((nrInstrNames&lt;&gt;"")*ISNUMBER(SEARCH(nrInstrNames,$I901)))&gt;0,"OK","UNRECOGNIZED"))</f>
        <v/>
      </c>
      <c r="O901" s="17">
        <f>IF(OR($B901="",$D901="",$E901=""),"",IF($E901=$D901,"CHECK TIMES (start = end)",IF($F901&gt;12,"CHECK TIMES (End is before Start?)","OK")))</f>
        <v/>
      </c>
    </row>
    <row r="902">
      <c r="B902" s="18" t="n"/>
      <c r="C902" s="17">
        <f>IF($B902="","",TEXT($B902,"ddd"))</f>
        <v/>
      </c>
      <c r="D902" s="46" t="n"/>
      <c r="E902" s="46"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IF(OR($B902="",$I902=""),"",IF(SUMPRODUCT((nrInstrNames&lt;&gt;"")*ISNUMBER(SEARCH(nrInstrNames,$I902)))&gt;0,"OK","UNRECOGNIZED"))</f>
        <v/>
      </c>
      <c r="O902" s="17">
        <f>IF(OR($B902="",$D902="",$E902=""),"",IF($E902=$D902,"CHECK TIMES (start = end)",IF($F902&gt;12,"CHECK TIMES (End is before Start?)","OK")))</f>
        <v/>
      </c>
    </row>
    <row r="903">
      <c r="B903" s="18" t="n"/>
      <c r="C903" s="17">
        <f>IF($B903="","",TEXT($B903,"ddd"))</f>
        <v/>
      </c>
      <c r="D903" s="46" t="n"/>
      <c r="E903" s="46"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IF(OR($B903="",$I903=""),"",IF(SUMPRODUCT((nrInstrNames&lt;&gt;"")*ISNUMBER(SEARCH(nrInstrNames,$I903)))&gt;0,"OK","UNRECOGNIZED"))</f>
        <v/>
      </c>
      <c r="O903" s="17">
        <f>IF(OR($B903="",$D903="",$E903=""),"",IF($E903=$D903,"CHECK TIMES (start = end)",IF($F903&gt;12,"CHECK TIMES (End is before Start?)","OK")))</f>
        <v/>
      </c>
    </row>
    <row r="904">
      <c r="B904" s="18" t="n"/>
      <c r="C904" s="17">
        <f>IF($B904="","",TEXT($B904,"ddd"))</f>
        <v/>
      </c>
      <c r="D904" s="46" t="n"/>
      <c r="E904" s="46"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IF(OR($B904="",$I904=""),"",IF(SUMPRODUCT((nrInstrNames&lt;&gt;"")*ISNUMBER(SEARCH(nrInstrNames,$I904)))&gt;0,"OK","UNRECOGNIZED"))</f>
        <v/>
      </c>
      <c r="O904" s="17">
        <f>IF(OR($B904="",$D904="",$E904=""),"",IF($E904=$D904,"CHECK TIMES (start = end)",IF($F904&gt;12,"CHECK TIMES (End is before Start?)","OK")))</f>
        <v/>
      </c>
    </row>
    <row r="905">
      <c r="B905" s="18" t="n"/>
      <c r="C905" s="17">
        <f>IF($B905="","",TEXT($B905,"ddd"))</f>
        <v/>
      </c>
      <c r="D905" s="46" t="n"/>
      <c r="E905" s="46"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IF(OR($B905="",$I905=""),"",IF(SUMPRODUCT((nrInstrNames&lt;&gt;"")*ISNUMBER(SEARCH(nrInstrNames,$I905)))&gt;0,"OK","UNRECOGNIZED"))</f>
        <v/>
      </c>
      <c r="O905" s="17">
        <f>IF(OR($B905="",$D905="",$E905=""),"",IF($E905=$D905,"CHECK TIMES (start = end)",IF($F905&gt;12,"CHECK TIMES (End is before Start?)","OK")))</f>
        <v/>
      </c>
    </row>
  </sheetData>
  <autoFilter ref="B5:O5"/>
  <conditionalFormatting sqref="N6:N905">
    <cfRule type="expression" priority="1" dxfId="0">
      <formula>$N6="UNRECOGNIZED"</formula>
    </cfRule>
  </conditionalFormatting>
  <conditionalFormatting sqref="O6:O905">
    <cfRule type="expression" priority="2"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1.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f>
        <v/>
      </c>
      <c r="F6" s="17">
        <f>IF($B6="","",COUNTIFS(nrES_PID,$B6,nrES_Type,"Minor",nrES_Final,"Yes",nrES_Rec,"&gt;=0"))</f>
        <v/>
      </c>
      <c r="G6" s="17">
        <f>IF($B6="","",Spelling!Q6)</f>
        <v/>
      </c>
      <c r="H6" s="17">
        <f>IF($B6="","",COUNTIFS(nrES_PID,$B6,nrES_Type,"Final",nrES_Final,"Yes",nrES_Rec,"&gt;=0"))</f>
        <v/>
      </c>
      <c r="I6" s="17">
        <f>IF(OR($B6="",$E6=0),"",IFERROR(ROUND(AVERAGEIFS(nrES_Rec,nrES_PID,$B6,nrES_Type,"Major",nrES_Final,"Yes",nrES_Rec,"&gt;=0"),2),""))</f>
        <v/>
      </c>
      <c r="J6" s="17">
        <f>IF(OR($B6="",$F6=0),"",IFERROR(ROUND(AVERAGEIFS(nrES_Rec,nrES_PID,$B6,nrES_Type,"Minor",nrES_Final,"Yes",nrES_Rec,"&gt;=0"),2),""))</f>
        <v/>
      </c>
      <c r="K6" s="17">
        <f>IF($B6="","",Spelling!P6)</f>
        <v/>
      </c>
      <c r="L6" s="17">
        <f>IF(OR($B6="",$H6=0),"",IFERROR(ROUND(AVERAGEIFS(nrES_Rec,nrES_PID,$B6,nrES_Type,"Final",nrES_Final,"Yes",nrES_Rec,"&gt;=0"),2),""))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IF($B6="","",IF(AND($E6&gt;=cfgThresholdAfterExam,$I6&lt;&gt;"",$I6&lt;cfgThresholdScore),"Yes","No"))</f>
        <v/>
      </c>
      <c r="R6" s="17">
        <f>IF($B6="","",IF(AND($F6&gt;=cfgThresholdAfterExam,$J6&lt;&gt;"",$J6&lt;cfgThresholdScore),"Yes","No"))</f>
        <v/>
      </c>
      <c r="S6" s="17">
        <f>IF($B6="","",IF($M6="",-1,$M6))</f>
        <v/>
      </c>
      <c r="T6" s="17">
        <f>IF($B6="","",IF(AND($D6="Active",$P6=0,sysSkills!$J6&lt;&gt;"Yes",sysIncidents!$J6=0,$M6&lt;&gt;""),"Yes","No"))</f>
        <v/>
      </c>
      <c r="U6" s="17">
        <f>IF($T6&lt;&gt;"Yes","",SUMPRODUCT(($T$6:$T$55="Yes")*(($S$6:$S$55&gt;$S6)+($S$6:$S$55=$S6)*(ROW($S$6:$S$55)&lt;ROW())))+1)</f>
        <v/>
      </c>
      <c r="V6" s="17">
        <f>IF($B6="","",IF(AND(OR($E6=0,$I6&gt;=cfgThresholdScore),OR($F6=0,$J6&gt;=cfgThresholdScore),OR(N($G6)=0,$K6&gt;=cfgThresholdScore),OR($H6=0,$L6&gt;=cfgThresholdScore)),"Yes","No"))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7">
        <f>IF(Cadets!$B7="","",Cadets!$B7)</f>
        <v/>
      </c>
      <c r="C7" s="17">
        <f>IF($B7="","",Cadets!$F7)</f>
        <v/>
      </c>
      <c r="D7" s="17">
        <f>IF($B7="","",Cadets!$I7)</f>
        <v/>
      </c>
      <c r="E7" s="17">
        <f>IF($B7="","",COUNTIFS(nrES_PID,$B7,nrES_Type,"Major",nrES_Final,"Yes",nrES_Rec,"&gt;=0"))</f>
        <v/>
      </c>
      <c r="F7" s="17">
        <f>IF($B7="","",COUNTIFS(nrES_PID,$B7,nrES_Type,"Minor",nrES_Final,"Yes",nrES_Rec,"&gt;=0"))</f>
        <v/>
      </c>
      <c r="G7" s="17">
        <f>IF($B7="","",Spelling!Q7)</f>
        <v/>
      </c>
      <c r="H7" s="17">
        <f>IF($B7="","",COUNTIFS(nrES_PID,$B7,nrES_Type,"Final",nrES_Final,"Yes",nrES_Rec,"&gt;=0"))</f>
        <v/>
      </c>
      <c r="I7" s="17">
        <f>IF(OR($B7="",$E7=0),"",IFERROR(ROUND(AVERAGEIFS(nrES_Rec,nrES_PID,$B7,nrES_Type,"Major",nrES_Final,"Yes",nrES_Rec,"&gt;=0"),2),""))</f>
        <v/>
      </c>
      <c r="J7" s="17">
        <f>IF(OR($B7="",$F7=0),"",IFERROR(ROUND(AVERAGEIFS(nrES_Rec,nrES_PID,$B7,nrES_Type,"Minor",nrES_Final,"Yes",nrES_Rec,"&gt;=0"),2),""))</f>
        <v/>
      </c>
      <c r="K7" s="17">
        <f>IF($B7="","",Spelling!P7)</f>
        <v/>
      </c>
      <c r="L7" s="17">
        <f>IF(OR($B7="",$H7=0),"",IFERROR(ROUND(AVERAGEIFS(nrES_Rec,nrES_PID,$B7,nrES_Type,"Final",nrES_Final,"Yes",nrES_Rec,"&gt;=0"),2),""))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IF($B7="","",IF(AND($E7&gt;=cfgThresholdAfterExam,$I7&lt;&gt;"",$I7&lt;cfgThresholdScore),"Yes","No"))</f>
        <v/>
      </c>
      <c r="R7" s="17">
        <f>IF($B7="","",IF(AND($F7&gt;=cfgThresholdAfterExam,$J7&lt;&gt;"",$J7&lt;cfgThresholdScore),"Yes","No"))</f>
        <v/>
      </c>
      <c r="S7" s="17">
        <f>IF($B7="","",IF($M7="",-1,$M7))</f>
        <v/>
      </c>
      <c r="T7" s="17">
        <f>IF($B7="","",IF(AND($D7="Active",$P7=0,sysSkills!$J7&lt;&gt;"Yes",sysIncidents!$J7=0,$M7&lt;&gt;""),"Yes","No"))</f>
        <v/>
      </c>
      <c r="U7" s="17">
        <f>IF($T7&lt;&gt;"Yes","",SUMPRODUCT(($T$6:$T$55="Yes")*(($S$6:$S$55&gt;$S7)+($S$6:$S$55=$S7)*(ROW($S$6:$S$55)&lt;ROW())))+1)</f>
        <v/>
      </c>
      <c r="V7" s="17">
        <f>IF($B7="","",IF(AND(OR($E7=0,$I7&gt;=cfgThresholdScore),OR($F7=0,$J7&gt;=cfgThresholdScore),OR(N($G7)=0,$K7&gt;=cfgThresholdScore),OR($H7=0,$L7&gt;=cfgThresholdScore)),"Yes","No"))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7">
        <f>IF(Cadets!$B8="","",Cadets!$B8)</f>
        <v/>
      </c>
      <c r="C8" s="17">
        <f>IF($B8="","",Cadets!$F8)</f>
        <v/>
      </c>
      <c r="D8" s="17">
        <f>IF($B8="","",Cadets!$I8)</f>
        <v/>
      </c>
      <c r="E8" s="17">
        <f>IF($B8="","",COUNTIFS(nrES_PID,$B8,nrES_Type,"Major",nrES_Final,"Yes",nrES_Rec,"&gt;=0"))</f>
        <v/>
      </c>
      <c r="F8" s="17">
        <f>IF($B8="","",COUNTIFS(nrES_PID,$B8,nrES_Type,"Minor",nrES_Final,"Yes",nrES_Rec,"&gt;=0"))</f>
        <v/>
      </c>
      <c r="G8" s="17">
        <f>IF($B8="","",Spelling!Q8)</f>
        <v/>
      </c>
      <c r="H8" s="17">
        <f>IF($B8="","",COUNTIFS(nrES_PID,$B8,nrES_Type,"Final",nrES_Final,"Yes",nrES_Rec,"&gt;=0"))</f>
        <v/>
      </c>
      <c r="I8" s="17">
        <f>IF(OR($B8="",$E8=0),"",IFERROR(ROUND(AVERAGEIFS(nrES_Rec,nrES_PID,$B8,nrES_Type,"Major",nrES_Final,"Yes",nrES_Rec,"&gt;=0"),2),""))</f>
        <v/>
      </c>
      <c r="J8" s="17">
        <f>IF(OR($B8="",$F8=0),"",IFERROR(ROUND(AVERAGEIFS(nrES_Rec,nrES_PID,$B8,nrES_Type,"Minor",nrES_Final,"Yes",nrES_Rec,"&gt;=0"),2),""))</f>
        <v/>
      </c>
      <c r="K8" s="17">
        <f>IF($B8="","",Spelling!P8)</f>
        <v/>
      </c>
      <c r="L8" s="17">
        <f>IF(OR($B8="",$H8=0),"",IFERROR(ROUND(AVERAGEIFS(nrES_Rec,nrES_PID,$B8,nrES_Type,"Final",nrES_Final,"Yes",nrES_Rec,"&gt;=0"),2),""))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IF($B8="","",IF(AND($E8&gt;=cfgThresholdAfterExam,$I8&lt;&gt;"",$I8&lt;cfgThresholdScore),"Yes","No"))</f>
        <v/>
      </c>
      <c r="R8" s="17">
        <f>IF($B8="","",IF(AND($F8&gt;=cfgThresholdAfterExam,$J8&lt;&gt;"",$J8&lt;cfgThresholdScore),"Yes","No"))</f>
        <v/>
      </c>
      <c r="S8" s="17">
        <f>IF($B8="","",IF($M8="",-1,$M8))</f>
        <v/>
      </c>
      <c r="T8" s="17">
        <f>IF($B8="","",IF(AND($D8="Active",$P8=0,sysSkills!$J8&lt;&gt;"Yes",sysIncidents!$J8=0,$M8&lt;&gt;""),"Yes","No"))</f>
        <v/>
      </c>
      <c r="U8" s="17">
        <f>IF($T8&lt;&gt;"Yes","",SUMPRODUCT(($T$6:$T$55="Yes")*(($S$6:$S$55&gt;$S8)+($S$6:$S$55=$S8)*(ROW($S$6:$S$55)&lt;ROW())))+1)</f>
        <v/>
      </c>
      <c r="V8" s="17">
        <f>IF($B8="","",IF(AND(OR($E8=0,$I8&gt;=cfgThresholdScore),OR($F8=0,$J8&gt;=cfgThresholdScore),OR(N($G8)=0,$K8&gt;=cfgThresholdScore),OR($H8=0,$L8&gt;=cfgThresholdScore)),"Yes","No"))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7">
        <f>IF(Cadets!$B9="","",Cadets!$B9)</f>
        <v/>
      </c>
      <c r="C9" s="17">
        <f>IF($B9="","",Cadets!$F9)</f>
        <v/>
      </c>
      <c r="D9" s="17">
        <f>IF($B9="","",Cadets!$I9)</f>
        <v/>
      </c>
      <c r="E9" s="17">
        <f>IF($B9="","",COUNTIFS(nrES_PID,$B9,nrES_Type,"Major",nrES_Final,"Yes",nrES_Rec,"&gt;=0"))</f>
        <v/>
      </c>
      <c r="F9" s="17">
        <f>IF($B9="","",COUNTIFS(nrES_PID,$B9,nrES_Type,"Minor",nrES_Final,"Yes",nrES_Rec,"&gt;=0"))</f>
        <v/>
      </c>
      <c r="G9" s="17">
        <f>IF($B9="","",Spelling!Q9)</f>
        <v/>
      </c>
      <c r="H9" s="17">
        <f>IF($B9="","",COUNTIFS(nrES_PID,$B9,nrES_Type,"Final",nrES_Final,"Yes",nrES_Rec,"&gt;=0"))</f>
        <v/>
      </c>
      <c r="I9" s="17">
        <f>IF(OR($B9="",$E9=0),"",IFERROR(ROUND(AVERAGEIFS(nrES_Rec,nrES_PID,$B9,nrES_Type,"Major",nrES_Final,"Yes",nrES_Rec,"&gt;=0"),2),""))</f>
        <v/>
      </c>
      <c r="J9" s="17">
        <f>IF(OR($B9="",$F9=0),"",IFERROR(ROUND(AVERAGEIFS(nrES_Rec,nrES_PID,$B9,nrES_Type,"Minor",nrES_Final,"Yes",nrES_Rec,"&gt;=0"),2),""))</f>
        <v/>
      </c>
      <c r="K9" s="17">
        <f>IF($B9="","",Spelling!P9)</f>
        <v/>
      </c>
      <c r="L9" s="17">
        <f>IF(OR($B9="",$H9=0),"",IFERROR(ROUND(AVERAGEIFS(nrES_Rec,nrES_PID,$B9,nrES_Type,"Final",nrES_Final,"Yes",nrES_Rec,"&gt;=0"),2),""))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IF($B9="","",IF(AND($E9&gt;=cfgThresholdAfterExam,$I9&lt;&gt;"",$I9&lt;cfgThresholdScore),"Yes","No"))</f>
        <v/>
      </c>
      <c r="R9" s="17">
        <f>IF($B9="","",IF(AND($F9&gt;=cfgThresholdAfterExam,$J9&lt;&gt;"",$J9&lt;cfgThresholdScore),"Yes","No"))</f>
        <v/>
      </c>
      <c r="S9" s="17">
        <f>IF($B9="","",IF($M9="",-1,$M9))</f>
        <v/>
      </c>
      <c r="T9" s="17">
        <f>IF($B9="","",IF(AND($D9="Active",$P9=0,sysSkills!$J9&lt;&gt;"Yes",sysIncidents!$J9=0,$M9&lt;&gt;""),"Yes","No"))</f>
        <v/>
      </c>
      <c r="U9" s="17">
        <f>IF($T9&lt;&gt;"Yes","",SUMPRODUCT(($T$6:$T$55="Yes")*(($S$6:$S$55&gt;$S9)+($S$6:$S$55=$S9)*(ROW($S$6:$S$55)&lt;ROW())))+1)</f>
        <v/>
      </c>
      <c r="V9" s="17">
        <f>IF($B9="","",IF(AND(OR($E9=0,$I9&gt;=cfgThresholdScore),OR($F9=0,$J9&gt;=cfgThresholdScore),OR(N($G9)=0,$K9&gt;=cfgThresholdScore),OR($H9=0,$L9&gt;=cfgThresholdScore)),"Yes","No"))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f>
        <v/>
      </c>
      <c r="F10" s="17">
        <f>IF($B10="","",COUNTIFS(nrES_PID,$B10,nrES_Type,"Minor",nrES_Final,"Yes",nrES_Rec,"&gt;=0"))</f>
        <v/>
      </c>
      <c r="G10" s="17">
        <f>IF($B10="","",Spelling!Q10)</f>
        <v/>
      </c>
      <c r="H10" s="17">
        <f>IF($B10="","",COUNTIFS(nrES_PID,$B10,nrES_Type,"Final",nrES_Final,"Yes",nrES_Rec,"&gt;=0"))</f>
        <v/>
      </c>
      <c r="I10" s="17">
        <f>IF(OR($B10="",$E10=0),"",IFERROR(ROUND(AVERAGEIFS(nrES_Rec,nrES_PID,$B10,nrES_Type,"Major",nrES_Final,"Yes",nrES_Rec,"&gt;=0"),2),""))</f>
        <v/>
      </c>
      <c r="J10" s="17">
        <f>IF(OR($B10="",$F10=0),"",IFERROR(ROUND(AVERAGEIFS(nrES_Rec,nrES_PID,$B10,nrES_Type,"Minor",nrES_Final,"Yes",nrES_Rec,"&gt;=0"),2),""))</f>
        <v/>
      </c>
      <c r="K10" s="17">
        <f>IF($B10="","",Spelling!P10)</f>
        <v/>
      </c>
      <c r="L10" s="17">
        <f>IF(OR($B10="",$H10=0),"",IFERROR(ROUND(AVERAGEIFS(nrES_Rec,nrES_PID,$B10,nrES_Type,"Final",nrES_Final,"Yes",nrES_Rec,"&gt;=0"),2),""))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IF($B10="","",IF(AND($E10&gt;=cfgThresholdAfterExam,$I10&lt;&gt;"",$I10&lt;cfgThresholdScore),"Yes","No"))</f>
        <v/>
      </c>
      <c r="R10" s="17">
        <f>IF($B10="","",IF(AND($F10&gt;=cfgThresholdAfterExam,$J10&lt;&gt;"",$J10&lt;cfgThresholdScore),"Yes","No"))</f>
        <v/>
      </c>
      <c r="S10" s="17">
        <f>IF($B10="","",IF($M10="",-1,$M10))</f>
        <v/>
      </c>
      <c r="T10" s="17">
        <f>IF($B10="","",IF(AND($D10="Active",$P10=0,sysSkills!$J10&lt;&gt;"Yes",sysIncidents!$J10=0,$M10&lt;&gt;""),"Yes","No"))</f>
        <v/>
      </c>
      <c r="U10" s="17">
        <f>IF($T10&lt;&gt;"Yes","",SUMPRODUCT(($T$6:$T$55="Yes")*(($S$6:$S$55&gt;$S10)+($S$6:$S$55=$S10)*(ROW($S$6:$S$55)&lt;ROW())))+1)</f>
        <v/>
      </c>
      <c r="V10" s="17">
        <f>IF($B10="","",IF(AND(OR($E10=0,$I10&gt;=cfgThresholdScore),OR($F10=0,$J10&gt;=cfgThresholdScore),OR(N($G10)=0,$K10&gt;=cfgThresholdScore),OR($H10=0,$L10&gt;=cfgThresholdScore)),"Yes","No"))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f>
        <v/>
      </c>
      <c r="F11" s="17">
        <f>IF($B11="","",COUNTIFS(nrES_PID,$B11,nrES_Type,"Minor",nrES_Final,"Yes",nrES_Rec,"&gt;=0"))</f>
        <v/>
      </c>
      <c r="G11" s="17">
        <f>IF($B11="","",Spelling!Q11)</f>
        <v/>
      </c>
      <c r="H11" s="17">
        <f>IF($B11="","",COUNTIFS(nrES_PID,$B11,nrES_Type,"Final",nrES_Final,"Yes",nrES_Rec,"&gt;=0"))</f>
        <v/>
      </c>
      <c r="I11" s="17">
        <f>IF(OR($B11="",$E11=0),"",IFERROR(ROUND(AVERAGEIFS(nrES_Rec,nrES_PID,$B11,nrES_Type,"Major",nrES_Final,"Yes",nrES_Rec,"&gt;=0"),2),""))</f>
        <v/>
      </c>
      <c r="J11" s="17">
        <f>IF(OR($B11="",$F11=0),"",IFERROR(ROUND(AVERAGEIFS(nrES_Rec,nrES_PID,$B11,nrES_Type,"Minor",nrES_Final,"Yes",nrES_Rec,"&gt;=0"),2),""))</f>
        <v/>
      </c>
      <c r="K11" s="17">
        <f>IF($B11="","",Spelling!P11)</f>
        <v/>
      </c>
      <c r="L11" s="17">
        <f>IF(OR($B11="",$H11=0),"",IFERROR(ROUND(AVERAGEIFS(nrES_Rec,nrES_PID,$B11,nrES_Type,"Final",nrES_Final,"Yes",nrES_Rec,"&gt;=0"),2),""))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IF($B11="","",IF(AND($E11&gt;=cfgThresholdAfterExam,$I11&lt;&gt;"",$I11&lt;cfgThresholdScore),"Yes","No"))</f>
        <v/>
      </c>
      <c r="R11" s="17">
        <f>IF($B11="","",IF(AND($F11&gt;=cfgThresholdAfterExam,$J11&lt;&gt;"",$J11&lt;cfgThresholdScore),"Yes","No"))</f>
        <v/>
      </c>
      <c r="S11" s="17">
        <f>IF($B11="","",IF($M11="",-1,$M11))</f>
        <v/>
      </c>
      <c r="T11" s="17">
        <f>IF($B11="","",IF(AND($D11="Active",$P11=0,sysSkills!$J11&lt;&gt;"Yes",sysIncidents!$J11=0,$M11&lt;&gt;""),"Yes","No"))</f>
        <v/>
      </c>
      <c r="U11" s="17">
        <f>IF($T11&lt;&gt;"Yes","",SUMPRODUCT(($T$6:$T$55="Yes")*(($S$6:$S$55&gt;$S11)+($S$6:$S$55=$S11)*(ROW($S$6:$S$55)&lt;ROW())))+1)</f>
        <v/>
      </c>
      <c r="V11" s="17">
        <f>IF($B11="","",IF(AND(OR($E11=0,$I11&gt;=cfgThresholdScore),OR($F11=0,$J11&gt;=cfgThresholdScore),OR(N($G11)=0,$K11&gt;=cfgThresholdScore),OR($H11=0,$L11&gt;=cfgThresholdScore)),"Yes","No"))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f>
        <v/>
      </c>
      <c r="F12" s="17">
        <f>IF($B12="","",COUNTIFS(nrES_PID,$B12,nrES_Type,"Minor",nrES_Final,"Yes",nrES_Rec,"&gt;=0"))</f>
        <v/>
      </c>
      <c r="G12" s="17">
        <f>IF($B12="","",Spelling!Q12)</f>
        <v/>
      </c>
      <c r="H12" s="17">
        <f>IF($B12="","",COUNTIFS(nrES_PID,$B12,nrES_Type,"Final",nrES_Final,"Yes",nrES_Rec,"&gt;=0"))</f>
        <v/>
      </c>
      <c r="I12" s="17">
        <f>IF(OR($B12="",$E12=0),"",IFERROR(ROUND(AVERAGEIFS(nrES_Rec,nrES_PID,$B12,nrES_Type,"Major",nrES_Final,"Yes",nrES_Rec,"&gt;=0"),2),""))</f>
        <v/>
      </c>
      <c r="J12" s="17">
        <f>IF(OR($B12="",$F12=0),"",IFERROR(ROUND(AVERAGEIFS(nrES_Rec,nrES_PID,$B12,nrES_Type,"Minor",nrES_Final,"Yes",nrES_Rec,"&gt;=0"),2),""))</f>
        <v/>
      </c>
      <c r="K12" s="17">
        <f>IF($B12="","",Spelling!P12)</f>
        <v/>
      </c>
      <c r="L12" s="17">
        <f>IF(OR($B12="",$H12=0),"",IFERROR(ROUND(AVERAGEIFS(nrES_Rec,nrES_PID,$B12,nrES_Type,"Final",nrES_Final,"Yes",nrES_Rec,"&gt;=0"),2),""))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IF($B12="","",IF(AND($E12&gt;=cfgThresholdAfterExam,$I12&lt;&gt;"",$I12&lt;cfgThresholdScore),"Yes","No"))</f>
        <v/>
      </c>
      <c r="R12" s="17">
        <f>IF($B12="","",IF(AND($F12&gt;=cfgThresholdAfterExam,$J12&lt;&gt;"",$J12&lt;cfgThresholdScore),"Yes","No"))</f>
        <v/>
      </c>
      <c r="S12" s="17">
        <f>IF($B12="","",IF($M12="",-1,$M12))</f>
        <v/>
      </c>
      <c r="T12" s="17">
        <f>IF($B12="","",IF(AND($D12="Active",$P12=0,sysSkills!$J12&lt;&gt;"Yes",sysIncidents!$J12=0,$M12&lt;&gt;""),"Yes","No"))</f>
        <v/>
      </c>
      <c r="U12" s="17">
        <f>IF($T12&lt;&gt;"Yes","",SUMPRODUCT(($T$6:$T$55="Yes")*(($S$6:$S$55&gt;$S12)+($S$6:$S$55=$S12)*(ROW($S$6:$S$55)&lt;ROW())))+1)</f>
        <v/>
      </c>
      <c r="V12" s="17">
        <f>IF($B12="","",IF(AND(OR($E12=0,$I12&gt;=cfgThresholdScore),OR($F12=0,$J12&gt;=cfgThresholdScore),OR(N($G12)=0,$K12&gt;=cfgThresholdScore),OR($H12=0,$L12&gt;=cfgThresholdScore)),"Yes","No"))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f>
        <v/>
      </c>
      <c r="F13" s="17">
        <f>IF($B13="","",COUNTIFS(nrES_PID,$B13,nrES_Type,"Minor",nrES_Final,"Yes",nrES_Rec,"&gt;=0"))</f>
        <v/>
      </c>
      <c r="G13" s="17">
        <f>IF($B13="","",Spelling!Q13)</f>
        <v/>
      </c>
      <c r="H13" s="17">
        <f>IF($B13="","",COUNTIFS(nrES_PID,$B13,nrES_Type,"Final",nrES_Final,"Yes",nrES_Rec,"&gt;=0"))</f>
        <v/>
      </c>
      <c r="I13" s="17">
        <f>IF(OR($B13="",$E13=0),"",IFERROR(ROUND(AVERAGEIFS(nrES_Rec,nrES_PID,$B13,nrES_Type,"Major",nrES_Final,"Yes",nrES_Rec,"&gt;=0"),2),""))</f>
        <v/>
      </c>
      <c r="J13" s="17">
        <f>IF(OR($B13="",$F13=0),"",IFERROR(ROUND(AVERAGEIFS(nrES_Rec,nrES_PID,$B13,nrES_Type,"Minor",nrES_Final,"Yes",nrES_Rec,"&gt;=0"),2),""))</f>
        <v/>
      </c>
      <c r="K13" s="17">
        <f>IF($B13="","",Spelling!P13)</f>
        <v/>
      </c>
      <c r="L13" s="17">
        <f>IF(OR($B13="",$H13=0),"",IFERROR(ROUND(AVERAGEIFS(nrES_Rec,nrES_PID,$B13,nrES_Type,"Final",nrES_Final,"Yes",nrES_Rec,"&gt;=0"),2),""))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IF($B13="","",IF(AND($E13&gt;=cfgThresholdAfterExam,$I13&lt;&gt;"",$I13&lt;cfgThresholdScore),"Yes","No"))</f>
        <v/>
      </c>
      <c r="R13" s="17">
        <f>IF($B13="","",IF(AND($F13&gt;=cfgThresholdAfterExam,$J13&lt;&gt;"",$J13&lt;cfgThresholdScore),"Yes","No"))</f>
        <v/>
      </c>
      <c r="S13" s="17">
        <f>IF($B13="","",IF($M13="",-1,$M13))</f>
        <v/>
      </c>
      <c r="T13" s="17">
        <f>IF($B13="","",IF(AND($D13="Active",$P13=0,sysSkills!$J13&lt;&gt;"Yes",sysIncidents!$J13=0,$M13&lt;&gt;""),"Yes","No"))</f>
        <v/>
      </c>
      <c r="U13" s="17">
        <f>IF($T13&lt;&gt;"Yes","",SUMPRODUCT(($T$6:$T$55="Yes")*(($S$6:$S$55&gt;$S13)+($S$6:$S$55=$S13)*(ROW($S$6:$S$55)&lt;ROW())))+1)</f>
        <v/>
      </c>
      <c r="V13" s="17">
        <f>IF($B13="","",IF(AND(OR($E13=0,$I13&gt;=cfgThresholdScore),OR($F13=0,$J13&gt;=cfgThresholdScore),OR(N($G13)=0,$K13&gt;=cfgThresholdScore),OR($H13=0,$L13&gt;=cfgThresholdScore)),"Yes","No"))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f>
        <v/>
      </c>
      <c r="F14" s="17">
        <f>IF($B14="","",COUNTIFS(nrES_PID,$B14,nrES_Type,"Minor",nrES_Final,"Yes",nrES_Rec,"&gt;=0"))</f>
        <v/>
      </c>
      <c r="G14" s="17">
        <f>IF($B14="","",Spelling!Q14)</f>
        <v/>
      </c>
      <c r="H14" s="17">
        <f>IF($B14="","",COUNTIFS(nrES_PID,$B14,nrES_Type,"Final",nrES_Final,"Yes",nrES_Rec,"&gt;=0"))</f>
        <v/>
      </c>
      <c r="I14" s="17">
        <f>IF(OR($B14="",$E14=0),"",IFERROR(ROUND(AVERAGEIFS(nrES_Rec,nrES_PID,$B14,nrES_Type,"Major",nrES_Final,"Yes",nrES_Rec,"&gt;=0"),2),""))</f>
        <v/>
      </c>
      <c r="J14" s="17">
        <f>IF(OR($B14="",$F14=0),"",IFERROR(ROUND(AVERAGEIFS(nrES_Rec,nrES_PID,$B14,nrES_Type,"Minor",nrES_Final,"Yes",nrES_Rec,"&gt;=0"),2),""))</f>
        <v/>
      </c>
      <c r="K14" s="17">
        <f>IF($B14="","",Spelling!P14)</f>
        <v/>
      </c>
      <c r="L14" s="17">
        <f>IF(OR($B14="",$H14=0),"",IFERROR(ROUND(AVERAGEIFS(nrES_Rec,nrES_PID,$B14,nrES_Type,"Final",nrES_Final,"Yes",nrES_Rec,"&gt;=0"),2),""))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IF($B14="","",IF(AND($E14&gt;=cfgThresholdAfterExam,$I14&lt;&gt;"",$I14&lt;cfgThresholdScore),"Yes","No"))</f>
        <v/>
      </c>
      <c r="R14" s="17">
        <f>IF($B14="","",IF(AND($F14&gt;=cfgThresholdAfterExam,$J14&lt;&gt;"",$J14&lt;cfgThresholdScore),"Yes","No"))</f>
        <v/>
      </c>
      <c r="S14" s="17">
        <f>IF($B14="","",IF($M14="",-1,$M14))</f>
        <v/>
      </c>
      <c r="T14" s="17">
        <f>IF($B14="","",IF(AND($D14="Active",$P14=0,sysSkills!$J14&lt;&gt;"Yes",sysIncidents!$J14=0,$M14&lt;&gt;""),"Yes","No"))</f>
        <v/>
      </c>
      <c r="U14" s="17">
        <f>IF($T14&lt;&gt;"Yes","",SUMPRODUCT(($T$6:$T$55="Yes")*(($S$6:$S$55&gt;$S14)+($S$6:$S$55=$S14)*(ROW($S$6:$S$55)&lt;ROW())))+1)</f>
        <v/>
      </c>
      <c r="V14" s="17">
        <f>IF($B14="","",IF(AND(OR($E14=0,$I14&gt;=cfgThresholdScore),OR($F14=0,$J14&gt;=cfgThresholdScore),OR(N($G14)=0,$K14&gt;=cfgThresholdScore),OR($H14=0,$L14&gt;=cfgThresholdScore)),"Yes","No"))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f>
        <v/>
      </c>
      <c r="F15" s="17">
        <f>IF($B15="","",COUNTIFS(nrES_PID,$B15,nrES_Type,"Minor",nrES_Final,"Yes",nrES_Rec,"&gt;=0"))</f>
        <v/>
      </c>
      <c r="G15" s="17">
        <f>IF($B15="","",Spelling!Q15)</f>
        <v/>
      </c>
      <c r="H15" s="17">
        <f>IF($B15="","",COUNTIFS(nrES_PID,$B15,nrES_Type,"Final",nrES_Final,"Yes",nrES_Rec,"&gt;=0"))</f>
        <v/>
      </c>
      <c r="I15" s="17">
        <f>IF(OR($B15="",$E15=0),"",IFERROR(ROUND(AVERAGEIFS(nrES_Rec,nrES_PID,$B15,nrES_Type,"Major",nrES_Final,"Yes",nrES_Rec,"&gt;=0"),2),""))</f>
        <v/>
      </c>
      <c r="J15" s="17">
        <f>IF(OR($B15="",$F15=0),"",IFERROR(ROUND(AVERAGEIFS(nrES_Rec,nrES_PID,$B15,nrES_Type,"Minor",nrES_Final,"Yes",nrES_Rec,"&gt;=0"),2),""))</f>
        <v/>
      </c>
      <c r="K15" s="17">
        <f>IF($B15="","",Spelling!P15)</f>
        <v/>
      </c>
      <c r="L15" s="17">
        <f>IF(OR($B15="",$H15=0),"",IFERROR(ROUND(AVERAGEIFS(nrES_Rec,nrES_PID,$B15,nrES_Type,"Final",nrES_Final,"Yes",nrES_Rec,"&gt;=0"),2),""))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IF($B15="","",IF(AND($E15&gt;=cfgThresholdAfterExam,$I15&lt;&gt;"",$I15&lt;cfgThresholdScore),"Yes","No"))</f>
        <v/>
      </c>
      <c r="R15" s="17">
        <f>IF($B15="","",IF(AND($F15&gt;=cfgThresholdAfterExam,$J15&lt;&gt;"",$J15&lt;cfgThresholdScore),"Yes","No"))</f>
        <v/>
      </c>
      <c r="S15" s="17">
        <f>IF($B15="","",IF($M15="",-1,$M15))</f>
        <v/>
      </c>
      <c r="T15" s="17">
        <f>IF($B15="","",IF(AND($D15="Active",$P15=0,sysSkills!$J15&lt;&gt;"Yes",sysIncidents!$J15=0,$M15&lt;&gt;""),"Yes","No"))</f>
        <v/>
      </c>
      <c r="U15" s="17">
        <f>IF($T15&lt;&gt;"Yes","",SUMPRODUCT(($T$6:$T$55="Yes")*(($S$6:$S$55&gt;$S15)+($S$6:$S$55=$S15)*(ROW($S$6:$S$55)&lt;ROW())))+1)</f>
        <v/>
      </c>
      <c r="V15" s="17">
        <f>IF($B15="","",IF(AND(OR($E15=0,$I15&gt;=cfgThresholdScore),OR($F15=0,$J15&gt;=cfgThresholdScore),OR(N($G15)=0,$K15&gt;=cfgThresholdScore),OR($H15=0,$L15&gt;=cfgThresholdScore)),"Yes","No"))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f>
        <v/>
      </c>
      <c r="F16" s="17">
        <f>IF($B16="","",COUNTIFS(nrES_PID,$B16,nrES_Type,"Minor",nrES_Final,"Yes",nrES_Rec,"&gt;=0"))</f>
        <v/>
      </c>
      <c r="G16" s="17">
        <f>IF($B16="","",Spelling!Q16)</f>
        <v/>
      </c>
      <c r="H16" s="17">
        <f>IF($B16="","",COUNTIFS(nrES_PID,$B16,nrES_Type,"Final",nrES_Final,"Yes",nrES_Rec,"&gt;=0"))</f>
        <v/>
      </c>
      <c r="I16" s="17">
        <f>IF(OR($B16="",$E16=0),"",IFERROR(ROUND(AVERAGEIFS(nrES_Rec,nrES_PID,$B16,nrES_Type,"Major",nrES_Final,"Yes",nrES_Rec,"&gt;=0"),2),""))</f>
        <v/>
      </c>
      <c r="J16" s="17">
        <f>IF(OR($B16="",$F16=0),"",IFERROR(ROUND(AVERAGEIFS(nrES_Rec,nrES_PID,$B16,nrES_Type,"Minor",nrES_Final,"Yes",nrES_Rec,"&gt;=0"),2),""))</f>
        <v/>
      </c>
      <c r="K16" s="17">
        <f>IF($B16="","",Spelling!P16)</f>
        <v/>
      </c>
      <c r="L16" s="17">
        <f>IF(OR($B16="",$H16=0),"",IFERROR(ROUND(AVERAGEIFS(nrES_Rec,nrES_PID,$B16,nrES_Type,"Final",nrES_Final,"Yes",nrES_Rec,"&gt;=0"),2),""))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IF($B16="","",IF(AND($E16&gt;=cfgThresholdAfterExam,$I16&lt;&gt;"",$I16&lt;cfgThresholdScore),"Yes","No"))</f>
        <v/>
      </c>
      <c r="R16" s="17">
        <f>IF($B16="","",IF(AND($F16&gt;=cfgThresholdAfterExam,$J16&lt;&gt;"",$J16&lt;cfgThresholdScore),"Yes","No"))</f>
        <v/>
      </c>
      <c r="S16" s="17">
        <f>IF($B16="","",IF($M16="",-1,$M16))</f>
        <v/>
      </c>
      <c r="T16" s="17">
        <f>IF($B16="","",IF(AND($D16="Active",$P16=0,sysSkills!$J16&lt;&gt;"Yes",sysIncidents!$J16=0,$M16&lt;&gt;""),"Yes","No"))</f>
        <v/>
      </c>
      <c r="U16" s="17">
        <f>IF($T16&lt;&gt;"Yes","",SUMPRODUCT(($T$6:$T$55="Yes")*(($S$6:$S$55&gt;$S16)+($S$6:$S$55=$S16)*(ROW($S$6:$S$55)&lt;ROW())))+1)</f>
        <v/>
      </c>
      <c r="V16" s="17">
        <f>IF($B16="","",IF(AND(OR($E16=0,$I16&gt;=cfgThresholdScore),OR($F16=0,$J16&gt;=cfgThresholdScore),OR(N($G16)=0,$K16&gt;=cfgThresholdScore),OR($H16=0,$L16&gt;=cfgThresholdScore)),"Yes","No"))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f>
        <v/>
      </c>
      <c r="F17" s="17">
        <f>IF($B17="","",COUNTIFS(nrES_PID,$B17,nrES_Type,"Minor",nrES_Final,"Yes",nrES_Rec,"&gt;=0"))</f>
        <v/>
      </c>
      <c r="G17" s="17">
        <f>IF($B17="","",Spelling!Q17)</f>
        <v/>
      </c>
      <c r="H17" s="17">
        <f>IF($B17="","",COUNTIFS(nrES_PID,$B17,nrES_Type,"Final",nrES_Final,"Yes",nrES_Rec,"&gt;=0"))</f>
        <v/>
      </c>
      <c r="I17" s="17">
        <f>IF(OR($B17="",$E17=0),"",IFERROR(ROUND(AVERAGEIFS(nrES_Rec,nrES_PID,$B17,nrES_Type,"Major",nrES_Final,"Yes",nrES_Rec,"&gt;=0"),2),""))</f>
        <v/>
      </c>
      <c r="J17" s="17">
        <f>IF(OR($B17="",$F17=0),"",IFERROR(ROUND(AVERAGEIFS(nrES_Rec,nrES_PID,$B17,nrES_Type,"Minor",nrES_Final,"Yes",nrES_Rec,"&gt;=0"),2),""))</f>
        <v/>
      </c>
      <c r="K17" s="17">
        <f>IF($B17="","",Spelling!P17)</f>
        <v/>
      </c>
      <c r="L17" s="17">
        <f>IF(OR($B17="",$H17=0),"",IFERROR(ROUND(AVERAGEIFS(nrES_Rec,nrES_PID,$B17,nrES_Type,"Final",nrES_Final,"Yes",nrES_Rec,"&gt;=0"),2),""))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IF($B17="","",IF(AND($E17&gt;=cfgThresholdAfterExam,$I17&lt;&gt;"",$I17&lt;cfgThresholdScore),"Yes","No"))</f>
        <v/>
      </c>
      <c r="R17" s="17">
        <f>IF($B17="","",IF(AND($F17&gt;=cfgThresholdAfterExam,$J17&lt;&gt;"",$J17&lt;cfgThresholdScore),"Yes","No"))</f>
        <v/>
      </c>
      <c r="S17" s="17">
        <f>IF($B17="","",IF($M17="",-1,$M17))</f>
        <v/>
      </c>
      <c r="T17" s="17">
        <f>IF($B17="","",IF(AND($D17="Active",$P17=0,sysSkills!$J17&lt;&gt;"Yes",sysIncidents!$J17=0,$M17&lt;&gt;""),"Yes","No"))</f>
        <v/>
      </c>
      <c r="U17" s="17">
        <f>IF($T17&lt;&gt;"Yes","",SUMPRODUCT(($T$6:$T$55="Yes")*(($S$6:$S$55&gt;$S17)+($S$6:$S$55=$S17)*(ROW($S$6:$S$55)&lt;ROW())))+1)</f>
        <v/>
      </c>
      <c r="V17" s="17">
        <f>IF($B17="","",IF(AND(OR($E17=0,$I17&gt;=cfgThresholdScore),OR($F17=0,$J17&gt;=cfgThresholdScore),OR(N($G17)=0,$K17&gt;=cfgThresholdScore),OR($H17=0,$L17&gt;=cfgThresholdScore)),"Yes","No"))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f>
        <v/>
      </c>
      <c r="F18" s="17">
        <f>IF($B18="","",COUNTIFS(nrES_PID,$B18,nrES_Type,"Minor",nrES_Final,"Yes",nrES_Rec,"&gt;=0"))</f>
        <v/>
      </c>
      <c r="G18" s="17">
        <f>IF($B18="","",Spelling!Q18)</f>
        <v/>
      </c>
      <c r="H18" s="17">
        <f>IF($B18="","",COUNTIFS(nrES_PID,$B18,nrES_Type,"Final",nrES_Final,"Yes",nrES_Rec,"&gt;=0"))</f>
        <v/>
      </c>
      <c r="I18" s="17">
        <f>IF(OR($B18="",$E18=0),"",IFERROR(ROUND(AVERAGEIFS(nrES_Rec,nrES_PID,$B18,nrES_Type,"Major",nrES_Final,"Yes",nrES_Rec,"&gt;=0"),2),""))</f>
        <v/>
      </c>
      <c r="J18" s="17">
        <f>IF(OR($B18="",$F18=0),"",IFERROR(ROUND(AVERAGEIFS(nrES_Rec,nrES_PID,$B18,nrES_Type,"Minor",nrES_Final,"Yes",nrES_Rec,"&gt;=0"),2),""))</f>
        <v/>
      </c>
      <c r="K18" s="17">
        <f>IF($B18="","",Spelling!P18)</f>
        <v/>
      </c>
      <c r="L18" s="17">
        <f>IF(OR($B18="",$H18=0),"",IFERROR(ROUND(AVERAGEIFS(nrES_Rec,nrES_PID,$B18,nrES_Type,"Final",nrES_Final,"Yes",nrES_Rec,"&gt;=0"),2),""))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IF($B18="","",IF(AND($E18&gt;=cfgThresholdAfterExam,$I18&lt;&gt;"",$I18&lt;cfgThresholdScore),"Yes","No"))</f>
        <v/>
      </c>
      <c r="R18" s="17">
        <f>IF($B18="","",IF(AND($F18&gt;=cfgThresholdAfterExam,$J18&lt;&gt;"",$J18&lt;cfgThresholdScore),"Yes","No"))</f>
        <v/>
      </c>
      <c r="S18" s="17">
        <f>IF($B18="","",IF($M18="",-1,$M18))</f>
        <v/>
      </c>
      <c r="T18" s="17">
        <f>IF($B18="","",IF(AND($D18="Active",$P18=0,sysSkills!$J18&lt;&gt;"Yes",sysIncidents!$J18=0,$M18&lt;&gt;""),"Yes","No"))</f>
        <v/>
      </c>
      <c r="U18" s="17">
        <f>IF($T18&lt;&gt;"Yes","",SUMPRODUCT(($T$6:$T$55="Yes")*(($S$6:$S$55&gt;$S18)+($S$6:$S$55=$S18)*(ROW($S$6:$S$55)&lt;ROW())))+1)</f>
        <v/>
      </c>
      <c r="V18" s="17">
        <f>IF($B18="","",IF(AND(OR($E18=0,$I18&gt;=cfgThresholdScore),OR($F18=0,$J18&gt;=cfgThresholdScore),OR(N($G18)=0,$K18&gt;=cfgThresholdScore),OR($H18=0,$L18&gt;=cfgThresholdScore)),"Yes","No"))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f>
        <v/>
      </c>
      <c r="F19" s="17">
        <f>IF($B19="","",COUNTIFS(nrES_PID,$B19,nrES_Type,"Minor",nrES_Final,"Yes",nrES_Rec,"&gt;=0"))</f>
        <v/>
      </c>
      <c r="G19" s="17">
        <f>IF($B19="","",Spelling!Q19)</f>
        <v/>
      </c>
      <c r="H19" s="17">
        <f>IF($B19="","",COUNTIFS(nrES_PID,$B19,nrES_Type,"Final",nrES_Final,"Yes",nrES_Rec,"&gt;=0"))</f>
        <v/>
      </c>
      <c r="I19" s="17">
        <f>IF(OR($B19="",$E19=0),"",IFERROR(ROUND(AVERAGEIFS(nrES_Rec,nrES_PID,$B19,nrES_Type,"Major",nrES_Final,"Yes",nrES_Rec,"&gt;=0"),2),""))</f>
        <v/>
      </c>
      <c r="J19" s="17">
        <f>IF(OR($B19="",$F19=0),"",IFERROR(ROUND(AVERAGEIFS(nrES_Rec,nrES_PID,$B19,nrES_Type,"Minor",nrES_Final,"Yes",nrES_Rec,"&gt;=0"),2),""))</f>
        <v/>
      </c>
      <c r="K19" s="17">
        <f>IF($B19="","",Spelling!P19)</f>
        <v/>
      </c>
      <c r="L19" s="17">
        <f>IF(OR($B19="",$H19=0),"",IFERROR(ROUND(AVERAGEIFS(nrES_Rec,nrES_PID,$B19,nrES_Type,"Final",nrES_Final,"Yes",nrES_Rec,"&gt;=0"),2),""))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IF($B19="","",IF(AND($E19&gt;=cfgThresholdAfterExam,$I19&lt;&gt;"",$I19&lt;cfgThresholdScore),"Yes","No"))</f>
        <v/>
      </c>
      <c r="R19" s="17">
        <f>IF($B19="","",IF(AND($F19&gt;=cfgThresholdAfterExam,$J19&lt;&gt;"",$J19&lt;cfgThresholdScore),"Yes","No"))</f>
        <v/>
      </c>
      <c r="S19" s="17">
        <f>IF($B19="","",IF($M19="",-1,$M19))</f>
        <v/>
      </c>
      <c r="T19" s="17">
        <f>IF($B19="","",IF(AND($D19="Active",$P19=0,sysSkills!$J19&lt;&gt;"Yes",sysIncidents!$J19=0,$M19&lt;&gt;""),"Yes","No"))</f>
        <v/>
      </c>
      <c r="U19" s="17">
        <f>IF($T19&lt;&gt;"Yes","",SUMPRODUCT(($T$6:$T$55="Yes")*(($S$6:$S$55&gt;$S19)+($S$6:$S$55=$S19)*(ROW($S$6:$S$55)&lt;ROW())))+1)</f>
        <v/>
      </c>
      <c r="V19" s="17">
        <f>IF($B19="","",IF(AND(OR($E19=0,$I19&gt;=cfgThresholdScore),OR($F19=0,$J19&gt;=cfgThresholdScore),OR(N($G19)=0,$K19&gt;=cfgThresholdScore),OR($H19=0,$L19&gt;=cfgThresholdScore)),"Yes","No"))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f>
        <v/>
      </c>
      <c r="F20" s="17">
        <f>IF($B20="","",COUNTIFS(nrES_PID,$B20,nrES_Type,"Minor",nrES_Final,"Yes",nrES_Rec,"&gt;=0"))</f>
        <v/>
      </c>
      <c r="G20" s="17">
        <f>IF($B20="","",Spelling!Q20)</f>
        <v/>
      </c>
      <c r="H20" s="17">
        <f>IF($B20="","",COUNTIFS(nrES_PID,$B20,nrES_Type,"Final",nrES_Final,"Yes",nrES_Rec,"&gt;=0"))</f>
        <v/>
      </c>
      <c r="I20" s="17">
        <f>IF(OR($B20="",$E20=0),"",IFERROR(ROUND(AVERAGEIFS(nrES_Rec,nrES_PID,$B20,nrES_Type,"Major",nrES_Final,"Yes",nrES_Rec,"&gt;=0"),2),""))</f>
        <v/>
      </c>
      <c r="J20" s="17">
        <f>IF(OR($B20="",$F20=0),"",IFERROR(ROUND(AVERAGEIFS(nrES_Rec,nrES_PID,$B20,nrES_Type,"Minor",nrES_Final,"Yes",nrES_Rec,"&gt;=0"),2),""))</f>
        <v/>
      </c>
      <c r="K20" s="17">
        <f>IF($B20="","",Spelling!P20)</f>
        <v/>
      </c>
      <c r="L20" s="17">
        <f>IF(OR($B20="",$H20=0),"",IFERROR(ROUND(AVERAGEIFS(nrES_Rec,nrES_PID,$B20,nrES_Type,"Final",nrES_Final,"Yes",nrES_Rec,"&gt;=0"),2),""))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IF($B20="","",IF(AND($E20&gt;=cfgThresholdAfterExam,$I20&lt;&gt;"",$I20&lt;cfgThresholdScore),"Yes","No"))</f>
        <v/>
      </c>
      <c r="R20" s="17">
        <f>IF($B20="","",IF(AND($F20&gt;=cfgThresholdAfterExam,$J20&lt;&gt;"",$J20&lt;cfgThresholdScore),"Yes","No"))</f>
        <v/>
      </c>
      <c r="S20" s="17">
        <f>IF($B20="","",IF($M20="",-1,$M20))</f>
        <v/>
      </c>
      <c r="T20" s="17">
        <f>IF($B20="","",IF(AND($D20="Active",$P20=0,sysSkills!$J20&lt;&gt;"Yes",sysIncidents!$J20=0,$M20&lt;&gt;""),"Yes","No"))</f>
        <v/>
      </c>
      <c r="U20" s="17">
        <f>IF($T20&lt;&gt;"Yes","",SUMPRODUCT(($T$6:$T$55="Yes")*(($S$6:$S$55&gt;$S20)+($S$6:$S$55=$S20)*(ROW($S$6:$S$55)&lt;ROW())))+1)</f>
        <v/>
      </c>
      <c r="V20" s="17">
        <f>IF($B20="","",IF(AND(OR($E20=0,$I20&gt;=cfgThresholdScore),OR($F20=0,$J20&gt;=cfgThresholdScore),OR(N($G20)=0,$K20&gt;=cfgThresholdScore),OR($H20=0,$L20&gt;=cfgThresholdScore)),"Yes","No"))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f>
        <v/>
      </c>
      <c r="F21" s="17">
        <f>IF($B21="","",COUNTIFS(nrES_PID,$B21,nrES_Type,"Minor",nrES_Final,"Yes",nrES_Rec,"&gt;=0"))</f>
        <v/>
      </c>
      <c r="G21" s="17">
        <f>IF($B21="","",Spelling!Q21)</f>
        <v/>
      </c>
      <c r="H21" s="17">
        <f>IF($B21="","",COUNTIFS(nrES_PID,$B21,nrES_Type,"Final",nrES_Final,"Yes",nrES_Rec,"&gt;=0"))</f>
        <v/>
      </c>
      <c r="I21" s="17">
        <f>IF(OR($B21="",$E21=0),"",IFERROR(ROUND(AVERAGEIFS(nrES_Rec,nrES_PID,$B21,nrES_Type,"Major",nrES_Final,"Yes",nrES_Rec,"&gt;=0"),2),""))</f>
        <v/>
      </c>
      <c r="J21" s="17">
        <f>IF(OR($B21="",$F21=0),"",IFERROR(ROUND(AVERAGEIFS(nrES_Rec,nrES_PID,$B21,nrES_Type,"Minor",nrES_Final,"Yes",nrES_Rec,"&gt;=0"),2),""))</f>
        <v/>
      </c>
      <c r="K21" s="17">
        <f>IF($B21="","",Spelling!P21)</f>
        <v/>
      </c>
      <c r="L21" s="17">
        <f>IF(OR($B21="",$H21=0),"",IFERROR(ROUND(AVERAGEIFS(nrES_Rec,nrES_PID,$B21,nrES_Type,"Final",nrES_Final,"Yes",nrES_Rec,"&gt;=0"),2),""))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IF($B21="","",IF(AND($E21&gt;=cfgThresholdAfterExam,$I21&lt;&gt;"",$I21&lt;cfgThresholdScore),"Yes","No"))</f>
        <v/>
      </c>
      <c r="R21" s="17">
        <f>IF($B21="","",IF(AND($F21&gt;=cfgThresholdAfterExam,$J21&lt;&gt;"",$J21&lt;cfgThresholdScore),"Yes","No"))</f>
        <v/>
      </c>
      <c r="S21" s="17">
        <f>IF($B21="","",IF($M21="",-1,$M21))</f>
        <v/>
      </c>
      <c r="T21" s="17">
        <f>IF($B21="","",IF(AND($D21="Active",$P21=0,sysSkills!$J21&lt;&gt;"Yes",sysIncidents!$J21=0,$M21&lt;&gt;""),"Yes","No"))</f>
        <v/>
      </c>
      <c r="U21" s="17">
        <f>IF($T21&lt;&gt;"Yes","",SUMPRODUCT(($T$6:$T$55="Yes")*(($S$6:$S$55&gt;$S21)+($S$6:$S$55=$S21)*(ROW($S$6:$S$55)&lt;ROW())))+1)</f>
        <v/>
      </c>
      <c r="V21" s="17">
        <f>IF($B21="","",IF(AND(OR($E21=0,$I21&gt;=cfgThresholdScore),OR($F21=0,$J21&gt;=cfgThresholdScore),OR(N($G21)=0,$K21&gt;=cfgThresholdScore),OR($H21=0,$L21&gt;=cfgThresholdScore)),"Yes","No"))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f>
        <v/>
      </c>
      <c r="F22" s="17">
        <f>IF($B22="","",COUNTIFS(nrES_PID,$B22,nrES_Type,"Minor",nrES_Final,"Yes",nrES_Rec,"&gt;=0"))</f>
        <v/>
      </c>
      <c r="G22" s="17">
        <f>IF($B22="","",Spelling!Q22)</f>
        <v/>
      </c>
      <c r="H22" s="17">
        <f>IF($B22="","",COUNTIFS(nrES_PID,$B22,nrES_Type,"Final",nrES_Final,"Yes",nrES_Rec,"&gt;=0"))</f>
        <v/>
      </c>
      <c r="I22" s="17">
        <f>IF(OR($B22="",$E22=0),"",IFERROR(ROUND(AVERAGEIFS(nrES_Rec,nrES_PID,$B22,nrES_Type,"Major",nrES_Final,"Yes",nrES_Rec,"&gt;=0"),2),""))</f>
        <v/>
      </c>
      <c r="J22" s="17">
        <f>IF(OR($B22="",$F22=0),"",IFERROR(ROUND(AVERAGEIFS(nrES_Rec,nrES_PID,$B22,nrES_Type,"Minor",nrES_Final,"Yes",nrES_Rec,"&gt;=0"),2),""))</f>
        <v/>
      </c>
      <c r="K22" s="17">
        <f>IF($B22="","",Spelling!P22)</f>
        <v/>
      </c>
      <c r="L22" s="17">
        <f>IF(OR($B22="",$H22=0),"",IFERROR(ROUND(AVERAGEIFS(nrES_Rec,nrES_PID,$B22,nrES_Type,"Final",nrES_Final,"Yes",nrES_Rec,"&gt;=0"),2),""))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IF($B22="","",IF(AND($E22&gt;=cfgThresholdAfterExam,$I22&lt;&gt;"",$I22&lt;cfgThresholdScore),"Yes","No"))</f>
        <v/>
      </c>
      <c r="R22" s="17">
        <f>IF($B22="","",IF(AND($F22&gt;=cfgThresholdAfterExam,$J22&lt;&gt;"",$J22&lt;cfgThresholdScore),"Yes","No"))</f>
        <v/>
      </c>
      <c r="S22" s="17">
        <f>IF($B22="","",IF($M22="",-1,$M22))</f>
        <v/>
      </c>
      <c r="T22" s="17">
        <f>IF($B22="","",IF(AND($D22="Active",$P22=0,sysSkills!$J22&lt;&gt;"Yes",sysIncidents!$J22=0,$M22&lt;&gt;""),"Yes","No"))</f>
        <v/>
      </c>
      <c r="U22" s="17">
        <f>IF($T22&lt;&gt;"Yes","",SUMPRODUCT(($T$6:$T$55="Yes")*(($S$6:$S$55&gt;$S22)+($S$6:$S$55=$S22)*(ROW($S$6:$S$55)&lt;ROW())))+1)</f>
        <v/>
      </c>
      <c r="V22" s="17">
        <f>IF($B22="","",IF(AND(OR($E22=0,$I22&gt;=cfgThresholdScore),OR($F22=0,$J22&gt;=cfgThresholdScore),OR(N($G22)=0,$K22&gt;=cfgThresholdScore),OR($H22=0,$L22&gt;=cfgThresholdScore)),"Yes","No"))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f>
        <v/>
      </c>
      <c r="F23" s="17">
        <f>IF($B23="","",COUNTIFS(nrES_PID,$B23,nrES_Type,"Minor",nrES_Final,"Yes",nrES_Rec,"&gt;=0"))</f>
        <v/>
      </c>
      <c r="G23" s="17">
        <f>IF($B23="","",Spelling!Q23)</f>
        <v/>
      </c>
      <c r="H23" s="17">
        <f>IF($B23="","",COUNTIFS(nrES_PID,$B23,nrES_Type,"Final",nrES_Final,"Yes",nrES_Rec,"&gt;=0"))</f>
        <v/>
      </c>
      <c r="I23" s="17">
        <f>IF(OR($B23="",$E23=0),"",IFERROR(ROUND(AVERAGEIFS(nrES_Rec,nrES_PID,$B23,nrES_Type,"Major",nrES_Final,"Yes",nrES_Rec,"&gt;=0"),2),""))</f>
        <v/>
      </c>
      <c r="J23" s="17">
        <f>IF(OR($B23="",$F23=0),"",IFERROR(ROUND(AVERAGEIFS(nrES_Rec,nrES_PID,$B23,nrES_Type,"Minor",nrES_Final,"Yes",nrES_Rec,"&gt;=0"),2),""))</f>
        <v/>
      </c>
      <c r="K23" s="17">
        <f>IF($B23="","",Spelling!P23)</f>
        <v/>
      </c>
      <c r="L23" s="17">
        <f>IF(OR($B23="",$H23=0),"",IFERROR(ROUND(AVERAGEIFS(nrES_Rec,nrES_PID,$B23,nrES_Type,"Final",nrES_Final,"Yes",nrES_Rec,"&gt;=0"),2),""))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IF($B23="","",IF(AND($E23&gt;=cfgThresholdAfterExam,$I23&lt;&gt;"",$I23&lt;cfgThresholdScore),"Yes","No"))</f>
        <v/>
      </c>
      <c r="R23" s="17">
        <f>IF($B23="","",IF(AND($F23&gt;=cfgThresholdAfterExam,$J23&lt;&gt;"",$J23&lt;cfgThresholdScore),"Yes","No"))</f>
        <v/>
      </c>
      <c r="S23" s="17">
        <f>IF($B23="","",IF($M23="",-1,$M23))</f>
        <v/>
      </c>
      <c r="T23" s="17">
        <f>IF($B23="","",IF(AND($D23="Active",$P23=0,sysSkills!$J23&lt;&gt;"Yes",sysIncidents!$J23=0,$M23&lt;&gt;""),"Yes","No"))</f>
        <v/>
      </c>
      <c r="U23" s="17">
        <f>IF($T23&lt;&gt;"Yes","",SUMPRODUCT(($T$6:$T$55="Yes")*(($S$6:$S$55&gt;$S23)+($S$6:$S$55=$S23)*(ROW($S$6:$S$55)&lt;ROW())))+1)</f>
        <v/>
      </c>
      <c r="V23" s="17">
        <f>IF($B23="","",IF(AND(OR($E23=0,$I23&gt;=cfgThresholdScore),OR($F23=0,$J23&gt;=cfgThresholdScore),OR(N($G23)=0,$K23&gt;=cfgThresholdScore),OR($H23=0,$L23&gt;=cfgThresholdScore)),"Yes","No"))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f>
        <v/>
      </c>
      <c r="F24" s="17">
        <f>IF($B24="","",COUNTIFS(nrES_PID,$B24,nrES_Type,"Minor",nrES_Final,"Yes",nrES_Rec,"&gt;=0"))</f>
        <v/>
      </c>
      <c r="G24" s="17">
        <f>IF($B24="","",Spelling!Q24)</f>
        <v/>
      </c>
      <c r="H24" s="17">
        <f>IF($B24="","",COUNTIFS(nrES_PID,$B24,nrES_Type,"Final",nrES_Final,"Yes",nrES_Rec,"&gt;=0"))</f>
        <v/>
      </c>
      <c r="I24" s="17">
        <f>IF(OR($B24="",$E24=0),"",IFERROR(ROUND(AVERAGEIFS(nrES_Rec,nrES_PID,$B24,nrES_Type,"Major",nrES_Final,"Yes",nrES_Rec,"&gt;=0"),2),""))</f>
        <v/>
      </c>
      <c r="J24" s="17">
        <f>IF(OR($B24="",$F24=0),"",IFERROR(ROUND(AVERAGEIFS(nrES_Rec,nrES_PID,$B24,nrES_Type,"Minor",nrES_Final,"Yes",nrES_Rec,"&gt;=0"),2),""))</f>
        <v/>
      </c>
      <c r="K24" s="17">
        <f>IF($B24="","",Spelling!P24)</f>
        <v/>
      </c>
      <c r="L24" s="17">
        <f>IF(OR($B24="",$H24=0),"",IFERROR(ROUND(AVERAGEIFS(nrES_Rec,nrES_PID,$B24,nrES_Type,"Final",nrES_Final,"Yes",nrES_Rec,"&gt;=0"),2),""))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IF($B24="","",IF(AND($E24&gt;=cfgThresholdAfterExam,$I24&lt;&gt;"",$I24&lt;cfgThresholdScore),"Yes","No"))</f>
        <v/>
      </c>
      <c r="R24" s="17">
        <f>IF($B24="","",IF(AND($F24&gt;=cfgThresholdAfterExam,$J24&lt;&gt;"",$J24&lt;cfgThresholdScore),"Yes","No"))</f>
        <v/>
      </c>
      <c r="S24" s="17">
        <f>IF($B24="","",IF($M24="",-1,$M24))</f>
        <v/>
      </c>
      <c r="T24" s="17">
        <f>IF($B24="","",IF(AND($D24="Active",$P24=0,sysSkills!$J24&lt;&gt;"Yes",sysIncidents!$J24=0,$M24&lt;&gt;""),"Yes","No"))</f>
        <v/>
      </c>
      <c r="U24" s="17">
        <f>IF($T24&lt;&gt;"Yes","",SUMPRODUCT(($T$6:$T$55="Yes")*(($S$6:$S$55&gt;$S24)+($S$6:$S$55=$S24)*(ROW($S$6:$S$55)&lt;ROW())))+1)</f>
        <v/>
      </c>
      <c r="V24" s="17">
        <f>IF($B24="","",IF(AND(OR($E24=0,$I24&gt;=cfgThresholdScore),OR($F24=0,$J24&gt;=cfgThresholdScore),OR(N($G24)=0,$K24&gt;=cfgThresholdScore),OR($H24=0,$L24&gt;=cfgThresholdScore)),"Yes","No"))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f>
        <v/>
      </c>
      <c r="F25" s="17">
        <f>IF($B25="","",COUNTIFS(nrES_PID,$B25,nrES_Type,"Minor",nrES_Final,"Yes",nrES_Rec,"&gt;=0"))</f>
        <v/>
      </c>
      <c r="G25" s="17">
        <f>IF($B25="","",Spelling!Q25)</f>
        <v/>
      </c>
      <c r="H25" s="17">
        <f>IF($B25="","",COUNTIFS(nrES_PID,$B25,nrES_Type,"Final",nrES_Final,"Yes",nrES_Rec,"&gt;=0"))</f>
        <v/>
      </c>
      <c r="I25" s="17">
        <f>IF(OR($B25="",$E25=0),"",IFERROR(ROUND(AVERAGEIFS(nrES_Rec,nrES_PID,$B25,nrES_Type,"Major",nrES_Final,"Yes",nrES_Rec,"&gt;=0"),2),""))</f>
        <v/>
      </c>
      <c r="J25" s="17">
        <f>IF(OR($B25="",$F25=0),"",IFERROR(ROUND(AVERAGEIFS(nrES_Rec,nrES_PID,$B25,nrES_Type,"Minor",nrES_Final,"Yes",nrES_Rec,"&gt;=0"),2),""))</f>
        <v/>
      </c>
      <c r="K25" s="17">
        <f>IF($B25="","",Spelling!P25)</f>
        <v/>
      </c>
      <c r="L25" s="17">
        <f>IF(OR($B25="",$H25=0),"",IFERROR(ROUND(AVERAGEIFS(nrES_Rec,nrES_PID,$B25,nrES_Type,"Final",nrES_Final,"Yes",nrES_Rec,"&gt;=0"),2),""))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IF($B25="","",IF(AND($E25&gt;=cfgThresholdAfterExam,$I25&lt;&gt;"",$I25&lt;cfgThresholdScore),"Yes","No"))</f>
        <v/>
      </c>
      <c r="R25" s="17">
        <f>IF($B25="","",IF(AND($F25&gt;=cfgThresholdAfterExam,$J25&lt;&gt;"",$J25&lt;cfgThresholdScore),"Yes","No"))</f>
        <v/>
      </c>
      <c r="S25" s="17">
        <f>IF($B25="","",IF($M25="",-1,$M25))</f>
        <v/>
      </c>
      <c r="T25" s="17">
        <f>IF($B25="","",IF(AND($D25="Active",$P25=0,sysSkills!$J25&lt;&gt;"Yes",sysIncidents!$J25=0,$M25&lt;&gt;""),"Yes","No"))</f>
        <v/>
      </c>
      <c r="U25" s="17">
        <f>IF($T25&lt;&gt;"Yes","",SUMPRODUCT(($T$6:$T$55="Yes")*(($S$6:$S$55&gt;$S25)+($S$6:$S$55=$S25)*(ROW($S$6:$S$55)&lt;ROW())))+1)</f>
        <v/>
      </c>
      <c r="V25" s="17">
        <f>IF($B25="","",IF(AND(OR($E25=0,$I25&gt;=cfgThresholdScore),OR($F25=0,$J25&gt;=cfgThresholdScore),OR(N($G25)=0,$K25&gt;=cfgThresholdScore),OR($H25=0,$L25&gt;=cfgThresholdScore)),"Yes","No"))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f>
        <v/>
      </c>
      <c r="F26" s="17">
        <f>IF($B26="","",COUNTIFS(nrES_PID,$B26,nrES_Type,"Minor",nrES_Final,"Yes",nrES_Rec,"&gt;=0"))</f>
        <v/>
      </c>
      <c r="G26" s="17">
        <f>IF($B26="","",Spelling!Q26)</f>
        <v/>
      </c>
      <c r="H26" s="17">
        <f>IF($B26="","",COUNTIFS(nrES_PID,$B26,nrES_Type,"Final",nrES_Final,"Yes",nrES_Rec,"&gt;=0"))</f>
        <v/>
      </c>
      <c r="I26" s="17">
        <f>IF(OR($B26="",$E26=0),"",IFERROR(ROUND(AVERAGEIFS(nrES_Rec,nrES_PID,$B26,nrES_Type,"Major",nrES_Final,"Yes",nrES_Rec,"&gt;=0"),2),""))</f>
        <v/>
      </c>
      <c r="J26" s="17">
        <f>IF(OR($B26="",$F26=0),"",IFERROR(ROUND(AVERAGEIFS(nrES_Rec,nrES_PID,$B26,nrES_Type,"Minor",nrES_Final,"Yes",nrES_Rec,"&gt;=0"),2),""))</f>
        <v/>
      </c>
      <c r="K26" s="17">
        <f>IF($B26="","",Spelling!P26)</f>
        <v/>
      </c>
      <c r="L26" s="17">
        <f>IF(OR($B26="",$H26=0),"",IFERROR(ROUND(AVERAGEIFS(nrES_Rec,nrES_PID,$B26,nrES_Type,"Final",nrES_Final,"Yes",nrES_Rec,"&gt;=0"),2),""))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IF($B26="","",IF(AND($E26&gt;=cfgThresholdAfterExam,$I26&lt;&gt;"",$I26&lt;cfgThresholdScore),"Yes","No"))</f>
        <v/>
      </c>
      <c r="R26" s="17">
        <f>IF($B26="","",IF(AND($F26&gt;=cfgThresholdAfterExam,$J26&lt;&gt;"",$J26&lt;cfgThresholdScore),"Yes","No"))</f>
        <v/>
      </c>
      <c r="S26" s="17">
        <f>IF($B26="","",IF($M26="",-1,$M26))</f>
        <v/>
      </c>
      <c r="T26" s="17">
        <f>IF($B26="","",IF(AND($D26="Active",$P26=0,sysSkills!$J26&lt;&gt;"Yes",sysIncidents!$J26=0,$M26&lt;&gt;""),"Yes","No"))</f>
        <v/>
      </c>
      <c r="U26" s="17">
        <f>IF($T26&lt;&gt;"Yes","",SUMPRODUCT(($T$6:$T$55="Yes")*(($S$6:$S$55&gt;$S26)+($S$6:$S$55=$S26)*(ROW($S$6:$S$55)&lt;ROW())))+1)</f>
        <v/>
      </c>
      <c r="V26" s="17">
        <f>IF($B26="","",IF(AND(OR($E26=0,$I26&gt;=cfgThresholdScore),OR($F26=0,$J26&gt;=cfgThresholdScore),OR(N($G26)=0,$K26&gt;=cfgThresholdScore),OR($H26=0,$L26&gt;=cfgThresholdScore)),"Yes","No"))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f>
        <v/>
      </c>
      <c r="F27" s="17">
        <f>IF($B27="","",COUNTIFS(nrES_PID,$B27,nrES_Type,"Minor",nrES_Final,"Yes",nrES_Rec,"&gt;=0"))</f>
        <v/>
      </c>
      <c r="G27" s="17">
        <f>IF($B27="","",Spelling!Q27)</f>
        <v/>
      </c>
      <c r="H27" s="17">
        <f>IF($B27="","",COUNTIFS(nrES_PID,$B27,nrES_Type,"Final",nrES_Final,"Yes",nrES_Rec,"&gt;=0"))</f>
        <v/>
      </c>
      <c r="I27" s="17">
        <f>IF(OR($B27="",$E27=0),"",IFERROR(ROUND(AVERAGEIFS(nrES_Rec,nrES_PID,$B27,nrES_Type,"Major",nrES_Final,"Yes",nrES_Rec,"&gt;=0"),2),""))</f>
        <v/>
      </c>
      <c r="J27" s="17">
        <f>IF(OR($B27="",$F27=0),"",IFERROR(ROUND(AVERAGEIFS(nrES_Rec,nrES_PID,$B27,nrES_Type,"Minor",nrES_Final,"Yes",nrES_Rec,"&gt;=0"),2),""))</f>
        <v/>
      </c>
      <c r="K27" s="17">
        <f>IF($B27="","",Spelling!P27)</f>
        <v/>
      </c>
      <c r="L27" s="17">
        <f>IF(OR($B27="",$H27=0),"",IFERROR(ROUND(AVERAGEIFS(nrES_Rec,nrES_PID,$B27,nrES_Type,"Final",nrES_Final,"Yes",nrES_Rec,"&gt;=0"),2),""))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IF($B27="","",IF(AND($E27&gt;=cfgThresholdAfterExam,$I27&lt;&gt;"",$I27&lt;cfgThresholdScore),"Yes","No"))</f>
        <v/>
      </c>
      <c r="R27" s="17">
        <f>IF($B27="","",IF(AND($F27&gt;=cfgThresholdAfterExam,$J27&lt;&gt;"",$J27&lt;cfgThresholdScore),"Yes","No"))</f>
        <v/>
      </c>
      <c r="S27" s="17">
        <f>IF($B27="","",IF($M27="",-1,$M27))</f>
        <v/>
      </c>
      <c r="T27" s="17">
        <f>IF($B27="","",IF(AND($D27="Active",$P27=0,sysSkills!$J27&lt;&gt;"Yes",sysIncidents!$J27=0,$M27&lt;&gt;""),"Yes","No"))</f>
        <v/>
      </c>
      <c r="U27" s="17">
        <f>IF($T27&lt;&gt;"Yes","",SUMPRODUCT(($T$6:$T$55="Yes")*(($S$6:$S$55&gt;$S27)+($S$6:$S$55=$S27)*(ROW($S$6:$S$55)&lt;ROW())))+1)</f>
        <v/>
      </c>
      <c r="V27" s="17">
        <f>IF($B27="","",IF(AND(OR($E27=0,$I27&gt;=cfgThresholdScore),OR($F27=0,$J27&gt;=cfgThresholdScore),OR(N($G27)=0,$K27&gt;=cfgThresholdScore),OR($H27=0,$L27&gt;=cfgThresholdScore)),"Yes","No"))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f>
        <v/>
      </c>
      <c r="F28" s="17">
        <f>IF($B28="","",COUNTIFS(nrES_PID,$B28,nrES_Type,"Minor",nrES_Final,"Yes",nrES_Rec,"&gt;=0"))</f>
        <v/>
      </c>
      <c r="G28" s="17">
        <f>IF($B28="","",Spelling!Q28)</f>
        <v/>
      </c>
      <c r="H28" s="17">
        <f>IF($B28="","",COUNTIFS(nrES_PID,$B28,nrES_Type,"Final",nrES_Final,"Yes",nrES_Rec,"&gt;=0"))</f>
        <v/>
      </c>
      <c r="I28" s="17">
        <f>IF(OR($B28="",$E28=0),"",IFERROR(ROUND(AVERAGEIFS(nrES_Rec,nrES_PID,$B28,nrES_Type,"Major",nrES_Final,"Yes",nrES_Rec,"&gt;=0"),2),""))</f>
        <v/>
      </c>
      <c r="J28" s="17">
        <f>IF(OR($B28="",$F28=0),"",IFERROR(ROUND(AVERAGEIFS(nrES_Rec,nrES_PID,$B28,nrES_Type,"Minor",nrES_Final,"Yes",nrES_Rec,"&gt;=0"),2),""))</f>
        <v/>
      </c>
      <c r="K28" s="17">
        <f>IF($B28="","",Spelling!P28)</f>
        <v/>
      </c>
      <c r="L28" s="17">
        <f>IF(OR($B28="",$H28=0),"",IFERROR(ROUND(AVERAGEIFS(nrES_Rec,nrES_PID,$B28,nrES_Type,"Final",nrES_Final,"Yes",nrES_Rec,"&gt;=0"),2),""))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IF($B28="","",IF(AND($E28&gt;=cfgThresholdAfterExam,$I28&lt;&gt;"",$I28&lt;cfgThresholdScore),"Yes","No"))</f>
        <v/>
      </c>
      <c r="R28" s="17">
        <f>IF($B28="","",IF(AND($F28&gt;=cfgThresholdAfterExam,$J28&lt;&gt;"",$J28&lt;cfgThresholdScore),"Yes","No"))</f>
        <v/>
      </c>
      <c r="S28" s="17">
        <f>IF($B28="","",IF($M28="",-1,$M28))</f>
        <v/>
      </c>
      <c r="T28" s="17">
        <f>IF($B28="","",IF(AND($D28="Active",$P28=0,sysSkills!$J28&lt;&gt;"Yes",sysIncidents!$J28=0,$M28&lt;&gt;""),"Yes","No"))</f>
        <v/>
      </c>
      <c r="U28" s="17">
        <f>IF($T28&lt;&gt;"Yes","",SUMPRODUCT(($T$6:$T$55="Yes")*(($S$6:$S$55&gt;$S28)+($S$6:$S$55=$S28)*(ROW($S$6:$S$55)&lt;ROW())))+1)</f>
        <v/>
      </c>
      <c r="V28" s="17">
        <f>IF($B28="","",IF(AND(OR($E28=0,$I28&gt;=cfgThresholdScore),OR($F28=0,$J28&gt;=cfgThresholdScore),OR(N($G28)=0,$K28&gt;=cfgThresholdScore),OR($H28=0,$L28&gt;=cfgThresholdScore)),"Yes","No"))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f>
        <v/>
      </c>
      <c r="F29" s="17">
        <f>IF($B29="","",COUNTIFS(nrES_PID,$B29,nrES_Type,"Minor",nrES_Final,"Yes",nrES_Rec,"&gt;=0"))</f>
        <v/>
      </c>
      <c r="G29" s="17">
        <f>IF($B29="","",Spelling!Q29)</f>
        <v/>
      </c>
      <c r="H29" s="17">
        <f>IF($B29="","",COUNTIFS(nrES_PID,$B29,nrES_Type,"Final",nrES_Final,"Yes",nrES_Rec,"&gt;=0"))</f>
        <v/>
      </c>
      <c r="I29" s="17">
        <f>IF(OR($B29="",$E29=0),"",IFERROR(ROUND(AVERAGEIFS(nrES_Rec,nrES_PID,$B29,nrES_Type,"Major",nrES_Final,"Yes",nrES_Rec,"&gt;=0"),2),""))</f>
        <v/>
      </c>
      <c r="J29" s="17">
        <f>IF(OR($B29="",$F29=0),"",IFERROR(ROUND(AVERAGEIFS(nrES_Rec,nrES_PID,$B29,nrES_Type,"Minor",nrES_Final,"Yes",nrES_Rec,"&gt;=0"),2),""))</f>
        <v/>
      </c>
      <c r="K29" s="17">
        <f>IF($B29="","",Spelling!P29)</f>
        <v/>
      </c>
      <c r="L29" s="17">
        <f>IF(OR($B29="",$H29=0),"",IFERROR(ROUND(AVERAGEIFS(nrES_Rec,nrES_PID,$B29,nrES_Type,"Final",nrES_Final,"Yes",nrES_Rec,"&gt;=0"),2),""))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IF($B29="","",IF(AND($E29&gt;=cfgThresholdAfterExam,$I29&lt;&gt;"",$I29&lt;cfgThresholdScore),"Yes","No"))</f>
        <v/>
      </c>
      <c r="R29" s="17">
        <f>IF($B29="","",IF(AND($F29&gt;=cfgThresholdAfterExam,$J29&lt;&gt;"",$J29&lt;cfgThresholdScore),"Yes","No"))</f>
        <v/>
      </c>
      <c r="S29" s="17">
        <f>IF($B29="","",IF($M29="",-1,$M29))</f>
        <v/>
      </c>
      <c r="T29" s="17">
        <f>IF($B29="","",IF(AND($D29="Active",$P29=0,sysSkills!$J29&lt;&gt;"Yes",sysIncidents!$J29=0,$M29&lt;&gt;""),"Yes","No"))</f>
        <v/>
      </c>
      <c r="U29" s="17">
        <f>IF($T29&lt;&gt;"Yes","",SUMPRODUCT(($T$6:$T$55="Yes")*(($S$6:$S$55&gt;$S29)+($S$6:$S$55=$S29)*(ROW($S$6:$S$55)&lt;ROW())))+1)</f>
        <v/>
      </c>
      <c r="V29" s="17">
        <f>IF($B29="","",IF(AND(OR($E29=0,$I29&gt;=cfgThresholdScore),OR($F29=0,$J29&gt;=cfgThresholdScore),OR(N($G29)=0,$K29&gt;=cfgThresholdScore),OR($H29=0,$L29&gt;=cfgThresholdScore)),"Yes","No"))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f>
        <v/>
      </c>
      <c r="F30" s="17">
        <f>IF($B30="","",COUNTIFS(nrES_PID,$B30,nrES_Type,"Minor",nrES_Final,"Yes",nrES_Rec,"&gt;=0"))</f>
        <v/>
      </c>
      <c r="G30" s="17">
        <f>IF($B30="","",Spelling!Q30)</f>
        <v/>
      </c>
      <c r="H30" s="17">
        <f>IF($B30="","",COUNTIFS(nrES_PID,$B30,nrES_Type,"Final",nrES_Final,"Yes",nrES_Rec,"&gt;=0"))</f>
        <v/>
      </c>
      <c r="I30" s="17">
        <f>IF(OR($B30="",$E30=0),"",IFERROR(ROUND(AVERAGEIFS(nrES_Rec,nrES_PID,$B30,nrES_Type,"Major",nrES_Final,"Yes",nrES_Rec,"&gt;=0"),2),""))</f>
        <v/>
      </c>
      <c r="J30" s="17">
        <f>IF(OR($B30="",$F30=0),"",IFERROR(ROUND(AVERAGEIFS(nrES_Rec,nrES_PID,$B30,nrES_Type,"Minor",nrES_Final,"Yes",nrES_Rec,"&gt;=0"),2),""))</f>
        <v/>
      </c>
      <c r="K30" s="17">
        <f>IF($B30="","",Spelling!P30)</f>
        <v/>
      </c>
      <c r="L30" s="17">
        <f>IF(OR($B30="",$H30=0),"",IFERROR(ROUND(AVERAGEIFS(nrES_Rec,nrES_PID,$B30,nrES_Type,"Final",nrES_Final,"Yes",nrES_Rec,"&gt;=0"),2),""))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IF($B30="","",IF(AND($E30&gt;=cfgThresholdAfterExam,$I30&lt;&gt;"",$I30&lt;cfgThresholdScore),"Yes","No"))</f>
        <v/>
      </c>
      <c r="R30" s="17">
        <f>IF($B30="","",IF(AND($F30&gt;=cfgThresholdAfterExam,$J30&lt;&gt;"",$J30&lt;cfgThresholdScore),"Yes","No"))</f>
        <v/>
      </c>
      <c r="S30" s="17">
        <f>IF($B30="","",IF($M30="",-1,$M30))</f>
        <v/>
      </c>
      <c r="T30" s="17">
        <f>IF($B30="","",IF(AND($D30="Active",$P30=0,sysSkills!$J30&lt;&gt;"Yes",sysIncidents!$J30=0,$M30&lt;&gt;""),"Yes","No"))</f>
        <v/>
      </c>
      <c r="U30" s="17">
        <f>IF($T30&lt;&gt;"Yes","",SUMPRODUCT(($T$6:$T$55="Yes")*(($S$6:$S$55&gt;$S30)+($S$6:$S$55=$S30)*(ROW($S$6:$S$55)&lt;ROW())))+1)</f>
        <v/>
      </c>
      <c r="V30" s="17">
        <f>IF($B30="","",IF(AND(OR($E30=0,$I30&gt;=cfgThresholdScore),OR($F30=0,$J30&gt;=cfgThresholdScore),OR(N($G30)=0,$K30&gt;=cfgThresholdScore),OR($H30=0,$L30&gt;=cfgThresholdScore)),"Yes","No"))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f>
        <v/>
      </c>
      <c r="F31" s="17">
        <f>IF($B31="","",COUNTIFS(nrES_PID,$B31,nrES_Type,"Minor",nrES_Final,"Yes",nrES_Rec,"&gt;=0"))</f>
        <v/>
      </c>
      <c r="G31" s="17">
        <f>IF($B31="","",Spelling!Q31)</f>
        <v/>
      </c>
      <c r="H31" s="17">
        <f>IF($B31="","",COUNTIFS(nrES_PID,$B31,nrES_Type,"Final",nrES_Final,"Yes",nrES_Rec,"&gt;=0"))</f>
        <v/>
      </c>
      <c r="I31" s="17">
        <f>IF(OR($B31="",$E31=0),"",IFERROR(ROUND(AVERAGEIFS(nrES_Rec,nrES_PID,$B31,nrES_Type,"Major",nrES_Final,"Yes",nrES_Rec,"&gt;=0"),2),""))</f>
        <v/>
      </c>
      <c r="J31" s="17">
        <f>IF(OR($B31="",$F31=0),"",IFERROR(ROUND(AVERAGEIFS(nrES_Rec,nrES_PID,$B31,nrES_Type,"Minor",nrES_Final,"Yes",nrES_Rec,"&gt;=0"),2),""))</f>
        <v/>
      </c>
      <c r="K31" s="17">
        <f>IF($B31="","",Spelling!P31)</f>
        <v/>
      </c>
      <c r="L31" s="17">
        <f>IF(OR($B31="",$H31=0),"",IFERROR(ROUND(AVERAGEIFS(nrES_Rec,nrES_PID,$B31,nrES_Type,"Final",nrES_Final,"Yes",nrES_Rec,"&gt;=0"),2),""))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IF($B31="","",IF(AND($E31&gt;=cfgThresholdAfterExam,$I31&lt;&gt;"",$I31&lt;cfgThresholdScore),"Yes","No"))</f>
        <v/>
      </c>
      <c r="R31" s="17">
        <f>IF($B31="","",IF(AND($F31&gt;=cfgThresholdAfterExam,$J31&lt;&gt;"",$J31&lt;cfgThresholdScore),"Yes","No"))</f>
        <v/>
      </c>
      <c r="S31" s="17">
        <f>IF($B31="","",IF($M31="",-1,$M31))</f>
        <v/>
      </c>
      <c r="T31" s="17">
        <f>IF($B31="","",IF(AND($D31="Active",$P31=0,sysSkills!$J31&lt;&gt;"Yes",sysIncidents!$J31=0,$M31&lt;&gt;""),"Yes","No"))</f>
        <v/>
      </c>
      <c r="U31" s="17">
        <f>IF($T31&lt;&gt;"Yes","",SUMPRODUCT(($T$6:$T$55="Yes")*(($S$6:$S$55&gt;$S31)+($S$6:$S$55=$S31)*(ROW($S$6:$S$55)&lt;ROW())))+1)</f>
        <v/>
      </c>
      <c r="V31" s="17">
        <f>IF($B31="","",IF(AND(OR($E31=0,$I31&gt;=cfgThresholdScore),OR($F31=0,$J31&gt;=cfgThresholdScore),OR(N($G31)=0,$K31&gt;=cfgThresholdScore),OR($H31=0,$L31&gt;=cfgThresholdScore)),"Yes","No"))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f>
        <v/>
      </c>
      <c r="F32" s="17">
        <f>IF($B32="","",COUNTIFS(nrES_PID,$B32,nrES_Type,"Minor",nrES_Final,"Yes",nrES_Rec,"&gt;=0"))</f>
        <v/>
      </c>
      <c r="G32" s="17">
        <f>IF($B32="","",Spelling!Q32)</f>
        <v/>
      </c>
      <c r="H32" s="17">
        <f>IF($B32="","",COUNTIFS(nrES_PID,$B32,nrES_Type,"Final",nrES_Final,"Yes",nrES_Rec,"&gt;=0"))</f>
        <v/>
      </c>
      <c r="I32" s="17">
        <f>IF(OR($B32="",$E32=0),"",IFERROR(ROUND(AVERAGEIFS(nrES_Rec,nrES_PID,$B32,nrES_Type,"Major",nrES_Final,"Yes",nrES_Rec,"&gt;=0"),2),""))</f>
        <v/>
      </c>
      <c r="J32" s="17">
        <f>IF(OR($B32="",$F32=0),"",IFERROR(ROUND(AVERAGEIFS(nrES_Rec,nrES_PID,$B32,nrES_Type,"Minor",nrES_Final,"Yes",nrES_Rec,"&gt;=0"),2),""))</f>
        <v/>
      </c>
      <c r="K32" s="17">
        <f>IF($B32="","",Spelling!P32)</f>
        <v/>
      </c>
      <c r="L32" s="17">
        <f>IF(OR($B32="",$H32=0),"",IFERROR(ROUND(AVERAGEIFS(nrES_Rec,nrES_PID,$B32,nrES_Type,"Final",nrES_Final,"Yes",nrES_Rec,"&gt;=0"),2),""))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IF($B32="","",IF(AND($E32&gt;=cfgThresholdAfterExam,$I32&lt;&gt;"",$I32&lt;cfgThresholdScore),"Yes","No"))</f>
        <v/>
      </c>
      <c r="R32" s="17">
        <f>IF($B32="","",IF(AND($F32&gt;=cfgThresholdAfterExam,$J32&lt;&gt;"",$J32&lt;cfgThresholdScore),"Yes","No"))</f>
        <v/>
      </c>
      <c r="S32" s="17">
        <f>IF($B32="","",IF($M32="",-1,$M32))</f>
        <v/>
      </c>
      <c r="T32" s="17">
        <f>IF($B32="","",IF(AND($D32="Active",$P32=0,sysSkills!$J32&lt;&gt;"Yes",sysIncidents!$J32=0,$M32&lt;&gt;""),"Yes","No"))</f>
        <v/>
      </c>
      <c r="U32" s="17">
        <f>IF($T32&lt;&gt;"Yes","",SUMPRODUCT(($T$6:$T$55="Yes")*(($S$6:$S$55&gt;$S32)+($S$6:$S$55=$S32)*(ROW($S$6:$S$55)&lt;ROW())))+1)</f>
        <v/>
      </c>
      <c r="V32" s="17">
        <f>IF($B32="","",IF(AND(OR($E32=0,$I32&gt;=cfgThresholdScore),OR($F32=0,$J32&gt;=cfgThresholdScore),OR(N($G32)=0,$K32&gt;=cfgThresholdScore),OR($H32=0,$L32&gt;=cfgThresholdScore)),"Yes","No"))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f>
        <v/>
      </c>
      <c r="F33" s="17">
        <f>IF($B33="","",COUNTIFS(nrES_PID,$B33,nrES_Type,"Minor",nrES_Final,"Yes",nrES_Rec,"&gt;=0"))</f>
        <v/>
      </c>
      <c r="G33" s="17">
        <f>IF($B33="","",Spelling!Q33)</f>
        <v/>
      </c>
      <c r="H33" s="17">
        <f>IF($B33="","",COUNTIFS(nrES_PID,$B33,nrES_Type,"Final",nrES_Final,"Yes",nrES_Rec,"&gt;=0"))</f>
        <v/>
      </c>
      <c r="I33" s="17">
        <f>IF(OR($B33="",$E33=0),"",IFERROR(ROUND(AVERAGEIFS(nrES_Rec,nrES_PID,$B33,nrES_Type,"Major",nrES_Final,"Yes",nrES_Rec,"&gt;=0"),2),""))</f>
        <v/>
      </c>
      <c r="J33" s="17">
        <f>IF(OR($B33="",$F33=0),"",IFERROR(ROUND(AVERAGEIFS(nrES_Rec,nrES_PID,$B33,nrES_Type,"Minor",nrES_Final,"Yes",nrES_Rec,"&gt;=0"),2),""))</f>
        <v/>
      </c>
      <c r="K33" s="17">
        <f>IF($B33="","",Spelling!P33)</f>
        <v/>
      </c>
      <c r="L33" s="17">
        <f>IF(OR($B33="",$H33=0),"",IFERROR(ROUND(AVERAGEIFS(nrES_Rec,nrES_PID,$B33,nrES_Type,"Final",nrES_Final,"Yes",nrES_Rec,"&gt;=0"),2),""))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IF($B33="","",IF(AND($E33&gt;=cfgThresholdAfterExam,$I33&lt;&gt;"",$I33&lt;cfgThresholdScore),"Yes","No"))</f>
        <v/>
      </c>
      <c r="R33" s="17">
        <f>IF($B33="","",IF(AND($F33&gt;=cfgThresholdAfterExam,$J33&lt;&gt;"",$J33&lt;cfgThresholdScore),"Yes","No"))</f>
        <v/>
      </c>
      <c r="S33" s="17">
        <f>IF($B33="","",IF($M33="",-1,$M33))</f>
        <v/>
      </c>
      <c r="T33" s="17">
        <f>IF($B33="","",IF(AND($D33="Active",$P33=0,sysSkills!$J33&lt;&gt;"Yes",sysIncidents!$J33=0,$M33&lt;&gt;""),"Yes","No"))</f>
        <v/>
      </c>
      <c r="U33" s="17">
        <f>IF($T33&lt;&gt;"Yes","",SUMPRODUCT(($T$6:$T$55="Yes")*(($S$6:$S$55&gt;$S33)+($S$6:$S$55=$S33)*(ROW($S$6:$S$55)&lt;ROW())))+1)</f>
        <v/>
      </c>
      <c r="V33" s="17">
        <f>IF($B33="","",IF(AND(OR($E33=0,$I33&gt;=cfgThresholdScore),OR($F33=0,$J33&gt;=cfgThresholdScore),OR(N($G33)=0,$K33&gt;=cfgThresholdScore),OR($H33=0,$L33&gt;=cfgThresholdScore)),"Yes","No"))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f>
        <v/>
      </c>
      <c r="F34" s="17">
        <f>IF($B34="","",COUNTIFS(nrES_PID,$B34,nrES_Type,"Minor",nrES_Final,"Yes",nrES_Rec,"&gt;=0"))</f>
        <v/>
      </c>
      <c r="G34" s="17">
        <f>IF($B34="","",Spelling!Q34)</f>
        <v/>
      </c>
      <c r="H34" s="17">
        <f>IF($B34="","",COUNTIFS(nrES_PID,$B34,nrES_Type,"Final",nrES_Final,"Yes",nrES_Rec,"&gt;=0"))</f>
        <v/>
      </c>
      <c r="I34" s="17">
        <f>IF(OR($B34="",$E34=0),"",IFERROR(ROUND(AVERAGEIFS(nrES_Rec,nrES_PID,$B34,nrES_Type,"Major",nrES_Final,"Yes",nrES_Rec,"&gt;=0"),2),""))</f>
        <v/>
      </c>
      <c r="J34" s="17">
        <f>IF(OR($B34="",$F34=0),"",IFERROR(ROUND(AVERAGEIFS(nrES_Rec,nrES_PID,$B34,nrES_Type,"Minor",nrES_Final,"Yes",nrES_Rec,"&gt;=0"),2),""))</f>
        <v/>
      </c>
      <c r="K34" s="17">
        <f>IF($B34="","",Spelling!P34)</f>
        <v/>
      </c>
      <c r="L34" s="17">
        <f>IF(OR($B34="",$H34=0),"",IFERROR(ROUND(AVERAGEIFS(nrES_Rec,nrES_PID,$B34,nrES_Type,"Final",nrES_Final,"Yes",nrES_Rec,"&gt;=0"),2),""))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IF($B34="","",IF(AND($E34&gt;=cfgThresholdAfterExam,$I34&lt;&gt;"",$I34&lt;cfgThresholdScore),"Yes","No"))</f>
        <v/>
      </c>
      <c r="R34" s="17">
        <f>IF($B34="","",IF(AND($F34&gt;=cfgThresholdAfterExam,$J34&lt;&gt;"",$J34&lt;cfgThresholdScore),"Yes","No"))</f>
        <v/>
      </c>
      <c r="S34" s="17">
        <f>IF($B34="","",IF($M34="",-1,$M34))</f>
        <v/>
      </c>
      <c r="T34" s="17">
        <f>IF($B34="","",IF(AND($D34="Active",$P34=0,sysSkills!$J34&lt;&gt;"Yes",sysIncidents!$J34=0,$M34&lt;&gt;""),"Yes","No"))</f>
        <v/>
      </c>
      <c r="U34" s="17">
        <f>IF($T34&lt;&gt;"Yes","",SUMPRODUCT(($T$6:$T$55="Yes")*(($S$6:$S$55&gt;$S34)+($S$6:$S$55=$S34)*(ROW($S$6:$S$55)&lt;ROW())))+1)</f>
        <v/>
      </c>
      <c r="V34" s="17">
        <f>IF($B34="","",IF(AND(OR($E34=0,$I34&gt;=cfgThresholdScore),OR($F34=0,$J34&gt;=cfgThresholdScore),OR(N($G34)=0,$K34&gt;=cfgThresholdScore),OR($H34=0,$L34&gt;=cfgThresholdScore)),"Yes","No"))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f>
        <v/>
      </c>
      <c r="F35" s="17">
        <f>IF($B35="","",COUNTIFS(nrES_PID,$B35,nrES_Type,"Minor",nrES_Final,"Yes",nrES_Rec,"&gt;=0"))</f>
        <v/>
      </c>
      <c r="G35" s="17">
        <f>IF($B35="","",Spelling!Q35)</f>
        <v/>
      </c>
      <c r="H35" s="17">
        <f>IF($B35="","",COUNTIFS(nrES_PID,$B35,nrES_Type,"Final",nrES_Final,"Yes",nrES_Rec,"&gt;=0"))</f>
        <v/>
      </c>
      <c r="I35" s="17">
        <f>IF(OR($B35="",$E35=0),"",IFERROR(ROUND(AVERAGEIFS(nrES_Rec,nrES_PID,$B35,nrES_Type,"Major",nrES_Final,"Yes",nrES_Rec,"&gt;=0"),2),""))</f>
        <v/>
      </c>
      <c r="J35" s="17">
        <f>IF(OR($B35="",$F35=0),"",IFERROR(ROUND(AVERAGEIFS(nrES_Rec,nrES_PID,$B35,nrES_Type,"Minor",nrES_Final,"Yes",nrES_Rec,"&gt;=0"),2),""))</f>
        <v/>
      </c>
      <c r="K35" s="17">
        <f>IF($B35="","",Spelling!P35)</f>
        <v/>
      </c>
      <c r="L35" s="17">
        <f>IF(OR($B35="",$H35=0),"",IFERROR(ROUND(AVERAGEIFS(nrES_Rec,nrES_PID,$B35,nrES_Type,"Final",nrES_Final,"Yes",nrES_Rec,"&gt;=0"),2),""))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IF($B35="","",IF(AND($E35&gt;=cfgThresholdAfterExam,$I35&lt;&gt;"",$I35&lt;cfgThresholdScore),"Yes","No"))</f>
        <v/>
      </c>
      <c r="R35" s="17">
        <f>IF($B35="","",IF(AND($F35&gt;=cfgThresholdAfterExam,$J35&lt;&gt;"",$J35&lt;cfgThresholdScore),"Yes","No"))</f>
        <v/>
      </c>
      <c r="S35" s="17">
        <f>IF($B35="","",IF($M35="",-1,$M35))</f>
        <v/>
      </c>
      <c r="T35" s="17">
        <f>IF($B35="","",IF(AND($D35="Active",$P35=0,sysSkills!$J35&lt;&gt;"Yes",sysIncidents!$J35=0,$M35&lt;&gt;""),"Yes","No"))</f>
        <v/>
      </c>
      <c r="U35" s="17">
        <f>IF($T35&lt;&gt;"Yes","",SUMPRODUCT(($T$6:$T$55="Yes")*(($S$6:$S$55&gt;$S35)+($S$6:$S$55=$S35)*(ROW($S$6:$S$55)&lt;ROW())))+1)</f>
        <v/>
      </c>
      <c r="V35" s="17">
        <f>IF($B35="","",IF(AND(OR($E35=0,$I35&gt;=cfgThresholdScore),OR($F35=0,$J35&gt;=cfgThresholdScore),OR(N($G35)=0,$K35&gt;=cfgThresholdScore),OR($H35=0,$L35&gt;=cfgThresholdScore)),"Yes","No"))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f>
        <v/>
      </c>
      <c r="F36" s="17">
        <f>IF($B36="","",COUNTIFS(nrES_PID,$B36,nrES_Type,"Minor",nrES_Final,"Yes",nrES_Rec,"&gt;=0"))</f>
        <v/>
      </c>
      <c r="G36" s="17">
        <f>IF($B36="","",Spelling!Q36)</f>
        <v/>
      </c>
      <c r="H36" s="17">
        <f>IF($B36="","",COUNTIFS(nrES_PID,$B36,nrES_Type,"Final",nrES_Final,"Yes",nrES_Rec,"&gt;=0"))</f>
        <v/>
      </c>
      <c r="I36" s="17">
        <f>IF(OR($B36="",$E36=0),"",IFERROR(ROUND(AVERAGEIFS(nrES_Rec,nrES_PID,$B36,nrES_Type,"Major",nrES_Final,"Yes",nrES_Rec,"&gt;=0"),2),""))</f>
        <v/>
      </c>
      <c r="J36" s="17">
        <f>IF(OR($B36="",$F36=0),"",IFERROR(ROUND(AVERAGEIFS(nrES_Rec,nrES_PID,$B36,nrES_Type,"Minor",nrES_Final,"Yes",nrES_Rec,"&gt;=0"),2),""))</f>
        <v/>
      </c>
      <c r="K36" s="17">
        <f>IF($B36="","",Spelling!P36)</f>
        <v/>
      </c>
      <c r="L36" s="17">
        <f>IF(OR($B36="",$H36=0),"",IFERROR(ROUND(AVERAGEIFS(nrES_Rec,nrES_PID,$B36,nrES_Type,"Final",nrES_Final,"Yes",nrES_Rec,"&gt;=0"),2),""))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IF($B36="","",IF(AND($E36&gt;=cfgThresholdAfterExam,$I36&lt;&gt;"",$I36&lt;cfgThresholdScore),"Yes","No"))</f>
        <v/>
      </c>
      <c r="R36" s="17">
        <f>IF($B36="","",IF(AND($F36&gt;=cfgThresholdAfterExam,$J36&lt;&gt;"",$J36&lt;cfgThresholdScore),"Yes","No"))</f>
        <v/>
      </c>
      <c r="S36" s="17">
        <f>IF($B36="","",IF($M36="",-1,$M36))</f>
        <v/>
      </c>
      <c r="T36" s="17">
        <f>IF($B36="","",IF(AND($D36="Active",$P36=0,sysSkills!$J36&lt;&gt;"Yes",sysIncidents!$J36=0,$M36&lt;&gt;""),"Yes","No"))</f>
        <v/>
      </c>
      <c r="U36" s="17">
        <f>IF($T36&lt;&gt;"Yes","",SUMPRODUCT(($T$6:$T$55="Yes")*(($S$6:$S$55&gt;$S36)+($S$6:$S$55=$S36)*(ROW($S$6:$S$55)&lt;ROW())))+1)</f>
        <v/>
      </c>
      <c r="V36" s="17">
        <f>IF($B36="","",IF(AND(OR($E36=0,$I36&gt;=cfgThresholdScore),OR($F36=0,$J36&gt;=cfgThresholdScore),OR(N($G36)=0,$K36&gt;=cfgThresholdScore),OR($H36=0,$L36&gt;=cfgThresholdScore)),"Yes","No"))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f>
        <v/>
      </c>
      <c r="F37" s="17">
        <f>IF($B37="","",COUNTIFS(nrES_PID,$B37,nrES_Type,"Minor",nrES_Final,"Yes",nrES_Rec,"&gt;=0"))</f>
        <v/>
      </c>
      <c r="G37" s="17">
        <f>IF($B37="","",Spelling!Q37)</f>
        <v/>
      </c>
      <c r="H37" s="17">
        <f>IF($B37="","",COUNTIFS(nrES_PID,$B37,nrES_Type,"Final",nrES_Final,"Yes",nrES_Rec,"&gt;=0"))</f>
        <v/>
      </c>
      <c r="I37" s="17">
        <f>IF(OR($B37="",$E37=0),"",IFERROR(ROUND(AVERAGEIFS(nrES_Rec,nrES_PID,$B37,nrES_Type,"Major",nrES_Final,"Yes",nrES_Rec,"&gt;=0"),2),""))</f>
        <v/>
      </c>
      <c r="J37" s="17">
        <f>IF(OR($B37="",$F37=0),"",IFERROR(ROUND(AVERAGEIFS(nrES_Rec,nrES_PID,$B37,nrES_Type,"Minor",nrES_Final,"Yes",nrES_Rec,"&gt;=0"),2),""))</f>
        <v/>
      </c>
      <c r="K37" s="17">
        <f>IF($B37="","",Spelling!P37)</f>
        <v/>
      </c>
      <c r="L37" s="17">
        <f>IF(OR($B37="",$H37=0),"",IFERROR(ROUND(AVERAGEIFS(nrES_Rec,nrES_PID,$B37,nrES_Type,"Final",nrES_Final,"Yes",nrES_Rec,"&gt;=0"),2),""))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IF($B37="","",IF(AND($E37&gt;=cfgThresholdAfterExam,$I37&lt;&gt;"",$I37&lt;cfgThresholdScore),"Yes","No"))</f>
        <v/>
      </c>
      <c r="R37" s="17">
        <f>IF($B37="","",IF(AND($F37&gt;=cfgThresholdAfterExam,$J37&lt;&gt;"",$J37&lt;cfgThresholdScore),"Yes","No"))</f>
        <v/>
      </c>
      <c r="S37" s="17">
        <f>IF($B37="","",IF($M37="",-1,$M37))</f>
        <v/>
      </c>
      <c r="T37" s="17">
        <f>IF($B37="","",IF(AND($D37="Active",$P37=0,sysSkills!$J37&lt;&gt;"Yes",sysIncidents!$J37=0,$M37&lt;&gt;""),"Yes","No"))</f>
        <v/>
      </c>
      <c r="U37" s="17">
        <f>IF($T37&lt;&gt;"Yes","",SUMPRODUCT(($T$6:$T$55="Yes")*(($S$6:$S$55&gt;$S37)+($S$6:$S$55=$S37)*(ROW($S$6:$S$55)&lt;ROW())))+1)</f>
        <v/>
      </c>
      <c r="V37" s="17">
        <f>IF($B37="","",IF(AND(OR($E37=0,$I37&gt;=cfgThresholdScore),OR($F37=0,$J37&gt;=cfgThresholdScore),OR(N($G37)=0,$K37&gt;=cfgThresholdScore),OR($H37=0,$L37&gt;=cfgThresholdScore)),"Yes","No"))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f>
        <v/>
      </c>
      <c r="F38" s="17">
        <f>IF($B38="","",COUNTIFS(nrES_PID,$B38,nrES_Type,"Minor",nrES_Final,"Yes",nrES_Rec,"&gt;=0"))</f>
        <v/>
      </c>
      <c r="G38" s="17">
        <f>IF($B38="","",Spelling!Q38)</f>
        <v/>
      </c>
      <c r="H38" s="17">
        <f>IF($B38="","",COUNTIFS(nrES_PID,$B38,nrES_Type,"Final",nrES_Final,"Yes",nrES_Rec,"&gt;=0"))</f>
        <v/>
      </c>
      <c r="I38" s="17">
        <f>IF(OR($B38="",$E38=0),"",IFERROR(ROUND(AVERAGEIFS(nrES_Rec,nrES_PID,$B38,nrES_Type,"Major",nrES_Final,"Yes",nrES_Rec,"&gt;=0"),2),""))</f>
        <v/>
      </c>
      <c r="J38" s="17">
        <f>IF(OR($B38="",$F38=0),"",IFERROR(ROUND(AVERAGEIFS(nrES_Rec,nrES_PID,$B38,nrES_Type,"Minor",nrES_Final,"Yes",nrES_Rec,"&gt;=0"),2),""))</f>
        <v/>
      </c>
      <c r="K38" s="17">
        <f>IF($B38="","",Spelling!P38)</f>
        <v/>
      </c>
      <c r="L38" s="17">
        <f>IF(OR($B38="",$H38=0),"",IFERROR(ROUND(AVERAGEIFS(nrES_Rec,nrES_PID,$B38,nrES_Type,"Final",nrES_Final,"Yes",nrES_Rec,"&gt;=0"),2),""))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IF($B38="","",IF(AND($E38&gt;=cfgThresholdAfterExam,$I38&lt;&gt;"",$I38&lt;cfgThresholdScore),"Yes","No"))</f>
        <v/>
      </c>
      <c r="R38" s="17">
        <f>IF($B38="","",IF(AND($F38&gt;=cfgThresholdAfterExam,$J38&lt;&gt;"",$J38&lt;cfgThresholdScore),"Yes","No"))</f>
        <v/>
      </c>
      <c r="S38" s="17">
        <f>IF($B38="","",IF($M38="",-1,$M38))</f>
        <v/>
      </c>
      <c r="T38" s="17">
        <f>IF($B38="","",IF(AND($D38="Active",$P38=0,sysSkills!$J38&lt;&gt;"Yes",sysIncidents!$J38=0,$M38&lt;&gt;""),"Yes","No"))</f>
        <v/>
      </c>
      <c r="U38" s="17">
        <f>IF($T38&lt;&gt;"Yes","",SUMPRODUCT(($T$6:$T$55="Yes")*(($S$6:$S$55&gt;$S38)+($S$6:$S$55=$S38)*(ROW($S$6:$S$55)&lt;ROW())))+1)</f>
        <v/>
      </c>
      <c r="V38" s="17">
        <f>IF($B38="","",IF(AND(OR($E38=0,$I38&gt;=cfgThresholdScore),OR($F38=0,$J38&gt;=cfgThresholdScore),OR(N($G38)=0,$K38&gt;=cfgThresholdScore),OR($H38=0,$L38&gt;=cfgThresholdScore)),"Yes","No"))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f>
        <v/>
      </c>
      <c r="F39" s="17">
        <f>IF($B39="","",COUNTIFS(nrES_PID,$B39,nrES_Type,"Minor",nrES_Final,"Yes",nrES_Rec,"&gt;=0"))</f>
        <v/>
      </c>
      <c r="G39" s="17">
        <f>IF($B39="","",Spelling!Q39)</f>
        <v/>
      </c>
      <c r="H39" s="17">
        <f>IF($B39="","",COUNTIFS(nrES_PID,$B39,nrES_Type,"Final",nrES_Final,"Yes",nrES_Rec,"&gt;=0"))</f>
        <v/>
      </c>
      <c r="I39" s="17">
        <f>IF(OR($B39="",$E39=0),"",IFERROR(ROUND(AVERAGEIFS(nrES_Rec,nrES_PID,$B39,nrES_Type,"Major",nrES_Final,"Yes",nrES_Rec,"&gt;=0"),2),""))</f>
        <v/>
      </c>
      <c r="J39" s="17">
        <f>IF(OR($B39="",$F39=0),"",IFERROR(ROUND(AVERAGEIFS(nrES_Rec,nrES_PID,$B39,nrES_Type,"Minor",nrES_Final,"Yes",nrES_Rec,"&gt;=0"),2),""))</f>
        <v/>
      </c>
      <c r="K39" s="17">
        <f>IF($B39="","",Spelling!P39)</f>
        <v/>
      </c>
      <c r="L39" s="17">
        <f>IF(OR($B39="",$H39=0),"",IFERROR(ROUND(AVERAGEIFS(nrES_Rec,nrES_PID,$B39,nrES_Type,"Final",nrES_Final,"Yes",nrES_Rec,"&gt;=0"),2),""))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IF($B39="","",IF(AND($E39&gt;=cfgThresholdAfterExam,$I39&lt;&gt;"",$I39&lt;cfgThresholdScore),"Yes","No"))</f>
        <v/>
      </c>
      <c r="R39" s="17">
        <f>IF($B39="","",IF(AND($F39&gt;=cfgThresholdAfterExam,$J39&lt;&gt;"",$J39&lt;cfgThresholdScore),"Yes","No"))</f>
        <v/>
      </c>
      <c r="S39" s="17">
        <f>IF($B39="","",IF($M39="",-1,$M39))</f>
        <v/>
      </c>
      <c r="T39" s="17">
        <f>IF($B39="","",IF(AND($D39="Active",$P39=0,sysSkills!$J39&lt;&gt;"Yes",sysIncidents!$J39=0,$M39&lt;&gt;""),"Yes","No"))</f>
        <v/>
      </c>
      <c r="U39" s="17">
        <f>IF($T39&lt;&gt;"Yes","",SUMPRODUCT(($T$6:$T$55="Yes")*(($S$6:$S$55&gt;$S39)+($S$6:$S$55=$S39)*(ROW($S$6:$S$55)&lt;ROW())))+1)</f>
        <v/>
      </c>
      <c r="V39" s="17">
        <f>IF($B39="","",IF(AND(OR($E39=0,$I39&gt;=cfgThresholdScore),OR($F39=0,$J39&gt;=cfgThresholdScore),OR(N($G39)=0,$K39&gt;=cfgThresholdScore),OR($H39=0,$L39&gt;=cfgThresholdScore)),"Yes","No"))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f>
        <v/>
      </c>
      <c r="F40" s="17">
        <f>IF($B40="","",COUNTIFS(nrES_PID,$B40,nrES_Type,"Minor",nrES_Final,"Yes",nrES_Rec,"&gt;=0"))</f>
        <v/>
      </c>
      <c r="G40" s="17">
        <f>IF($B40="","",Spelling!Q40)</f>
        <v/>
      </c>
      <c r="H40" s="17">
        <f>IF($B40="","",COUNTIFS(nrES_PID,$B40,nrES_Type,"Final",nrES_Final,"Yes",nrES_Rec,"&gt;=0"))</f>
        <v/>
      </c>
      <c r="I40" s="17">
        <f>IF(OR($B40="",$E40=0),"",IFERROR(ROUND(AVERAGEIFS(nrES_Rec,nrES_PID,$B40,nrES_Type,"Major",nrES_Final,"Yes",nrES_Rec,"&gt;=0"),2),""))</f>
        <v/>
      </c>
      <c r="J40" s="17">
        <f>IF(OR($B40="",$F40=0),"",IFERROR(ROUND(AVERAGEIFS(nrES_Rec,nrES_PID,$B40,nrES_Type,"Minor",nrES_Final,"Yes",nrES_Rec,"&gt;=0"),2),""))</f>
        <v/>
      </c>
      <c r="K40" s="17">
        <f>IF($B40="","",Spelling!P40)</f>
        <v/>
      </c>
      <c r="L40" s="17">
        <f>IF(OR($B40="",$H40=0),"",IFERROR(ROUND(AVERAGEIFS(nrES_Rec,nrES_PID,$B40,nrES_Type,"Final",nrES_Final,"Yes",nrES_Rec,"&gt;=0"),2),""))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IF($B40="","",IF(AND($E40&gt;=cfgThresholdAfterExam,$I40&lt;&gt;"",$I40&lt;cfgThresholdScore),"Yes","No"))</f>
        <v/>
      </c>
      <c r="R40" s="17">
        <f>IF($B40="","",IF(AND($F40&gt;=cfgThresholdAfterExam,$J40&lt;&gt;"",$J40&lt;cfgThresholdScore),"Yes","No"))</f>
        <v/>
      </c>
      <c r="S40" s="17">
        <f>IF($B40="","",IF($M40="",-1,$M40))</f>
        <v/>
      </c>
      <c r="T40" s="17">
        <f>IF($B40="","",IF(AND($D40="Active",$P40=0,sysSkills!$J40&lt;&gt;"Yes",sysIncidents!$J40=0,$M40&lt;&gt;""),"Yes","No"))</f>
        <v/>
      </c>
      <c r="U40" s="17">
        <f>IF($T40&lt;&gt;"Yes","",SUMPRODUCT(($T$6:$T$55="Yes")*(($S$6:$S$55&gt;$S40)+($S$6:$S$55=$S40)*(ROW($S$6:$S$55)&lt;ROW())))+1)</f>
        <v/>
      </c>
      <c r="V40" s="17">
        <f>IF($B40="","",IF(AND(OR($E40=0,$I40&gt;=cfgThresholdScore),OR($F40=0,$J40&gt;=cfgThresholdScore),OR(N($G40)=0,$K40&gt;=cfgThresholdScore),OR($H40=0,$L40&gt;=cfgThresholdScore)),"Yes","No"))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f>
        <v/>
      </c>
      <c r="F41" s="17">
        <f>IF($B41="","",COUNTIFS(nrES_PID,$B41,nrES_Type,"Minor",nrES_Final,"Yes",nrES_Rec,"&gt;=0"))</f>
        <v/>
      </c>
      <c r="G41" s="17">
        <f>IF($B41="","",Spelling!Q41)</f>
        <v/>
      </c>
      <c r="H41" s="17">
        <f>IF($B41="","",COUNTIFS(nrES_PID,$B41,nrES_Type,"Final",nrES_Final,"Yes",nrES_Rec,"&gt;=0"))</f>
        <v/>
      </c>
      <c r="I41" s="17">
        <f>IF(OR($B41="",$E41=0),"",IFERROR(ROUND(AVERAGEIFS(nrES_Rec,nrES_PID,$B41,nrES_Type,"Major",nrES_Final,"Yes",nrES_Rec,"&gt;=0"),2),""))</f>
        <v/>
      </c>
      <c r="J41" s="17">
        <f>IF(OR($B41="",$F41=0),"",IFERROR(ROUND(AVERAGEIFS(nrES_Rec,nrES_PID,$B41,nrES_Type,"Minor",nrES_Final,"Yes",nrES_Rec,"&gt;=0"),2),""))</f>
        <v/>
      </c>
      <c r="K41" s="17">
        <f>IF($B41="","",Spelling!P41)</f>
        <v/>
      </c>
      <c r="L41" s="17">
        <f>IF(OR($B41="",$H41=0),"",IFERROR(ROUND(AVERAGEIFS(nrES_Rec,nrES_PID,$B41,nrES_Type,"Final",nrES_Final,"Yes",nrES_Rec,"&gt;=0"),2),""))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IF($B41="","",IF(AND($E41&gt;=cfgThresholdAfterExam,$I41&lt;&gt;"",$I41&lt;cfgThresholdScore),"Yes","No"))</f>
        <v/>
      </c>
      <c r="R41" s="17">
        <f>IF($B41="","",IF(AND($F41&gt;=cfgThresholdAfterExam,$J41&lt;&gt;"",$J41&lt;cfgThresholdScore),"Yes","No"))</f>
        <v/>
      </c>
      <c r="S41" s="17">
        <f>IF($B41="","",IF($M41="",-1,$M41))</f>
        <v/>
      </c>
      <c r="T41" s="17">
        <f>IF($B41="","",IF(AND($D41="Active",$P41=0,sysSkills!$J41&lt;&gt;"Yes",sysIncidents!$J41=0,$M41&lt;&gt;""),"Yes","No"))</f>
        <v/>
      </c>
      <c r="U41" s="17">
        <f>IF($T41&lt;&gt;"Yes","",SUMPRODUCT(($T$6:$T$55="Yes")*(($S$6:$S$55&gt;$S41)+($S$6:$S$55=$S41)*(ROW($S$6:$S$55)&lt;ROW())))+1)</f>
        <v/>
      </c>
      <c r="V41" s="17">
        <f>IF($B41="","",IF(AND(OR($E41=0,$I41&gt;=cfgThresholdScore),OR($F41=0,$J41&gt;=cfgThresholdScore),OR(N($G41)=0,$K41&gt;=cfgThresholdScore),OR($H41=0,$L41&gt;=cfgThresholdScore)),"Yes","No"))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f>
        <v/>
      </c>
      <c r="F42" s="17">
        <f>IF($B42="","",COUNTIFS(nrES_PID,$B42,nrES_Type,"Minor",nrES_Final,"Yes",nrES_Rec,"&gt;=0"))</f>
        <v/>
      </c>
      <c r="G42" s="17">
        <f>IF($B42="","",Spelling!Q42)</f>
        <v/>
      </c>
      <c r="H42" s="17">
        <f>IF($B42="","",COUNTIFS(nrES_PID,$B42,nrES_Type,"Final",nrES_Final,"Yes",nrES_Rec,"&gt;=0"))</f>
        <v/>
      </c>
      <c r="I42" s="17">
        <f>IF(OR($B42="",$E42=0),"",IFERROR(ROUND(AVERAGEIFS(nrES_Rec,nrES_PID,$B42,nrES_Type,"Major",nrES_Final,"Yes",nrES_Rec,"&gt;=0"),2),""))</f>
        <v/>
      </c>
      <c r="J42" s="17">
        <f>IF(OR($B42="",$F42=0),"",IFERROR(ROUND(AVERAGEIFS(nrES_Rec,nrES_PID,$B42,nrES_Type,"Minor",nrES_Final,"Yes",nrES_Rec,"&gt;=0"),2),""))</f>
        <v/>
      </c>
      <c r="K42" s="17">
        <f>IF($B42="","",Spelling!P42)</f>
        <v/>
      </c>
      <c r="L42" s="17">
        <f>IF(OR($B42="",$H42=0),"",IFERROR(ROUND(AVERAGEIFS(nrES_Rec,nrES_PID,$B42,nrES_Type,"Final",nrES_Final,"Yes",nrES_Rec,"&gt;=0"),2),""))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IF($B42="","",IF(AND($E42&gt;=cfgThresholdAfterExam,$I42&lt;&gt;"",$I42&lt;cfgThresholdScore),"Yes","No"))</f>
        <v/>
      </c>
      <c r="R42" s="17">
        <f>IF($B42="","",IF(AND($F42&gt;=cfgThresholdAfterExam,$J42&lt;&gt;"",$J42&lt;cfgThresholdScore),"Yes","No"))</f>
        <v/>
      </c>
      <c r="S42" s="17">
        <f>IF($B42="","",IF($M42="",-1,$M42))</f>
        <v/>
      </c>
      <c r="T42" s="17">
        <f>IF($B42="","",IF(AND($D42="Active",$P42=0,sysSkills!$J42&lt;&gt;"Yes",sysIncidents!$J42=0,$M42&lt;&gt;""),"Yes","No"))</f>
        <v/>
      </c>
      <c r="U42" s="17">
        <f>IF($T42&lt;&gt;"Yes","",SUMPRODUCT(($T$6:$T$55="Yes")*(($S$6:$S$55&gt;$S42)+($S$6:$S$55=$S42)*(ROW($S$6:$S$55)&lt;ROW())))+1)</f>
        <v/>
      </c>
      <c r="V42" s="17">
        <f>IF($B42="","",IF(AND(OR($E42=0,$I42&gt;=cfgThresholdScore),OR($F42=0,$J42&gt;=cfgThresholdScore),OR(N($G42)=0,$K42&gt;=cfgThresholdScore),OR($H42=0,$L42&gt;=cfgThresholdScore)),"Yes","No"))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f>
        <v/>
      </c>
      <c r="F43" s="17">
        <f>IF($B43="","",COUNTIFS(nrES_PID,$B43,nrES_Type,"Minor",nrES_Final,"Yes",nrES_Rec,"&gt;=0"))</f>
        <v/>
      </c>
      <c r="G43" s="17">
        <f>IF($B43="","",Spelling!Q43)</f>
        <v/>
      </c>
      <c r="H43" s="17">
        <f>IF($B43="","",COUNTIFS(nrES_PID,$B43,nrES_Type,"Final",nrES_Final,"Yes",nrES_Rec,"&gt;=0"))</f>
        <v/>
      </c>
      <c r="I43" s="17">
        <f>IF(OR($B43="",$E43=0),"",IFERROR(ROUND(AVERAGEIFS(nrES_Rec,nrES_PID,$B43,nrES_Type,"Major",nrES_Final,"Yes",nrES_Rec,"&gt;=0"),2),""))</f>
        <v/>
      </c>
      <c r="J43" s="17">
        <f>IF(OR($B43="",$F43=0),"",IFERROR(ROUND(AVERAGEIFS(nrES_Rec,nrES_PID,$B43,nrES_Type,"Minor",nrES_Final,"Yes",nrES_Rec,"&gt;=0"),2),""))</f>
        <v/>
      </c>
      <c r="K43" s="17">
        <f>IF($B43="","",Spelling!P43)</f>
        <v/>
      </c>
      <c r="L43" s="17">
        <f>IF(OR($B43="",$H43=0),"",IFERROR(ROUND(AVERAGEIFS(nrES_Rec,nrES_PID,$B43,nrES_Type,"Final",nrES_Final,"Yes",nrES_Rec,"&gt;=0"),2),""))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IF($B43="","",IF(AND($E43&gt;=cfgThresholdAfterExam,$I43&lt;&gt;"",$I43&lt;cfgThresholdScore),"Yes","No"))</f>
        <v/>
      </c>
      <c r="R43" s="17">
        <f>IF($B43="","",IF(AND($F43&gt;=cfgThresholdAfterExam,$J43&lt;&gt;"",$J43&lt;cfgThresholdScore),"Yes","No"))</f>
        <v/>
      </c>
      <c r="S43" s="17">
        <f>IF($B43="","",IF($M43="",-1,$M43))</f>
        <v/>
      </c>
      <c r="T43" s="17">
        <f>IF($B43="","",IF(AND($D43="Active",$P43=0,sysSkills!$J43&lt;&gt;"Yes",sysIncidents!$J43=0,$M43&lt;&gt;""),"Yes","No"))</f>
        <v/>
      </c>
      <c r="U43" s="17">
        <f>IF($T43&lt;&gt;"Yes","",SUMPRODUCT(($T$6:$T$55="Yes")*(($S$6:$S$55&gt;$S43)+($S$6:$S$55=$S43)*(ROW($S$6:$S$55)&lt;ROW())))+1)</f>
        <v/>
      </c>
      <c r="V43" s="17">
        <f>IF($B43="","",IF(AND(OR($E43=0,$I43&gt;=cfgThresholdScore),OR($F43=0,$J43&gt;=cfgThresholdScore),OR(N($G43)=0,$K43&gt;=cfgThresholdScore),OR($H43=0,$L43&gt;=cfgThresholdScore)),"Yes","No"))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f>
        <v/>
      </c>
      <c r="F44" s="17">
        <f>IF($B44="","",COUNTIFS(nrES_PID,$B44,nrES_Type,"Minor",nrES_Final,"Yes",nrES_Rec,"&gt;=0"))</f>
        <v/>
      </c>
      <c r="G44" s="17">
        <f>IF($B44="","",Spelling!Q44)</f>
        <v/>
      </c>
      <c r="H44" s="17">
        <f>IF($B44="","",COUNTIFS(nrES_PID,$B44,nrES_Type,"Final",nrES_Final,"Yes",nrES_Rec,"&gt;=0"))</f>
        <v/>
      </c>
      <c r="I44" s="17">
        <f>IF(OR($B44="",$E44=0),"",IFERROR(ROUND(AVERAGEIFS(nrES_Rec,nrES_PID,$B44,nrES_Type,"Major",nrES_Final,"Yes",nrES_Rec,"&gt;=0"),2),""))</f>
        <v/>
      </c>
      <c r="J44" s="17">
        <f>IF(OR($B44="",$F44=0),"",IFERROR(ROUND(AVERAGEIFS(nrES_Rec,nrES_PID,$B44,nrES_Type,"Minor",nrES_Final,"Yes",nrES_Rec,"&gt;=0"),2),""))</f>
        <v/>
      </c>
      <c r="K44" s="17">
        <f>IF($B44="","",Spelling!P44)</f>
        <v/>
      </c>
      <c r="L44" s="17">
        <f>IF(OR($B44="",$H44=0),"",IFERROR(ROUND(AVERAGEIFS(nrES_Rec,nrES_PID,$B44,nrES_Type,"Final",nrES_Final,"Yes",nrES_Rec,"&gt;=0"),2),""))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IF($B44="","",IF(AND($E44&gt;=cfgThresholdAfterExam,$I44&lt;&gt;"",$I44&lt;cfgThresholdScore),"Yes","No"))</f>
        <v/>
      </c>
      <c r="R44" s="17">
        <f>IF($B44="","",IF(AND($F44&gt;=cfgThresholdAfterExam,$J44&lt;&gt;"",$J44&lt;cfgThresholdScore),"Yes","No"))</f>
        <v/>
      </c>
      <c r="S44" s="17">
        <f>IF($B44="","",IF($M44="",-1,$M44))</f>
        <v/>
      </c>
      <c r="T44" s="17">
        <f>IF($B44="","",IF(AND($D44="Active",$P44=0,sysSkills!$J44&lt;&gt;"Yes",sysIncidents!$J44=0,$M44&lt;&gt;""),"Yes","No"))</f>
        <v/>
      </c>
      <c r="U44" s="17">
        <f>IF($T44&lt;&gt;"Yes","",SUMPRODUCT(($T$6:$T$55="Yes")*(($S$6:$S$55&gt;$S44)+($S$6:$S$55=$S44)*(ROW($S$6:$S$55)&lt;ROW())))+1)</f>
        <v/>
      </c>
      <c r="V44" s="17">
        <f>IF($B44="","",IF(AND(OR($E44=0,$I44&gt;=cfgThresholdScore),OR($F44=0,$J44&gt;=cfgThresholdScore),OR(N($G44)=0,$K44&gt;=cfgThresholdScore),OR($H44=0,$L44&gt;=cfgThresholdScore)),"Yes","No"))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f>
        <v/>
      </c>
      <c r="F45" s="17">
        <f>IF($B45="","",COUNTIFS(nrES_PID,$B45,nrES_Type,"Minor",nrES_Final,"Yes",nrES_Rec,"&gt;=0"))</f>
        <v/>
      </c>
      <c r="G45" s="17">
        <f>IF($B45="","",Spelling!Q45)</f>
        <v/>
      </c>
      <c r="H45" s="17">
        <f>IF($B45="","",COUNTIFS(nrES_PID,$B45,nrES_Type,"Final",nrES_Final,"Yes",nrES_Rec,"&gt;=0"))</f>
        <v/>
      </c>
      <c r="I45" s="17">
        <f>IF(OR($B45="",$E45=0),"",IFERROR(ROUND(AVERAGEIFS(nrES_Rec,nrES_PID,$B45,nrES_Type,"Major",nrES_Final,"Yes",nrES_Rec,"&gt;=0"),2),""))</f>
        <v/>
      </c>
      <c r="J45" s="17">
        <f>IF(OR($B45="",$F45=0),"",IFERROR(ROUND(AVERAGEIFS(nrES_Rec,nrES_PID,$B45,nrES_Type,"Minor",nrES_Final,"Yes",nrES_Rec,"&gt;=0"),2),""))</f>
        <v/>
      </c>
      <c r="K45" s="17">
        <f>IF($B45="","",Spelling!P45)</f>
        <v/>
      </c>
      <c r="L45" s="17">
        <f>IF(OR($B45="",$H45=0),"",IFERROR(ROUND(AVERAGEIFS(nrES_Rec,nrES_PID,$B45,nrES_Type,"Final",nrES_Final,"Yes",nrES_Rec,"&gt;=0"),2),""))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IF($B45="","",IF(AND($E45&gt;=cfgThresholdAfterExam,$I45&lt;&gt;"",$I45&lt;cfgThresholdScore),"Yes","No"))</f>
        <v/>
      </c>
      <c r="R45" s="17">
        <f>IF($B45="","",IF(AND($F45&gt;=cfgThresholdAfterExam,$J45&lt;&gt;"",$J45&lt;cfgThresholdScore),"Yes","No"))</f>
        <v/>
      </c>
      <c r="S45" s="17">
        <f>IF($B45="","",IF($M45="",-1,$M45))</f>
        <v/>
      </c>
      <c r="T45" s="17">
        <f>IF($B45="","",IF(AND($D45="Active",$P45=0,sysSkills!$J45&lt;&gt;"Yes",sysIncidents!$J45=0,$M45&lt;&gt;""),"Yes","No"))</f>
        <v/>
      </c>
      <c r="U45" s="17">
        <f>IF($T45&lt;&gt;"Yes","",SUMPRODUCT(($T$6:$T$55="Yes")*(($S$6:$S$55&gt;$S45)+($S$6:$S$55=$S45)*(ROW($S$6:$S$55)&lt;ROW())))+1)</f>
        <v/>
      </c>
      <c r="V45" s="17">
        <f>IF($B45="","",IF(AND(OR($E45=0,$I45&gt;=cfgThresholdScore),OR($F45=0,$J45&gt;=cfgThresholdScore),OR(N($G45)=0,$K45&gt;=cfgThresholdScore),OR($H45=0,$L45&gt;=cfgThresholdScore)),"Yes","No"))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f>
        <v/>
      </c>
      <c r="F46" s="17">
        <f>IF($B46="","",COUNTIFS(nrES_PID,$B46,nrES_Type,"Minor",nrES_Final,"Yes",nrES_Rec,"&gt;=0"))</f>
        <v/>
      </c>
      <c r="G46" s="17">
        <f>IF($B46="","",Spelling!Q46)</f>
        <v/>
      </c>
      <c r="H46" s="17">
        <f>IF($B46="","",COUNTIFS(nrES_PID,$B46,nrES_Type,"Final",nrES_Final,"Yes",nrES_Rec,"&gt;=0"))</f>
        <v/>
      </c>
      <c r="I46" s="17">
        <f>IF(OR($B46="",$E46=0),"",IFERROR(ROUND(AVERAGEIFS(nrES_Rec,nrES_PID,$B46,nrES_Type,"Major",nrES_Final,"Yes",nrES_Rec,"&gt;=0"),2),""))</f>
        <v/>
      </c>
      <c r="J46" s="17">
        <f>IF(OR($B46="",$F46=0),"",IFERROR(ROUND(AVERAGEIFS(nrES_Rec,nrES_PID,$B46,nrES_Type,"Minor",nrES_Final,"Yes",nrES_Rec,"&gt;=0"),2),""))</f>
        <v/>
      </c>
      <c r="K46" s="17">
        <f>IF($B46="","",Spelling!P46)</f>
        <v/>
      </c>
      <c r="L46" s="17">
        <f>IF(OR($B46="",$H46=0),"",IFERROR(ROUND(AVERAGEIFS(nrES_Rec,nrES_PID,$B46,nrES_Type,"Final",nrES_Final,"Yes",nrES_Rec,"&gt;=0"),2),""))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IF($B46="","",IF(AND($E46&gt;=cfgThresholdAfterExam,$I46&lt;&gt;"",$I46&lt;cfgThresholdScore),"Yes","No"))</f>
        <v/>
      </c>
      <c r="R46" s="17">
        <f>IF($B46="","",IF(AND($F46&gt;=cfgThresholdAfterExam,$J46&lt;&gt;"",$J46&lt;cfgThresholdScore),"Yes","No"))</f>
        <v/>
      </c>
      <c r="S46" s="17">
        <f>IF($B46="","",IF($M46="",-1,$M46))</f>
        <v/>
      </c>
      <c r="T46" s="17">
        <f>IF($B46="","",IF(AND($D46="Active",$P46=0,sysSkills!$J46&lt;&gt;"Yes",sysIncidents!$J46=0,$M46&lt;&gt;""),"Yes","No"))</f>
        <v/>
      </c>
      <c r="U46" s="17">
        <f>IF($T46&lt;&gt;"Yes","",SUMPRODUCT(($T$6:$T$55="Yes")*(($S$6:$S$55&gt;$S46)+($S$6:$S$55=$S46)*(ROW($S$6:$S$55)&lt;ROW())))+1)</f>
        <v/>
      </c>
      <c r="V46" s="17">
        <f>IF($B46="","",IF(AND(OR($E46=0,$I46&gt;=cfgThresholdScore),OR($F46=0,$J46&gt;=cfgThresholdScore),OR(N($G46)=0,$K46&gt;=cfgThresholdScore),OR($H46=0,$L46&gt;=cfgThresholdScore)),"Yes","No"))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f>
        <v/>
      </c>
      <c r="F47" s="17">
        <f>IF($B47="","",COUNTIFS(nrES_PID,$B47,nrES_Type,"Minor",nrES_Final,"Yes",nrES_Rec,"&gt;=0"))</f>
        <v/>
      </c>
      <c r="G47" s="17">
        <f>IF($B47="","",Spelling!Q47)</f>
        <v/>
      </c>
      <c r="H47" s="17">
        <f>IF($B47="","",COUNTIFS(nrES_PID,$B47,nrES_Type,"Final",nrES_Final,"Yes",nrES_Rec,"&gt;=0"))</f>
        <v/>
      </c>
      <c r="I47" s="17">
        <f>IF(OR($B47="",$E47=0),"",IFERROR(ROUND(AVERAGEIFS(nrES_Rec,nrES_PID,$B47,nrES_Type,"Major",nrES_Final,"Yes",nrES_Rec,"&gt;=0"),2),""))</f>
        <v/>
      </c>
      <c r="J47" s="17">
        <f>IF(OR($B47="",$F47=0),"",IFERROR(ROUND(AVERAGEIFS(nrES_Rec,nrES_PID,$B47,nrES_Type,"Minor",nrES_Final,"Yes",nrES_Rec,"&gt;=0"),2),""))</f>
        <v/>
      </c>
      <c r="K47" s="17">
        <f>IF($B47="","",Spelling!P47)</f>
        <v/>
      </c>
      <c r="L47" s="17">
        <f>IF(OR($B47="",$H47=0),"",IFERROR(ROUND(AVERAGEIFS(nrES_Rec,nrES_PID,$B47,nrES_Type,"Final",nrES_Final,"Yes",nrES_Rec,"&gt;=0"),2),""))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IF($B47="","",IF(AND($E47&gt;=cfgThresholdAfterExam,$I47&lt;&gt;"",$I47&lt;cfgThresholdScore),"Yes","No"))</f>
        <v/>
      </c>
      <c r="R47" s="17">
        <f>IF($B47="","",IF(AND($F47&gt;=cfgThresholdAfterExam,$J47&lt;&gt;"",$J47&lt;cfgThresholdScore),"Yes","No"))</f>
        <v/>
      </c>
      <c r="S47" s="17">
        <f>IF($B47="","",IF($M47="",-1,$M47))</f>
        <v/>
      </c>
      <c r="T47" s="17">
        <f>IF($B47="","",IF(AND($D47="Active",$P47=0,sysSkills!$J47&lt;&gt;"Yes",sysIncidents!$J47=0,$M47&lt;&gt;""),"Yes","No"))</f>
        <v/>
      </c>
      <c r="U47" s="17">
        <f>IF($T47&lt;&gt;"Yes","",SUMPRODUCT(($T$6:$T$55="Yes")*(($S$6:$S$55&gt;$S47)+($S$6:$S$55=$S47)*(ROW($S$6:$S$55)&lt;ROW())))+1)</f>
        <v/>
      </c>
      <c r="V47" s="17">
        <f>IF($B47="","",IF(AND(OR($E47=0,$I47&gt;=cfgThresholdScore),OR($F47=0,$J47&gt;=cfgThresholdScore),OR(N($G47)=0,$K47&gt;=cfgThresholdScore),OR($H47=0,$L47&gt;=cfgThresholdScore)),"Yes","No"))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f>
        <v/>
      </c>
      <c r="F48" s="17">
        <f>IF($B48="","",COUNTIFS(nrES_PID,$B48,nrES_Type,"Minor",nrES_Final,"Yes",nrES_Rec,"&gt;=0"))</f>
        <v/>
      </c>
      <c r="G48" s="17">
        <f>IF($B48="","",Spelling!Q48)</f>
        <v/>
      </c>
      <c r="H48" s="17">
        <f>IF($B48="","",COUNTIFS(nrES_PID,$B48,nrES_Type,"Final",nrES_Final,"Yes",nrES_Rec,"&gt;=0"))</f>
        <v/>
      </c>
      <c r="I48" s="17">
        <f>IF(OR($B48="",$E48=0),"",IFERROR(ROUND(AVERAGEIFS(nrES_Rec,nrES_PID,$B48,nrES_Type,"Major",nrES_Final,"Yes",nrES_Rec,"&gt;=0"),2),""))</f>
        <v/>
      </c>
      <c r="J48" s="17">
        <f>IF(OR($B48="",$F48=0),"",IFERROR(ROUND(AVERAGEIFS(nrES_Rec,nrES_PID,$B48,nrES_Type,"Minor",nrES_Final,"Yes",nrES_Rec,"&gt;=0"),2),""))</f>
        <v/>
      </c>
      <c r="K48" s="17">
        <f>IF($B48="","",Spelling!P48)</f>
        <v/>
      </c>
      <c r="L48" s="17">
        <f>IF(OR($B48="",$H48=0),"",IFERROR(ROUND(AVERAGEIFS(nrES_Rec,nrES_PID,$B48,nrES_Type,"Final",nrES_Final,"Yes",nrES_Rec,"&gt;=0"),2),""))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IF($B48="","",IF(AND($E48&gt;=cfgThresholdAfterExam,$I48&lt;&gt;"",$I48&lt;cfgThresholdScore),"Yes","No"))</f>
        <v/>
      </c>
      <c r="R48" s="17">
        <f>IF($B48="","",IF(AND($F48&gt;=cfgThresholdAfterExam,$J48&lt;&gt;"",$J48&lt;cfgThresholdScore),"Yes","No"))</f>
        <v/>
      </c>
      <c r="S48" s="17">
        <f>IF($B48="","",IF($M48="",-1,$M48))</f>
        <v/>
      </c>
      <c r="T48" s="17">
        <f>IF($B48="","",IF(AND($D48="Active",$P48=0,sysSkills!$J48&lt;&gt;"Yes",sysIncidents!$J48=0,$M48&lt;&gt;""),"Yes","No"))</f>
        <v/>
      </c>
      <c r="U48" s="17">
        <f>IF($T48&lt;&gt;"Yes","",SUMPRODUCT(($T$6:$T$55="Yes")*(($S$6:$S$55&gt;$S48)+($S$6:$S$55=$S48)*(ROW($S$6:$S$55)&lt;ROW())))+1)</f>
        <v/>
      </c>
      <c r="V48" s="17">
        <f>IF($B48="","",IF(AND(OR($E48=0,$I48&gt;=cfgThresholdScore),OR($F48=0,$J48&gt;=cfgThresholdScore),OR(N($G48)=0,$K48&gt;=cfgThresholdScore),OR($H48=0,$L48&gt;=cfgThresholdScore)),"Yes","No"))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f>
        <v/>
      </c>
      <c r="F49" s="17">
        <f>IF($B49="","",COUNTIFS(nrES_PID,$B49,nrES_Type,"Minor",nrES_Final,"Yes",nrES_Rec,"&gt;=0"))</f>
        <v/>
      </c>
      <c r="G49" s="17">
        <f>IF($B49="","",Spelling!Q49)</f>
        <v/>
      </c>
      <c r="H49" s="17">
        <f>IF($B49="","",COUNTIFS(nrES_PID,$B49,nrES_Type,"Final",nrES_Final,"Yes",nrES_Rec,"&gt;=0"))</f>
        <v/>
      </c>
      <c r="I49" s="17">
        <f>IF(OR($B49="",$E49=0),"",IFERROR(ROUND(AVERAGEIFS(nrES_Rec,nrES_PID,$B49,nrES_Type,"Major",nrES_Final,"Yes",nrES_Rec,"&gt;=0"),2),""))</f>
        <v/>
      </c>
      <c r="J49" s="17">
        <f>IF(OR($B49="",$F49=0),"",IFERROR(ROUND(AVERAGEIFS(nrES_Rec,nrES_PID,$B49,nrES_Type,"Minor",nrES_Final,"Yes",nrES_Rec,"&gt;=0"),2),""))</f>
        <v/>
      </c>
      <c r="K49" s="17">
        <f>IF($B49="","",Spelling!P49)</f>
        <v/>
      </c>
      <c r="L49" s="17">
        <f>IF(OR($B49="",$H49=0),"",IFERROR(ROUND(AVERAGEIFS(nrES_Rec,nrES_PID,$B49,nrES_Type,"Final",nrES_Final,"Yes",nrES_Rec,"&gt;=0"),2),""))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IF($B49="","",IF(AND($E49&gt;=cfgThresholdAfterExam,$I49&lt;&gt;"",$I49&lt;cfgThresholdScore),"Yes","No"))</f>
        <v/>
      </c>
      <c r="R49" s="17">
        <f>IF($B49="","",IF(AND($F49&gt;=cfgThresholdAfterExam,$J49&lt;&gt;"",$J49&lt;cfgThresholdScore),"Yes","No"))</f>
        <v/>
      </c>
      <c r="S49" s="17">
        <f>IF($B49="","",IF($M49="",-1,$M49))</f>
        <v/>
      </c>
      <c r="T49" s="17">
        <f>IF($B49="","",IF(AND($D49="Active",$P49=0,sysSkills!$J49&lt;&gt;"Yes",sysIncidents!$J49=0,$M49&lt;&gt;""),"Yes","No"))</f>
        <v/>
      </c>
      <c r="U49" s="17">
        <f>IF($T49&lt;&gt;"Yes","",SUMPRODUCT(($T$6:$T$55="Yes")*(($S$6:$S$55&gt;$S49)+($S$6:$S$55=$S49)*(ROW($S$6:$S$55)&lt;ROW())))+1)</f>
        <v/>
      </c>
      <c r="V49" s="17">
        <f>IF($B49="","",IF(AND(OR($E49=0,$I49&gt;=cfgThresholdScore),OR($F49=0,$J49&gt;=cfgThresholdScore),OR(N($G49)=0,$K49&gt;=cfgThresholdScore),OR($H49=0,$L49&gt;=cfgThresholdScore)),"Yes","No"))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f>
        <v/>
      </c>
      <c r="F50" s="17">
        <f>IF($B50="","",COUNTIFS(nrES_PID,$B50,nrES_Type,"Minor",nrES_Final,"Yes",nrES_Rec,"&gt;=0"))</f>
        <v/>
      </c>
      <c r="G50" s="17">
        <f>IF($B50="","",Spelling!Q50)</f>
        <v/>
      </c>
      <c r="H50" s="17">
        <f>IF($B50="","",COUNTIFS(nrES_PID,$B50,nrES_Type,"Final",nrES_Final,"Yes",nrES_Rec,"&gt;=0"))</f>
        <v/>
      </c>
      <c r="I50" s="17">
        <f>IF(OR($B50="",$E50=0),"",IFERROR(ROUND(AVERAGEIFS(nrES_Rec,nrES_PID,$B50,nrES_Type,"Major",nrES_Final,"Yes",nrES_Rec,"&gt;=0"),2),""))</f>
        <v/>
      </c>
      <c r="J50" s="17">
        <f>IF(OR($B50="",$F50=0),"",IFERROR(ROUND(AVERAGEIFS(nrES_Rec,nrES_PID,$B50,nrES_Type,"Minor",nrES_Final,"Yes",nrES_Rec,"&gt;=0"),2),""))</f>
        <v/>
      </c>
      <c r="K50" s="17">
        <f>IF($B50="","",Spelling!P50)</f>
        <v/>
      </c>
      <c r="L50" s="17">
        <f>IF(OR($B50="",$H50=0),"",IFERROR(ROUND(AVERAGEIFS(nrES_Rec,nrES_PID,$B50,nrES_Type,"Final",nrES_Final,"Yes",nrES_Rec,"&gt;=0"),2),""))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IF($B50="","",IF(AND($E50&gt;=cfgThresholdAfterExam,$I50&lt;&gt;"",$I50&lt;cfgThresholdScore),"Yes","No"))</f>
        <v/>
      </c>
      <c r="R50" s="17">
        <f>IF($B50="","",IF(AND($F50&gt;=cfgThresholdAfterExam,$J50&lt;&gt;"",$J50&lt;cfgThresholdScore),"Yes","No"))</f>
        <v/>
      </c>
      <c r="S50" s="17">
        <f>IF($B50="","",IF($M50="",-1,$M50))</f>
        <v/>
      </c>
      <c r="T50" s="17">
        <f>IF($B50="","",IF(AND($D50="Active",$P50=0,sysSkills!$J50&lt;&gt;"Yes",sysIncidents!$J50=0,$M50&lt;&gt;""),"Yes","No"))</f>
        <v/>
      </c>
      <c r="U50" s="17">
        <f>IF($T50&lt;&gt;"Yes","",SUMPRODUCT(($T$6:$T$55="Yes")*(($S$6:$S$55&gt;$S50)+($S$6:$S$55=$S50)*(ROW($S$6:$S$55)&lt;ROW())))+1)</f>
        <v/>
      </c>
      <c r="V50" s="17">
        <f>IF($B50="","",IF(AND(OR($E50=0,$I50&gt;=cfgThresholdScore),OR($F50=0,$J50&gt;=cfgThresholdScore),OR(N($G50)=0,$K50&gt;=cfgThresholdScore),OR($H50=0,$L50&gt;=cfgThresholdScore)),"Yes","No"))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f>
        <v/>
      </c>
      <c r="F51" s="17">
        <f>IF($B51="","",COUNTIFS(nrES_PID,$B51,nrES_Type,"Minor",nrES_Final,"Yes",nrES_Rec,"&gt;=0"))</f>
        <v/>
      </c>
      <c r="G51" s="17">
        <f>IF($B51="","",Spelling!Q51)</f>
        <v/>
      </c>
      <c r="H51" s="17">
        <f>IF($B51="","",COUNTIFS(nrES_PID,$B51,nrES_Type,"Final",nrES_Final,"Yes",nrES_Rec,"&gt;=0"))</f>
        <v/>
      </c>
      <c r="I51" s="17">
        <f>IF(OR($B51="",$E51=0),"",IFERROR(ROUND(AVERAGEIFS(nrES_Rec,nrES_PID,$B51,nrES_Type,"Major",nrES_Final,"Yes",nrES_Rec,"&gt;=0"),2),""))</f>
        <v/>
      </c>
      <c r="J51" s="17">
        <f>IF(OR($B51="",$F51=0),"",IFERROR(ROUND(AVERAGEIFS(nrES_Rec,nrES_PID,$B51,nrES_Type,"Minor",nrES_Final,"Yes",nrES_Rec,"&gt;=0"),2),""))</f>
        <v/>
      </c>
      <c r="K51" s="17">
        <f>IF($B51="","",Spelling!P51)</f>
        <v/>
      </c>
      <c r="L51" s="17">
        <f>IF(OR($B51="",$H51=0),"",IFERROR(ROUND(AVERAGEIFS(nrES_Rec,nrES_PID,$B51,nrES_Type,"Final",nrES_Final,"Yes",nrES_Rec,"&gt;=0"),2),""))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IF($B51="","",IF(AND($E51&gt;=cfgThresholdAfterExam,$I51&lt;&gt;"",$I51&lt;cfgThresholdScore),"Yes","No"))</f>
        <v/>
      </c>
      <c r="R51" s="17">
        <f>IF($B51="","",IF(AND($F51&gt;=cfgThresholdAfterExam,$J51&lt;&gt;"",$J51&lt;cfgThresholdScore),"Yes","No"))</f>
        <v/>
      </c>
      <c r="S51" s="17">
        <f>IF($B51="","",IF($M51="",-1,$M51))</f>
        <v/>
      </c>
      <c r="T51" s="17">
        <f>IF($B51="","",IF(AND($D51="Active",$P51=0,sysSkills!$J51&lt;&gt;"Yes",sysIncidents!$J51=0,$M51&lt;&gt;""),"Yes","No"))</f>
        <v/>
      </c>
      <c r="U51" s="17">
        <f>IF($T51&lt;&gt;"Yes","",SUMPRODUCT(($T$6:$T$55="Yes")*(($S$6:$S$55&gt;$S51)+($S$6:$S$55=$S51)*(ROW($S$6:$S$55)&lt;ROW())))+1)</f>
        <v/>
      </c>
      <c r="V51" s="17">
        <f>IF($B51="","",IF(AND(OR($E51=0,$I51&gt;=cfgThresholdScore),OR($F51=0,$J51&gt;=cfgThresholdScore),OR(N($G51)=0,$K51&gt;=cfgThresholdScore),OR($H51=0,$L51&gt;=cfgThresholdScore)),"Yes","No"))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f>
        <v/>
      </c>
      <c r="F52" s="17">
        <f>IF($B52="","",COUNTIFS(nrES_PID,$B52,nrES_Type,"Minor",nrES_Final,"Yes",nrES_Rec,"&gt;=0"))</f>
        <v/>
      </c>
      <c r="G52" s="17">
        <f>IF($B52="","",Spelling!Q52)</f>
        <v/>
      </c>
      <c r="H52" s="17">
        <f>IF($B52="","",COUNTIFS(nrES_PID,$B52,nrES_Type,"Final",nrES_Final,"Yes",nrES_Rec,"&gt;=0"))</f>
        <v/>
      </c>
      <c r="I52" s="17">
        <f>IF(OR($B52="",$E52=0),"",IFERROR(ROUND(AVERAGEIFS(nrES_Rec,nrES_PID,$B52,nrES_Type,"Major",nrES_Final,"Yes",nrES_Rec,"&gt;=0"),2),""))</f>
        <v/>
      </c>
      <c r="J52" s="17">
        <f>IF(OR($B52="",$F52=0),"",IFERROR(ROUND(AVERAGEIFS(nrES_Rec,nrES_PID,$B52,nrES_Type,"Minor",nrES_Final,"Yes",nrES_Rec,"&gt;=0"),2),""))</f>
        <v/>
      </c>
      <c r="K52" s="17">
        <f>IF($B52="","",Spelling!P52)</f>
        <v/>
      </c>
      <c r="L52" s="17">
        <f>IF(OR($B52="",$H52=0),"",IFERROR(ROUND(AVERAGEIFS(nrES_Rec,nrES_PID,$B52,nrES_Type,"Final",nrES_Final,"Yes",nrES_Rec,"&gt;=0"),2),""))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IF($B52="","",IF(AND($E52&gt;=cfgThresholdAfterExam,$I52&lt;&gt;"",$I52&lt;cfgThresholdScore),"Yes","No"))</f>
        <v/>
      </c>
      <c r="R52" s="17">
        <f>IF($B52="","",IF(AND($F52&gt;=cfgThresholdAfterExam,$J52&lt;&gt;"",$J52&lt;cfgThresholdScore),"Yes","No"))</f>
        <v/>
      </c>
      <c r="S52" s="17">
        <f>IF($B52="","",IF($M52="",-1,$M52))</f>
        <v/>
      </c>
      <c r="T52" s="17">
        <f>IF($B52="","",IF(AND($D52="Active",$P52=0,sysSkills!$J52&lt;&gt;"Yes",sysIncidents!$J52=0,$M52&lt;&gt;""),"Yes","No"))</f>
        <v/>
      </c>
      <c r="U52" s="17">
        <f>IF($T52&lt;&gt;"Yes","",SUMPRODUCT(($T$6:$T$55="Yes")*(($S$6:$S$55&gt;$S52)+($S$6:$S$55=$S52)*(ROW($S$6:$S$55)&lt;ROW())))+1)</f>
        <v/>
      </c>
      <c r="V52" s="17">
        <f>IF($B52="","",IF(AND(OR($E52=0,$I52&gt;=cfgThresholdScore),OR($F52=0,$J52&gt;=cfgThresholdScore),OR(N($G52)=0,$K52&gt;=cfgThresholdScore),OR($H52=0,$L52&gt;=cfgThresholdScore)),"Yes","No"))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f>
        <v/>
      </c>
      <c r="F53" s="17">
        <f>IF($B53="","",COUNTIFS(nrES_PID,$B53,nrES_Type,"Minor",nrES_Final,"Yes",nrES_Rec,"&gt;=0"))</f>
        <v/>
      </c>
      <c r="G53" s="17">
        <f>IF($B53="","",Spelling!Q53)</f>
        <v/>
      </c>
      <c r="H53" s="17">
        <f>IF($B53="","",COUNTIFS(nrES_PID,$B53,nrES_Type,"Final",nrES_Final,"Yes",nrES_Rec,"&gt;=0"))</f>
        <v/>
      </c>
      <c r="I53" s="17">
        <f>IF(OR($B53="",$E53=0),"",IFERROR(ROUND(AVERAGEIFS(nrES_Rec,nrES_PID,$B53,nrES_Type,"Major",nrES_Final,"Yes",nrES_Rec,"&gt;=0"),2),""))</f>
        <v/>
      </c>
      <c r="J53" s="17">
        <f>IF(OR($B53="",$F53=0),"",IFERROR(ROUND(AVERAGEIFS(nrES_Rec,nrES_PID,$B53,nrES_Type,"Minor",nrES_Final,"Yes",nrES_Rec,"&gt;=0"),2),""))</f>
        <v/>
      </c>
      <c r="K53" s="17">
        <f>IF($B53="","",Spelling!P53)</f>
        <v/>
      </c>
      <c r="L53" s="17">
        <f>IF(OR($B53="",$H53=0),"",IFERROR(ROUND(AVERAGEIFS(nrES_Rec,nrES_PID,$B53,nrES_Type,"Final",nrES_Final,"Yes",nrES_Rec,"&gt;=0"),2),""))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IF($B53="","",IF(AND($E53&gt;=cfgThresholdAfterExam,$I53&lt;&gt;"",$I53&lt;cfgThresholdScore),"Yes","No"))</f>
        <v/>
      </c>
      <c r="R53" s="17">
        <f>IF($B53="","",IF(AND($F53&gt;=cfgThresholdAfterExam,$J53&lt;&gt;"",$J53&lt;cfgThresholdScore),"Yes","No"))</f>
        <v/>
      </c>
      <c r="S53" s="17">
        <f>IF($B53="","",IF($M53="",-1,$M53))</f>
        <v/>
      </c>
      <c r="T53" s="17">
        <f>IF($B53="","",IF(AND($D53="Active",$P53=0,sysSkills!$J53&lt;&gt;"Yes",sysIncidents!$J53=0,$M53&lt;&gt;""),"Yes","No"))</f>
        <v/>
      </c>
      <c r="U53" s="17">
        <f>IF($T53&lt;&gt;"Yes","",SUMPRODUCT(($T$6:$T$55="Yes")*(($S$6:$S$55&gt;$S53)+($S$6:$S$55=$S53)*(ROW($S$6:$S$55)&lt;ROW())))+1)</f>
        <v/>
      </c>
      <c r="V53" s="17">
        <f>IF($B53="","",IF(AND(OR($E53=0,$I53&gt;=cfgThresholdScore),OR($F53=0,$J53&gt;=cfgThresholdScore),OR(N($G53)=0,$K53&gt;=cfgThresholdScore),OR($H53=0,$L53&gt;=cfgThresholdScore)),"Yes","No"))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f>
        <v/>
      </c>
      <c r="F54" s="17">
        <f>IF($B54="","",COUNTIFS(nrES_PID,$B54,nrES_Type,"Minor",nrES_Final,"Yes",nrES_Rec,"&gt;=0"))</f>
        <v/>
      </c>
      <c r="G54" s="17">
        <f>IF($B54="","",Spelling!Q54)</f>
        <v/>
      </c>
      <c r="H54" s="17">
        <f>IF($B54="","",COUNTIFS(nrES_PID,$B54,nrES_Type,"Final",nrES_Final,"Yes",nrES_Rec,"&gt;=0"))</f>
        <v/>
      </c>
      <c r="I54" s="17">
        <f>IF(OR($B54="",$E54=0),"",IFERROR(ROUND(AVERAGEIFS(nrES_Rec,nrES_PID,$B54,nrES_Type,"Major",nrES_Final,"Yes",nrES_Rec,"&gt;=0"),2),""))</f>
        <v/>
      </c>
      <c r="J54" s="17">
        <f>IF(OR($B54="",$F54=0),"",IFERROR(ROUND(AVERAGEIFS(nrES_Rec,nrES_PID,$B54,nrES_Type,"Minor",nrES_Final,"Yes",nrES_Rec,"&gt;=0"),2),""))</f>
        <v/>
      </c>
      <c r="K54" s="17">
        <f>IF($B54="","",Spelling!P54)</f>
        <v/>
      </c>
      <c r="L54" s="17">
        <f>IF(OR($B54="",$H54=0),"",IFERROR(ROUND(AVERAGEIFS(nrES_Rec,nrES_PID,$B54,nrES_Type,"Final",nrES_Final,"Yes",nrES_Rec,"&gt;=0"),2),""))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IF($B54="","",IF(AND($E54&gt;=cfgThresholdAfterExam,$I54&lt;&gt;"",$I54&lt;cfgThresholdScore),"Yes","No"))</f>
        <v/>
      </c>
      <c r="R54" s="17">
        <f>IF($B54="","",IF(AND($F54&gt;=cfgThresholdAfterExam,$J54&lt;&gt;"",$J54&lt;cfgThresholdScore),"Yes","No"))</f>
        <v/>
      </c>
      <c r="S54" s="17">
        <f>IF($B54="","",IF($M54="",-1,$M54))</f>
        <v/>
      </c>
      <c r="T54" s="17">
        <f>IF($B54="","",IF(AND($D54="Active",$P54=0,sysSkills!$J54&lt;&gt;"Yes",sysIncidents!$J54=0,$M54&lt;&gt;""),"Yes","No"))</f>
        <v/>
      </c>
      <c r="U54" s="17">
        <f>IF($T54&lt;&gt;"Yes","",SUMPRODUCT(($T$6:$T$55="Yes")*(($S$6:$S$55&gt;$S54)+($S$6:$S$55=$S54)*(ROW($S$6:$S$55)&lt;ROW())))+1)</f>
        <v/>
      </c>
      <c r="V54" s="17">
        <f>IF($B54="","",IF(AND(OR($E54=0,$I54&gt;=cfgThresholdScore),OR($F54=0,$J54&gt;=cfgThresholdScore),OR(N($G54)=0,$K54&gt;=cfgThresholdScore),OR($H54=0,$L54&gt;=cfgThresholdScore)),"Yes","No"))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f>
        <v/>
      </c>
      <c r="F55" s="17">
        <f>IF($B55="","",COUNTIFS(nrES_PID,$B55,nrES_Type,"Minor",nrES_Final,"Yes",nrES_Rec,"&gt;=0"))</f>
        <v/>
      </c>
      <c r="G55" s="17">
        <f>IF($B55="","",Spelling!Q55)</f>
        <v/>
      </c>
      <c r="H55" s="17">
        <f>IF($B55="","",COUNTIFS(nrES_PID,$B55,nrES_Type,"Final",nrES_Final,"Yes",nrES_Rec,"&gt;=0"))</f>
        <v/>
      </c>
      <c r="I55" s="17">
        <f>IF(OR($B55="",$E55=0),"",IFERROR(ROUND(AVERAGEIFS(nrES_Rec,nrES_PID,$B55,nrES_Type,"Major",nrES_Final,"Yes",nrES_Rec,"&gt;=0"),2),""))</f>
        <v/>
      </c>
      <c r="J55" s="17">
        <f>IF(OR($B55="",$F55=0),"",IFERROR(ROUND(AVERAGEIFS(nrES_Rec,nrES_PID,$B55,nrES_Type,"Minor",nrES_Final,"Yes",nrES_Rec,"&gt;=0"),2),""))</f>
        <v/>
      </c>
      <c r="K55" s="17">
        <f>IF($B55="","",Spelling!P55)</f>
        <v/>
      </c>
      <c r="L55" s="17">
        <f>IF(OR($B55="",$H55=0),"",IFERROR(ROUND(AVERAGEIFS(nrES_Rec,nrES_PID,$B55,nrES_Type,"Final",nrES_Final,"Yes",nrES_Rec,"&gt;=0"),2),""))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IF($B55="","",IF(AND($E55&gt;=cfgThresholdAfterExam,$I55&lt;&gt;"",$I55&lt;cfgThresholdScore),"Yes","No"))</f>
        <v/>
      </c>
      <c r="R55" s="17">
        <f>IF($B55="","",IF(AND($F55&gt;=cfgThresholdAfterExam,$J55&lt;&gt;"",$J55&lt;cfgThresholdScore),"Yes","No"))</f>
        <v/>
      </c>
      <c r="S55" s="17">
        <f>IF($B55="","",IF($M55="",-1,$M55))</f>
        <v/>
      </c>
      <c r="T55" s="17">
        <f>IF($B55="","",IF(AND($D55="Active",$P55=0,sysSkills!$J55&lt;&gt;"Yes",sysIncidents!$J55=0,$M55&lt;&gt;""),"Yes","No"))</f>
        <v/>
      </c>
      <c r="U55" s="17">
        <f>IF($T55&lt;&gt;"Yes","",SUMPRODUCT(($T$6:$T$55="Yes")*(($S$6:$S$55&gt;$S55)+($S$6:$S$55=$S55)*(ROW($S$6:$S$55)&lt;ROW())))+1)</f>
        <v/>
      </c>
      <c r="V55" s="17">
        <f>IF($B55="","",IF(AND(OR($E55=0,$I55&gt;=cfgThresholdScore),OR($F55=0,$J55&gt;=cfgThresholdScore),OR(N($G55)=0,$K55&gt;=cfgThresholdScore),OR($H55=0,$L55&gt;=cfgThresholdScore)),"Yes","No"))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IF($B6="","",cfgClassroomCapMinutes)</f>
        <v/>
      </c>
      <c r="I6" s="4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IF($B6="","",SUMIFS(nrAT_MadeUpSess,nrAT_PID,$B6,nrAT_Counts,"Yes",nrAT_IsPT,"Yes"))</f>
        <v/>
      </c>
      <c r="O6" s="17">
        <f>IF($B6="","",MAX(0,$M6-$N6))</f>
        <v/>
      </c>
      <c r="P6" s="17">
        <f>IF($B6="","",cfgPTCapSessions)</f>
        <v/>
      </c>
      <c r="Q6" s="47">
        <f>IF($B6="","",IF($P6=0,0,$O6/$P6))</f>
        <v/>
      </c>
      <c r="R6" s="17">
        <f>IF($B6="","",IF($Q6&gt;=1,"At Cap",IF($Q6&gt;=cfgAttendanceCriticalPct,"Critical",IF($Q6&gt;=cfgAttendanceAdvisoryPct,"Advisory","OK"))))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IF($B7="","",cfgClassroomCapMinutes)</f>
        <v/>
      </c>
      <c r="I7" s="4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IF($B7="","",SUMIFS(nrAT_MadeUpSess,nrAT_PID,$B7,nrAT_Counts,"Yes",nrAT_IsPT,"Yes"))</f>
        <v/>
      </c>
      <c r="O7" s="17">
        <f>IF($B7="","",MAX(0,$M7-$N7))</f>
        <v/>
      </c>
      <c r="P7" s="17">
        <f>IF($B7="","",cfgPTCapSessions)</f>
        <v/>
      </c>
      <c r="Q7" s="47">
        <f>IF($B7="","",IF($P7=0,0,$O7/$P7))</f>
        <v/>
      </c>
      <c r="R7" s="17">
        <f>IF($B7="","",IF($Q7&gt;=1,"At Cap",IF($Q7&gt;=cfgAttendanceCriticalPct,"Critical",IF($Q7&gt;=cfgAttendanceAdvisoryPct,"Advisory","OK"))))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IF($B8="","",cfgClassroomCapMinutes)</f>
        <v/>
      </c>
      <c r="I8" s="4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IF($B8="","",SUMIFS(nrAT_MadeUpSess,nrAT_PID,$B8,nrAT_Counts,"Yes",nrAT_IsPT,"Yes"))</f>
        <v/>
      </c>
      <c r="O8" s="17">
        <f>IF($B8="","",MAX(0,$M8-$N8))</f>
        <v/>
      </c>
      <c r="P8" s="17">
        <f>IF($B8="","",cfgPTCapSessions)</f>
        <v/>
      </c>
      <c r="Q8" s="47">
        <f>IF($B8="","",IF($P8=0,0,$O8/$P8))</f>
        <v/>
      </c>
      <c r="R8" s="17">
        <f>IF($B8="","",IF($Q8&gt;=1,"At Cap",IF($Q8&gt;=cfgAttendanceCriticalPct,"Critical",IF($Q8&gt;=cfgAttendanceAdvisoryPct,"Advisory","OK"))))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IF($B9="","",cfgClassroomCapMinutes)</f>
        <v/>
      </c>
      <c r="I9" s="4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IF($B9="","",SUMIFS(nrAT_MadeUpSess,nrAT_PID,$B9,nrAT_Counts,"Yes",nrAT_IsPT,"Yes"))</f>
        <v/>
      </c>
      <c r="O9" s="17">
        <f>IF($B9="","",MAX(0,$M9-$N9))</f>
        <v/>
      </c>
      <c r="P9" s="17">
        <f>IF($B9="","",cfgPTCapSessions)</f>
        <v/>
      </c>
      <c r="Q9" s="47">
        <f>IF($B9="","",IF($P9=0,0,$O9/$P9))</f>
        <v/>
      </c>
      <c r="R9" s="17">
        <f>IF($B9="","",IF($Q9&gt;=1,"At Cap",IF($Q9&gt;=cfgAttendanceCriticalPct,"Critical",IF($Q9&gt;=cfgAttendanceAdvisoryPct,"Advisory","OK"))))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IF($B10="","",cfgClassroomCapMinutes)</f>
        <v/>
      </c>
      <c r="I10" s="4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7">
        <f>IF($B10="","",IF($P10=0,0,$O10/$P10))</f>
        <v/>
      </c>
      <c r="R10" s="17">
        <f>IF($B10="","",IF($Q10&gt;=1,"At Cap",IF($Q10&gt;=cfgAttendanceCriticalPct,"Critical",IF($Q10&gt;=cfgAttendanceAdvisoryPct,"Advisory","OK"))))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IF($B11="","",cfgClassroomCapMinutes)</f>
        <v/>
      </c>
      <c r="I11" s="4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7">
        <f>IF($B11="","",IF($P11=0,0,$O11/$P11))</f>
        <v/>
      </c>
      <c r="R11" s="17">
        <f>IF($B11="","",IF($Q11&gt;=1,"At Cap",IF($Q11&gt;=cfgAttendanceCriticalPct,"Critical",IF($Q11&gt;=cfgAttendanceAdvisoryPct,"Advisory","OK"))))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IF($B12="","",cfgClassroomCapMinutes)</f>
        <v/>
      </c>
      <c r="I12" s="4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7">
        <f>IF($B12="","",IF($P12=0,0,$O12/$P12))</f>
        <v/>
      </c>
      <c r="R12" s="17">
        <f>IF($B12="","",IF($Q12&gt;=1,"At Cap",IF($Q12&gt;=cfgAttendanceCriticalPct,"Critical",IF($Q12&gt;=cfgAttendanceAdvisoryPct,"Advisory","OK"))))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IF($B13="","",cfgClassroomCapMinutes)</f>
        <v/>
      </c>
      <c r="I13" s="4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7">
        <f>IF($B13="","",IF($P13=0,0,$O13/$P13))</f>
        <v/>
      </c>
      <c r="R13" s="17">
        <f>IF($B13="","",IF($Q13&gt;=1,"At Cap",IF($Q13&gt;=cfgAttendanceCriticalPct,"Critical",IF($Q13&gt;=cfgAttendanceAdvisoryPct,"Advisory","OK"))))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IF($B14="","",cfgClassroomCapMinutes)</f>
        <v/>
      </c>
      <c r="I14" s="4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7">
        <f>IF($B14="","",IF($P14=0,0,$O14/$P14))</f>
        <v/>
      </c>
      <c r="R14" s="17">
        <f>IF($B14="","",IF($Q14&gt;=1,"At Cap",IF($Q14&gt;=cfgAttendanceCriticalPct,"Critical",IF($Q14&gt;=cfgAttendanceAdvisoryPct,"Advisory","OK"))))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IF($B15="","",cfgClassroomCapMinutes)</f>
        <v/>
      </c>
      <c r="I15" s="4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7">
        <f>IF($B15="","",IF($P15=0,0,$O15/$P15))</f>
        <v/>
      </c>
      <c r="R15" s="17">
        <f>IF($B15="","",IF($Q15&gt;=1,"At Cap",IF($Q15&gt;=cfgAttendanceCriticalPct,"Critical",IF($Q15&gt;=cfgAttendanceAdvisoryPct,"Advisory","OK"))))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IF($B16="","",cfgClassroomCapMinutes)</f>
        <v/>
      </c>
      <c r="I16" s="4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7">
        <f>IF($B16="","",IF($P16=0,0,$O16/$P16))</f>
        <v/>
      </c>
      <c r="R16" s="17">
        <f>IF($B16="","",IF($Q16&gt;=1,"At Cap",IF($Q16&gt;=cfgAttendanceCriticalPct,"Critical",IF($Q16&gt;=cfgAttendanceAdvisoryPct,"Advisory","OK"))))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IF($B17="","",cfgClassroomCapMinutes)</f>
        <v/>
      </c>
      <c r="I17" s="4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7">
        <f>IF($B17="","",IF($P17=0,0,$O17/$P17))</f>
        <v/>
      </c>
      <c r="R17" s="17">
        <f>IF($B17="","",IF($Q17&gt;=1,"At Cap",IF($Q17&gt;=cfgAttendanceCriticalPct,"Critical",IF($Q17&gt;=cfgAttendanceAdvisoryPct,"Advisory","OK"))))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IF($B18="","",cfgClassroomCapMinutes)</f>
        <v/>
      </c>
      <c r="I18" s="4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7">
        <f>IF($B18="","",IF($P18=0,0,$O18/$P18))</f>
        <v/>
      </c>
      <c r="R18" s="17">
        <f>IF($B18="","",IF($Q18&gt;=1,"At Cap",IF($Q18&gt;=cfgAttendanceCriticalPct,"Critical",IF($Q18&gt;=cfgAttendanceAdvisoryPct,"Advisory","OK"))))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IF($B19="","",cfgClassroomCapMinutes)</f>
        <v/>
      </c>
      <c r="I19" s="4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7">
        <f>IF($B19="","",IF($P19=0,0,$O19/$P19))</f>
        <v/>
      </c>
      <c r="R19" s="17">
        <f>IF($B19="","",IF($Q19&gt;=1,"At Cap",IF($Q19&gt;=cfgAttendanceCriticalPct,"Critical",IF($Q19&gt;=cfgAttendanceAdvisoryPct,"Advisory","OK"))))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IF($B20="","",cfgClassroomCapMinutes)</f>
        <v/>
      </c>
      <c r="I20" s="4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7">
        <f>IF($B20="","",IF($P20=0,0,$O20/$P20))</f>
        <v/>
      </c>
      <c r="R20" s="17">
        <f>IF($B20="","",IF($Q20&gt;=1,"At Cap",IF($Q20&gt;=cfgAttendanceCriticalPct,"Critical",IF($Q20&gt;=cfgAttendanceAdvisoryPct,"Advisory","OK"))))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IF($B21="","",cfgClassroomCapMinutes)</f>
        <v/>
      </c>
      <c r="I21" s="4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7">
        <f>IF($B21="","",IF($P21=0,0,$O21/$P21))</f>
        <v/>
      </c>
      <c r="R21" s="17">
        <f>IF($B21="","",IF($Q21&gt;=1,"At Cap",IF($Q21&gt;=cfgAttendanceCriticalPct,"Critical",IF($Q21&gt;=cfgAttendanceAdvisoryPct,"Advisory","OK"))))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IF($B22="","",cfgClassroomCapMinutes)</f>
        <v/>
      </c>
      <c r="I22" s="4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7">
        <f>IF($B22="","",IF($P22=0,0,$O22/$P22))</f>
        <v/>
      </c>
      <c r="R22" s="17">
        <f>IF($B22="","",IF($Q22&gt;=1,"At Cap",IF($Q22&gt;=cfgAttendanceCriticalPct,"Critical",IF($Q22&gt;=cfgAttendanceAdvisoryPct,"Advisory","OK"))))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IF($B23="","",cfgClassroomCapMinutes)</f>
        <v/>
      </c>
      <c r="I23" s="4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7">
        <f>IF($B23="","",IF($P23=0,0,$O23/$P23))</f>
        <v/>
      </c>
      <c r="R23" s="17">
        <f>IF($B23="","",IF($Q23&gt;=1,"At Cap",IF($Q23&gt;=cfgAttendanceCriticalPct,"Critical",IF($Q23&gt;=cfgAttendanceAdvisoryPct,"Advisory","OK"))))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IF($B24="","",cfgClassroomCapMinutes)</f>
        <v/>
      </c>
      <c r="I24" s="4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7">
        <f>IF($B24="","",IF($P24=0,0,$O24/$P24))</f>
        <v/>
      </c>
      <c r="R24" s="17">
        <f>IF($B24="","",IF($Q24&gt;=1,"At Cap",IF($Q24&gt;=cfgAttendanceCriticalPct,"Critical",IF($Q24&gt;=cfgAttendanceAdvisoryPct,"Advisory","OK"))))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IF($B25="","",cfgClassroomCapMinutes)</f>
        <v/>
      </c>
      <c r="I25" s="4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7">
        <f>IF($B25="","",IF($P25=0,0,$O25/$P25))</f>
        <v/>
      </c>
      <c r="R25" s="17">
        <f>IF($B25="","",IF($Q25&gt;=1,"At Cap",IF($Q25&gt;=cfgAttendanceCriticalPct,"Critical",IF($Q25&gt;=cfgAttendanceAdvisoryPct,"Advisory","OK"))))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IF($B26="","",cfgClassroomCapMinutes)</f>
        <v/>
      </c>
      <c r="I26" s="4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7">
        <f>IF($B26="","",IF($P26=0,0,$O26/$P26))</f>
        <v/>
      </c>
      <c r="R26" s="17">
        <f>IF($B26="","",IF($Q26&gt;=1,"At Cap",IF($Q26&gt;=cfgAttendanceCriticalPct,"Critical",IF($Q26&gt;=cfgAttendanceAdvisoryPct,"Advisory","OK"))))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IF($B27="","",cfgClassroomCapMinutes)</f>
        <v/>
      </c>
      <c r="I27" s="4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7">
        <f>IF($B27="","",IF($P27=0,0,$O27/$P27))</f>
        <v/>
      </c>
      <c r="R27" s="17">
        <f>IF($B27="","",IF($Q27&gt;=1,"At Cap",IF($Q27&gt;=cfgAttendanceCriticalPct,"Critical",IF($Q27&gt;=cfgAttendanceAdvisoryPct,"Advisory","OK"))))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IF($B28="","",cfgClassroomCapMinutes)</f>
        <v/>
      </c>
      <c r="I28" s="4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7">
        <f>IF($B28="","",IF($P28=0,0,$O28/$P28))</f>
        <v/>
      </c>
      <c r="R28" s="17">
        <f>IF($B28="","",IF($Q28&gt;=1,"At Cap",IF($Q28&gt;=cfgAttendanceCriticalPct,"Critical",IF($Q28&gt;=cfgAttendanceAdvisoryPct,"Advisory","OK"))))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IF($B29="","",cfgClassroomCapMinutes)</f>
        <v/>
      </c>
      <c r="I29" s="4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7">
        <f>IF($B29="","",IF($P29=0,0,$O29/$P29))</f>
        <v/>
      </c>
      <c r="R29" s="17">
        <f>IF($B29="","",IF($Q29&gt;=1,"At Cap",IF($Q29&gt;=cfgAttendanceCriticalPct,"Critical",IF($Q29&gt;=cfgAttendanceAdvisoryPct,"Advisory","OK"))))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IF($B30="","",cfgClassroomCapMinutes)</f>
        <v/>
      </c>
      <c r="I30" s="4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7">
        <f>IF($B30="","",IF($P30=0,0,$O30/$P30))</f>
        <v/>
      </c>
      <c r="R30" s="17">
        <f>IF($B30="","",IF($Q30&gt;=1,"At Cap",IF($Q30&gt;=cfgAttendanceCriticalPct,"Critical",IF($Q30&gt;=cfgAttendanceAdvisoryPct,"Advisory","OK"))))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IF($B31="","",cfgClassroomCapMinutes)</f>
        <v/>
      </c>
      <c r="I31" s="4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7">
        <f>IF($B31="","",IF($P31=0,0,$O31/$P31))</f>
        <v/>
      </c>
      <c r="R31" s="17">
        <f>IF($B31="","",IF($Q31&gt;=1,"At Cap",IF($Q31&gt;=cfgAttendanceCriticalPct,"Critical",IF($Q31&gt;=cfgAttendanceAdvisoryPct,"Advisory","OK"))))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IF($B32="","",cfgClassroomCapMinutes)</f>
        <v/>
      </c>
      <c r="I32" s="4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7">
        <f>IF($B32="","",IF($P32=0,0,$O32/$P32))</f>
        <v/>
      </c>
      <c r="R32" s="17">
        <f>IF($B32="","",IF($Q32&gt;=1,"At Cap",IF($Q32&gt;=cfgAttendanceCriticalPct,"Critical",IF($Q32&gt;=cfgAttendanceAdvisoryPct,"Advisory","OK"))))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IF($B33="","",cfgClassroomCapMinutes)</f>
        <v/>
      </c>
      <c r="I33" s="4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7">
        <f>IF($B33="","",IF($P33=0,0,$O33/$P33))</f>
        <v/>
      </c>
      <c r="R33" s="17">
        <f>IF($B33="","",IF($Q33&gt;=1,"At Cap",IF($Q33&gt;=cfgAttendanceCriticalPct,"Critical",IF($Q33&gt;=cfgAttendanceAdvisoryPct,"Advisory","OK"))))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IF($B34="","",cfgClassroomCapMinutes)</f>
        <v/>
      </c>
      <c r="I34" s="4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7">
        <f>IF($B34="","",IF($P34=0,0,$O34/$P34))</f>
        <v/>
      </c>
      <c r="R34" s="17">
        <f>IF($B34="","",IF($Q34&gt;=1,"At Cap",IF($Q34&gt;=cfgAttendanceCriticalPct,"Critical",IF($Q34&gt;=cfgAttendanceAdvisoryPct,"Advisory","OK"))))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IF($B35="","",cfgClassroomCapMinutes)</f>
        <v/>
      </c>
      <c r="I35" s="4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7">
        <f>IF($B35="","",IF($P35=0,0,$O35/$P35))</f>
        <v/>
      </c>
      <c r="R35" s="17">
        <f>IF($B35="","",IF($Q35&gt;=1,"At Cap",IF($Q35&gt;=cfgAttendanceCriticalPct,"Critical",IF($Q35&gt;=cfgAttendanceAdvisoryPct,"Advisory","OK"))))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IF($B36="","",cfgClassroomCapMinutes)</f>
        <v/>
      </c>
      <c r="I36" s="4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7">
        <f>IF($B36="","",IF($P36=0,0,$O36/$P36))</f>
        <v/>
      </c>
      <c r="R36" s="17">
        <f>IF($B36="","",IF($Q36&gt;=1,"At Cap",IF($Q36&gt;=cfgAttendanceCriticalPct,"Critical",IF($Q36&gt;=cfgAttendanceAdvisoryPct,"Advisory","OK"))))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IF($B37="","",cfgClassroomCapMinutes)</f>
        <v/>
      </c>
      <c r="I37" s="4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7">
        <f>IF($B37="","",IF($P37=0,0,$O37/$P37))</f>
        <v/>
      </c>
      <c r="R37" s="17">
        <f>IF($B37="","",IF($Q37&gt;=1,"At Cap",IF($Q37&gt;=cfgAttendanceCriticalPct,"Critical",IF($Q37&gt;=cfgAttendanceAdvisoryPct,"Advisory","OK"))))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IF($B38="","",cfgClassroomCapMinutes)</f>
        <v/>
      </c>
      <c r="I38" s="4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7">
        <f>IF($B38="","",IF($P38=0,0,$O38/$P38))</f>
        <v/>
      </c>
      <c r="R38" s="17">
        <f>IF($B38="","",IF($Q38&gt;=1,"At Cap",IF($Q38&gt;=cfgAttendanceCriticalPct,"Critical",IF($Q38&gt;=cfgAttendanceAdvisoryPct,"Advisory","OK"))))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IF($B39="","",cfgClassroomCapMinutes)</f>
        <v/>
      </c>
      <c r="I39" s="4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7">
        <f>IF($B39="","",IF($P39=0,0,$O39/$P39))</f>
        <v/>
      </c>
      <c r="R39" s="17">
        <f>IF($B39="","",IF($Q39&gt;=1,"At Cap",IF($Q39&gt;=cfgAttendanceCriticalPct,"Critical",IF($Q39&gt;=cfgAttendanceAdvisoryPct,"Advisory","OK"))))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IF($B40="","",cfgClassroomCapMinutes)</f>
        <v/>
      </c>
      <c r="I40" s="4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7">
        <f>IF($B40="","",IF($P40=0,0,$O40/$P40))</f>
        <v/>
      </c>
      <c r="R40" s="17">
        <f>IF($B40="","",IF($Q40&gt;=1,"At Cap",IF($Q40&gt;=cfgAttendanceCriticalPct,"Critical",IF($Q40&gt;=cfgAttendanceAdvisoryPct,"Advisory","OK"))))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IF($B41="","",cfgClassroomCapMinutes)</f>
        <v/>
      </c>
      <c r="I41" s="4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7">
        <f>IF($B41="","",IF($P41=0,0,$O41/$P41))</f>
        <v/>
      </c>
      <c r="R41" s="17">
        <f>IF($B41="","",IF($Q41&gt;=1,"At Cap",IF($Q41&gt;=cfgAttendanceCriticalPct,"Critical",IF($Q41&gt;=cfgAttendanceAdvisoryPct,"Advisory","OK"))))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IF($B42="","",cfgClassroomCapMinutes)</f>
        <v/>
      </c>
      <c r="I42" s="4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7">
        <f>IF($B42="","",IF($P42=0,0,$O42/$P42))</f>
        <v/>
      </c>
      <c r="R42" s="17">
        <f>IF($B42="","",IF($Q42&gt;=1,"At Cap",IF($Q42&gt;=cfgAttendanceCriticalPct,"Critical",IF($Q42&gt;=cfgAttendanceAdvisoryPct,"Advisory","OK"))))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IF($B43="","",cfgClassroomCapMinutes)</f>
        <v/>
      </c>
      <c r="I43" s="4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7">
        <f>IF($B43="","",IF($P43=0,0,$O43/$P43))</f>
        <v/>
      </c>
      <c r="R43" s="17">
        <f>IF($B43="","",IF($Q43&gt;=1,"At Cap",IF($Q43&gt;=cfgAttendanceCriticalPct,"Critical",IF($Q43&gt;=cfgAttendanceAdvisoryPct,"Advisory","OK"))))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IF($B44="","",cfgClassroomCapMinutes)</f>
        <v/>
      </c>
      <c r="I44" s="4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7">
        <f>IF($B44="","",IF($P44=0,0,$O44/$P44))</f>
        <v/>
      </c>
      <c r="R44" s="17">
        <f>IF($B44="","",IF($Q44&gt;=1,"At Cap",IF($Q44&gt;=cfgAttendanceCriticalPct,"Critical",IF($Q44&gt;=cfgAttendanceAdvisoryPct,"Advisory","OK"))))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IF($B45="","",cfgClassroomCapMinutes)</f>
        <v/>
      </c>
      <c r="I45" s="4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7">
        <f>IF($B45="","",IF($P45=0,0,$O45/$P45))</f>
        <v/>
      </c>
      <c r="R45" s="17">
        <f>IF($B45="","",IF($Q45&gt;=1,"At Cap",IF($Q45&gt;=cfgAttendanceCriticalPct,"Critical",IF($Q45&gt;=cfgAttendanceAdvisoryPct,"Advisory","OK"))))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IF($B46="","",cfgClassroomCapMinutes)</f>
        <v/>
      </c>
      <c r="I46" s="4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7">
        <f>IF($B46="","",IF($P46=0,0,$O46/$P46))</f>
        <v/>
      </c>
      <c r="R46" s="17">
        <f>IF($B46="","",IF($Q46&gt;=1,"At Cap",IF($Q46&gt;=cfgAttendanceCriticalPct,"Critical",IF($Q46&gt;=cfgAttendanceAdvisoryPct,"Advisory","OK"))))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IF($B47="","",cfgClassroomCapMinutes)</f>
        <v/>
      </c>
      <c r="I47" s="4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7">
        <f>IF($B47="","",IF($P47=0,0,$O47/$P47))</f>
        <v/>
      </c>
      <c r="R47" s="17">
        <f>IF($B47="","",IF($Q47&gt;=1,"At Cap",IF($Q47&gt;=cfgAttendanceCriticalPct,"Critical",IF($Q47&gt;=cfgAttendanceAdvisoryPct,"Advisory","OK"))))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IF($B48="","",cfgClassroomCapMinutes)</f>
        <v/>
      </c>
      <c r="I48" s="4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7">
        <f>IF($B48="","",IF($P48=0,0,$O48/$P48))</f>
        <v/>
      </c>
      <c r="R48" s="17">
        <f>IF($B48="","",IF($Q48&gt;=1,"At Cap",IF($Q48&gt;=cfgAttendanceCriticalPct,"Critical",IF($Q48&gt;=cfgAttendanceAdvisoryPct,"Advisory","OK"))))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IF($B49="","",cfgClassroomCapMinutes)</f>
        <v/>
      </c>
      <c r="I49" s="4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7">
        <f>IF($B49="","",IF($P49=0,0,$O49/$P49))</f>
        <v/>
      </c>
      <c r="R49" s="17">
        <f>IF($B49="","",IF($Q49&gt;=1,"At Cap",IF($Q49&gt;=cfgAttendanceCriticalPct,"Critical",IF($Q49&gt;=cfgAttendanceAdvisoryPct,"Advisory","OK"))))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IF($B50="","",cfgClassroomCapMinutes)</f>
        <v/>
      </c>
      <c r="I50" s="4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7">
        <f>IF($B50="","",IF($P50=0,0,$O50/$P50))</f>
        <v/>
      </c>
      <c r="R50" s="17">
        <f>IF($B50="","",IF($Q50&gt;=1,"At Cap",IF($Q50&gt;=cfgAttendanceCriticalPct,"Critical",IF($Q50&gt;=cfgAttendanceAdvisoryPct,"Advisory","OK"))))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IF($B51="","",cfgClassroomCapMinutes)</f>
        <v/>
      </c>
      <c r="I51" s="4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7">
        <f>IF($B51="","",IF($P51=0,0,$O51/$P51))</f>
        <v/>
      </c>
      <c r="R51" s="17">
        <f>IF($B51="","",IF($Q51&gt;=1,"At Cap",IF($Q51&gt;=cfgAttendanceCriticalPct,"Critical",IF($Q51&gt;=cfgAttendanceAdvisoryPct,"Advisory","OK"))))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IF($B52="","",cfgClassroomCapMinutes)</f>
        <v/>
      </c>
      <c r="I52" s="4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7">
        <f>IF($B52="","",IF($P52=0,0,$O52/$P52))</f>
        <v/>
      </c>
      <c r="R52" s="17">
        <f>IF($B52="","",IF($Q52&gt;=1,"At Cap",IF($Q52&gt;=cfgAttendanceCriticalPct,"Critical",IF($Q52&gt;=cfgAttendanceAdvisoryPct,"Advisory","OK"))))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IF($B53="","",cfgClassroomCapMinutes)</f>
        <v/>
      </c>
      <c r="I53" s="4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7">
        <f>IF($B53="","",IF($P53=0,0,$O53/$P53))</f>
        <v/>
      </c>
      <c r="R53" s="17">
        <f>IF($B53="","",IF($Q53&gt;=1,"At Cap",IF($Q53&gt;=cfgAttendanceCriticalPct,"Critical",IF($Q53&gt;=cfgAttendanceAdvisoryPct,"Advisory","OK"))))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IF($B54="","",cfgClassroomCapMinutes)</f>
        <v/>
      </c>
      <c r="I54" s="4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7">
        <f>IF($B54="","",IF($P54=0,0,$O54/$P54))</f>
        <v/>
      </c>
      <c r="R54" s="17">
        <f>IF($B54="","",IF($Q54&gt;=1,"At Cap",IF($Q54&gt;=cfgAttendanceCriticalPct,"Critical",IF($Q54&gt;=cfgAttendanceAdvisoryPct,"Advisory","OK"))))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IF($B55="","",cfgClassroomCapMinutes)</f>
        <v/>
      </c>
      <c r="I55" s="4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7">
        <f>IF($B55="","",IF($P55=0,0,$O55/$P55))</f>
        <v/>
      </c>
      <c r="R55" s="17">
        <f>IF($B55="","",IF($Q55&gt;=1,"At Cap",IF($Q55&gt;=cfgAttendanceCriticalPct,"Critical",IF($Q55&gt;=cfgAttendanceAdvisoryPct,"Advisory","OK"))))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t="inlineStr">
        <is>
          <t>Both CoF ≥70?</t>
        </is>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IF($B6="","",COUNTIFS(nrSK_PID,$B6,nrSK_Dis,"Yes"))</f>
        <v/>
      </c>
      <c r="J6" s="17">
        <f>IF($B6="","",IF($I6&gt;0,"Yes","No"))</f>
        <v/>
      </c>
      <c r="K6" s="17">
        <f>IF($B6="","",IF($J6="Yes","No",IF($G6&gt;0,"No","Yes")))</f>
        <v/>
      </c>
      <c r="L6" s="17">
        <f>IF($B6="","",IFERROR(ROUND(AVERAGEIFS(nrSK_Score,nrSK_PID,$B6,nrSK_Cat,"Firearms"),2),""))</f>
        <v/>
      </c>
      <c r="M6" s="17">
        <f>IF($B6="","",IFERROR(_xlfn.MAXIFS(nrSK_Score,nrSK_PID,$B6,nrSK_Cat,"Firearms"),""))</f>
        <v/>
      </c>
      <c r="N6" s="17">
        <f>IF($B6="","",_xlfn.LET(_xlpm.v,_xlfn.MAXIFS(nrSK_Score,nrSK_PID,$B6,nrSK_Cat,"Firearms",nrSK_CoF,1),IF(_xlpm.v=0,"",_xlpm.v)))</f>
        <v/>
      </c>
      <c r="O6" s="17">
        <f>IF($B6="","",_xlfn.LET(_xlpm.v,_xlfn.MAXIFS(nrSK_Score,nrSK_PID,$B6,nrSK_Cat,"Firearms",nrSK_CoF,2),IF(_xlpm.v=0,"",_xlpm.v)))</f>
        <v/>
      </c>
      <c r="P6" s="17">
        <f>IF($B6="","",IF(AND($N6="",$O6=""),"",IF(AND($N6&lt;&gt;"",$O6&lt;&gt;"",N($N6)&gt;=70,N($O6)&gt;=70),"Yes",IF(OR(AND($N6&lt;&gt;"",N($N6)&lt;70),AND($O6&lt;&gt;"",N($O6)&lt;70)),"No","(one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IF($B7="","",COUNTIFS(nrSK_PID,$B7,nrSK_Dis,"Yes"))</f>
        <v/>
      </c>
      <c r="J7" s="17">
        <f>IF($B7="","",IF($I7&gt;0,"Yes","No"))</f>
        <v/>
      </c>
      <c r="K7" s="17">
        <f>IF($B7="","",IF($J7="Yes","No",IF($G7&gt;0,"No","Yes")))</f>
        <v/>
      </c>
      <c r="L7" s="17">
        <f>IF($B7="","",IFERROR(ROUND(AVERAGEIFS(nrSK_Score,nrSK_PID,$B7,nrSK_Cat,"Firearms"),2),""))</f>
        <v/>
      </c>
      <c r="M7" s="17">
        <f>IF($B7="","",IFERROR(_xlfn.MAXIFS(nrSK_Score,nrSK_PID,$B7,nrSK_Cat,"Firearms"),""))</f>
        <v/>
      </c>
      <c r="N7" s="17">
        <f>IF($B7="","",_xlfn.LET(_xlpm.v,_xlfn.MAXIFS(nrSK_Score,nrSK_PID,$B7,nrSK_Cat,"Firearms",nrSK_CoF,1),IF(_xlpm.v=0,"",_xlpm.v)))</f>
        <v/>
      </c>
      <c r="O7" s="17">
        <f>IF($B7="","",_xlfn.LET(_xlpm.v,_xlfn.MAXIFS(nrSK_Score,nrSK_PID,$B7,nrSK_Cat,"Firearms",nrSK_CoF,2),IF(_xlpm.v=0,"",_xlpm.v)))</f>
        <v/>
      </c>
      <c r="P7" s="17">
        <f>IF($B7="","",IF(AND($N7="",$O7=""),"",IF(AND($N7&lt;&gt;"",$O7&lt;&gt;"",N($N7)&gt;=70,N($O7)&gt;=70),"Yes",IF(OR(AND($N7&lt;&gt;"",N($N7)&lt;70),AND($O7&lt;&gt;"",N($O7)&lt;70)),"No","(one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IF($B8="","",COUNTIFS(nrSK_PID,$B8,nrSK_Dis,"Yes"))</f>
        <v/>
      </c>
      <c r="J8" s="17">
        <f>IF($B8="","",IF($I8&gt;0,"Yes","No"))</f>
        <v/>
      </c>
      <c r="K8" s="17">
        <f>IF($B8="","",IF($J8="Yes","No",IF($G8&gt;0,"No","Yes")))</f>
        <v/>
      </c>
      <c r="L8" s="17">
        <f>IF($B8="","",IFERROR(ROUND(AVERAGEIFS(nrSK_Score,nrSK_PID,$B8,nrSK_Cat,"Firearms"),2),""))</f>
        <v/>
      </c>
      <c r="M8" s="17">
        <f>IF($B8="","",IFERROR(_xlfn.MAXIFS(nrSK_Score,nrSK_PID,$B8,nrSK_Cat,"Firearms"),""))</f>
        <v/>
      </c>
      <c r="N8" s="17">
        <f>IF($B8="","",_xlfn.LET(_xlpm.v,_xlfn.MAXIFS(nrSK_Score,nrSK_PID,$B8,nrSK_Cat,"Firearms",nrSK_CoF,1),IF(_xlpm.v=0,"",_xlpm.v)))</f>
        <v/>
      </c>
      <c r="O8" s="17">
        <f>IF($B8="","",_xlfn.LET(_xlpm.v,_xlfn.MAXIFS(nrSK_Score,nrSK_PID,$B8,nrSK_Cat,"Firearms",nrSK_CoF,2),IF(_xlpm.v=0,"",_xlpm.v)))</f>
        <v/>
      </c>
      <c r="P8" s="17">
        <f>IF($B8="","",IF(AND($N8="",$O8=""),"",IF(AND($N8&lt;&gt;"",$O8&lt;&gt;"",N($N8)&gt;=70,N($O8)&gt;=70),"Yes",IF(OR(AND($N8&lt;&gt;"",N($N8)&lt;70),AND($O8&lt;&gt;"",N($O8)&lt;70)),"No","(one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IF($B9="","",COUNTIFS(nrSK_PID,$B9,nrSK_Dis,"Yes"))</f>
        <v/>
      </c>
      <c r="J9" s="17">
        <f>IF($B9="","",IF($I9&gt;0,"Yes","No"))</f>
        <v/>
      </c>
      <c r="K9" s="17">
        <f>IF($B9="","",IF($J9="Yes","No",IF($G9&gt;0,"No","Yes")))</f>
        <v/>
      </c>
      <c r="L9" s="17">
        <f>IF($B9="","",IFERROR(ROUND(AVERAGEIFS(nrSK_Score,nrSK_PID,$B9,nrSK_Cat,"Firearms"),2),""))</f>
        <v/>
      </c>
      <c r="M9" s="17">
        <f>IF($B9="","",IFERROR(_xlfn.MAXIFS(nrSK_Score,nrSK_PID,$B9,nrSK_Cat,"Firearms"),""))</f>
        <v/>
      </c>
      <c r="N9" s="17">
        <f>IF($B9="","",_xlfn.LET(_xlpm.v,_xlfn.MAXIFS(nrSK_Score,nrSK_PID,$B9,nrSK_Cat,"Firearms",nrSK_CoF,1),IF(_xlpm.v=0,"",_xlpm.v)))</f>
        <v/>
      </c>
      <c r="O9" s="17">
        <f>IF($B9="","",_xlfn.LET(_xlpm.v,_xlfn.MAXIFS(nrSK_Score,nrSK_PID,$B9,nrSK_Cat,"Firearms",nrSK_CoF,2),IF(_xlpm.v=0,"",_xlpm.v)))</f>
        <v/>
      </c>
      <c r="P9" s="17">
        <f>IF($B9="","",IF(AND($N9="",$O9=""),"",IF(AND($N9&lt;&gt;"",$O9&lt;&gt;"",N($N9)&gt;=70,N($O9)&gt;=70),"Yes",IF(OR(AND($N9&lt;&gt;"",N($N9)&lt;70),AND($O9&lt;&gt;"",N($O9)&lt;70)),"No","(one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IF($B10="","",COUNTIFS(nrSK_PID,$B10,nrSK_Dis,"Yes"))</f>
        <v/>
      </c>
      <c r="J10" s="17">
        <f>IF($B10="","",IF($I10&gt;0,"Yes","No"))</f>
        <v/>
      </c>
      <c r="K10" s="17">
        <f>IF($B10="","",IF($J10="Yes","No",IF($G10&gt;0,"No","Yes")))</f>
        <v/>
      </c>
      <c r="L10" s="17">
        <f>IF($B10="","",IFERROR(ROUND(AVERAGEIFS(nrSK_Score,nrSK_PID,$B10,nrSK_Cat,"Firearms"),2),""))</f>
        <v/>
      </c>
      <c r="M10" s="17">
        <f>IF($B10="","",IFERROR(_xlfn.MAXIFS(nrSK_Score,nrSK_PID,$B10,nrSK_Cat,"Firearms"),""))</f>
        <v/>
      </c>
      <c r="N10" s="17">
        <f>IF($B10="","",_xlfn.LET(_xlpm.v,_xlfn.MAXIFS(nrSK_Score,nrSK_PID,$B10,nrSK_Cat,"Firearms",nrSK_CoF,1),IF(_xlpm.v=0,"",_xlpm.v)))</f>
        <v/>
      </c>
      <c r="O10" s="17">
        <f>IF($B10="","",_xlfn.LET(_xlpm.v,_xlfn.MAXIFS(nrSK_Score,nrSK_PID,$B10,nrSK_Cat,"Firearms",nrSK_CoF,2),IF(_xlpm.v=0,"",_xlpm.v)))</f>
        <v/>
      </c>
      <c r="P10" s="17">
        <f>IF($B10="","",IF(AND($N10="",$O10=""),"",IF(AND($N10&lt;&gt;"",$O10&lt;&gt;"",N($N10)&gt;=70,N($O10)&gt;=70),"Yes",IF(OR(AND($N10&lt;&gt;"",N($N10)&lt;70),AND($O10&lt;&gt;"",N($O10)&lt;70)),"No","(one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IF($B11="","",COUNTIFS(nrSK_PID,$B11,nrSK_Dis,"Yes"))</f>
        <v/>
      </c>
      <c r="J11" s="17">
        <f>IF($B11="","",IF($I11&gt;0,"Yes","No"))</f>
        <v/>
      </c>
      <c r="K11" s="17">
        <f>IF($B11="","",IF($J11="Yes","No",IF($G11&gt;0,"No","Yes")))</f>
        <v/>
      </c>
      <c r="L11" s="17">
        <f>IF($B11="","",IFERROR(ROUND(AVERAGEIFS(nrSK_Score,nrSK_PID,$B11,nrSK_Cat,"Firearms"),2),""))</f>
        <v/>
      </c>
      <c r="M11" s="17">
        <f>IF($B11="","",IFERROR(_xlfn.MAXIFS(nrSK_Score,nrSK_PID,$B11,nrSK_Cat,"Firearms"),""))</f>
        <v/>
      </c>
      <c r="N11" s="17">
        <f>IF($B11="","",_xlfn.LET(_xlpm.v,_xlfn.MAXIFS(nrSK_Score,nrSK_PID,$B11,nrSK_Cat,"Firearms",nrSK_CoF,1),IF(_xlpm.v=0,"",_xlpm.v)))</f>
        <v/>
      </c>
      <c r="O11" s="17">
        <f>IF($B11="","",_xlfn.LET(_xlpm.v,_xlfn.MAXIFS(nrSK_Score,nrSK_PID,$B11,nrSK_Cat,"Firearms",nrSK_CoF,2),IF(_xlpm.v=0,"",_xlpm.v)))</f>
        <v/>
      </c>
      <c r="P11" s="17">
        <f>IF($B11="","",IF(AND($N11="",$O11=""),"",IF(AND($N11&lt;&gt;"",$O11&lt;&gt;"",N($N11)&gt;=70,N($O11)&gt;=70),"Yes",IF(OR(AND($N11&lt;&gt;"",N($N11)&lt;70),AND($O11&lt;&gt;"",N($O11)&lt;70)),"No","(one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IF($B12="","",COUNTIFS(nrSK_PID,$B12,nrSK_Dis,"Yes"))</f>
        <v/>
      </c>
      <c r="J12" s="17">
        <f>IF($B12="","",IF($I12&gt;0,"Yes","No"))</f>
        <v/>
      </c>
      <c r="K12" s="17">
        <f>IF($B12="","",IF($J12="Yes","No",IF($G12&gt;0,"No","Yes")))</f>
        <v/>
      </c>
      <c r="L12" s="17">
        <f>IF($B12="","",IFERROR(ROUND(AVERAGEIFS(nrSK_Score,nrSK_PID,$B12,nrSK_Cat,"Firearms"),2),""))</f>
        <v/>
      </c>
      <c r="M12" s="17">
        <f>IF($B12="","",IFERROR(_xlfn.MAXIFS(nrSK_Score,nrSK_PID,$B12,nrSK_Cat,"Firearms"),""))</f>
        <v/>
      </c>
      <c r="N12" s="17">
        <f>IF($B12="","",_xlfn.LET(_xlpm.v,_xlfn.MAXIFS(nrSK_Score,nrSK_PID,$B12,nrSK_Cat,"Firearms",nrSK_CoF,1),IF(_xlpm.v=0,"",_xlpm.v)))</f>
        <v/>
      </c>
      <c r="O12" s="17">
        <f>IF($B12="","",_xlfn.LET(_xlpm.v,_xlfn.MAXIFS(nrSK_Score,nrSK_PID,$B12,nrSK_Cat,"Firearms",nrSK_CoF,2),IF(_xlpm.v=0,"",_xlpm.v)))</f>
        <v/>
      </c>
      <c r="P12" s="17">
        <f>IF($B12="","",IF(AND($N12="",$O12=""),"",IF(AND($N12&lt;&gt;"",$O12&lt;&gt;"",N($N12)&gt;=70,N($O12)&gt;=70),"Yes",IF(OR(AND($N12&lt;&gt;"",N($N12)&lt;70),AND($O12&lt;&gt;"",N($O12)&lt;70)),"No","(one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IF($B13="","",COUNTIFS(nrSK_PID,$B13,nrSK_Dis,"Yes"))</f>
        <v/>
      </c>
      <c r="J13" s="17">
        <f>IF($B13="","",IF($I13&gt;0,"Yes","No"))</f>
        <v/>
      </c>
      <c r="K13" s="17">
        <f>IF($B13="","",IF($J13="Yes","No",IF($G13&gt;0,"No","Yes")))</f>
        <v/>
      </c>
      <c r="L13" s="17">
        <f>IF($B13="","",IFERROR(ROUND(AVERAGEIFS(nrSK_Score,nrSK_PID,$B13,nrSK_Cat,"Firearms"),2),""))</f>
        <v/>
      </c>
      <c r="M13" s="17">
        <f>IF($B13="","",IFERROR(_xlfn.MAXIFS(nrSK_Score,nrSK_PID,$B13,nrSK_Cat,"Firearms"),""))</f>
        <v/>
      </c>
      <c r="N13" s="17">
        <f>IF($B13="","",_xlfn.LET(_xlpm.v,_xlfn.MAXIFS(nrSK_Score,nrSK_PID,$B13,nrSK_Cat,"Firearms",nrSK_CoF,1),IF(_xlpm.v=0,"",_xlpm.v)))</f>
        <v/>
      </c>
      <c r="O13" s="17">
        <f>IF($B13="","",_xlfn.LET(_xlpm.v,_xlfn.MAXIFS(nrSK_Score,nrSK_PID,$B13,nrSK_Cat,"Firearms",nrSK_CoF,2),IF(_xlpm.v=0,"",_xlpm.v)))</f>
        <v/>
      </c>
      <c r="P13" s="17">
        <f>IF($B13="","",IF(AND($N13="",$O13=""),"",IF(AND($N13&lt;&gt;"",$O13&lt;&gt;"",N($N13)&gt;=70,N($O13)&gt;=70),"Yes",IF(OR(AND($N13&lt;&gt;"",N($N13)&lt;70),AND($O13&lt;&gt;"",N($O13)&lt;70)),"No","(one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IF($B14="","",COUNTIFS(nrSK_PID,$B14,nrSK_Dis,"Yes"))</f>
        <v/>
      </c>
      <c r="J14" s="17">
        <f>IF($B14="","",IF($I14&gt;0,"Yes","No"))</f>
        <v/>
      </c>
      <c r="K14" s="17">
        <f>IF($B14="","",IF($J14="Yes","No",IF($G14&gt;0,"No","Yes")))</f>
        <v/>
      </c>
      <c r="L14" s="17">
        <f>IF($B14="","",IFERROR(ROUND(AVERAGEIFS(nrSK_Score,nrSK_PID,$B14,nrSK_Cat,"Firearms"),2),""))</f>
        <v/>
      </c>
      <c r="M14" s="17">
        <f>IF($B14="","",IFERROR(_xlfn.MAXIFS(nrSK_Score,nrSK_PID,$B14,nrSK_Cat,"Firearms"),""))</f>
        <v/>
      </c>
      <c r="N14" s="17">
        <f>IF($B14="","",_xlfn.LET(_xlpm.v,_xlfn.MAXIFS(nrSK_Score,nrSK_PID,$B14,nrSK_Cat,"Firearms",nrSK_CoF,1),IF(_xlpm.v=0,"",_xlpm.v)))</f>
        <v/>
      </c>
      <c r="O14" s="17">
        <f>IF($B14="","",_xlfn.LET(_xlpm.v,_xlfn.MAXIFS(nrSK_Score,nrSK_PID,$B14,nrSK_Cat,"Firearms",nrSK_CoF,2),IF(_xlpm.v=0,"",_xlpm.v)))</f>
        <v/>
      </c>
      <c r="P14" s="17">
        <f>IF($B14="","",IF(AND($N14="",$O14=""),"",IF(AND($N14&lt;&gt;"",$O14&lt;&gt;"",N($N14)&gt;=70,N($O14)&gt;=70),"Yes",IF(OR(AND($N14&lt;&gt;"",N($N14)&lt;70),AND($O14&lt;&gt;"",N($O14)&lt;70)),"No","(one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IF($B15="","",COUNTIFS(nrSK_PID,$B15,nrSK_Dis,"Yes"))</f>
        <v/>
      </c>
      <c r="J15" s="17">
        <f>IF($B15="","",IF($I15&gt;0,"Yes","No"))</f>
        <v/>
      </c>
      <c r="K15" s="17">
        <f>IF($B15="","",IF($J15="Yes","No",IF($G15&gt;0,"No","Yes")))</f>
        <v/>
      </c>
      <c r="L15" s="17">
        <f>IF($B15="","",IFERROR(ROUND(AVERAGEIFS(nrSK_Score,nrSK_PID,$B15,nrSK_Cat,"Firearms"),2),""))</f>
        <v/>
      </c>
      <c r="M15" s="17">
        <f>IF($B15="","",IFERROR(_xlfn.MAXIFS(nrSK_Score,nrSK_PID,$B15,nrSK_Cat,"Firearms"),""))</f>
        <v/>
      </c>
      <c r="N15" s="17">
        <f>IF($B15="","",_xlfn.LET(_xlpm.v,_xlfn.MAXIFS(nrSK_Score,nrSK_PID,$B15,nrSK_Cat,"Firearms",nrSK_CoF,1),IF(_xlpm.v=0,"",_xlpm.v)))</f>
        <v/>
      </c>
      <c r="O15" s="17">
        <f>IF($B15="","",_xlfn.LET(_xlpm.v,_xlfn.MAXIFS(nrSK_Score,nrSK_PID,$B15,nrSK_Cat,"Firearms",nrSK_CoF,2),IF(_xlpm.v=0,"",_xlpm.v)))</f>
        <v/>
      </c>
      <c r="P15" s="17">
        <f>IF($B15="","",IF(AND($N15="",$O15=""),"",IF(AND($N15&lt;&gt;"",$O15&lt;&gt;"",N($N15)&gt;=70,N($O15)&gt;=70),"Yes",IF(OR(AND($N15&lt;&gt;"",N($N15)&lt;70),AND($O15&lt;&gt;"",N($O15)&lt;70)),"No","(one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IF($B16="","",COUNTIFS(nrSK_PID,$B16,nrSK_Dis,"Yes"))</f>
        <v/>
      </c>
      <c r="J16" s="17">
        <f>IF($B16="","",IF($I16&gt;0,"Yes","No"))</f>
        <v/>
      </c>
      <c r="K16" s="17">
        <f>IF($B16="","",IF($J16="Yes","No",IF($G16&gt;0,"No","Yes")))</f>
        <v/>
      </c>
      <c r="L16" s="17">
        <f>IF($B16="","",IFERROR(ROUND(AVERAGEIFS(nrSK_Score,nrSK_PID,$B16,nrSK_Cat,"Firearms"),2),""))</f>
        <v/>
      </c>
      <c r="M16" s="17">
        <f>IF($B16="","",IFERROR(_xlfn.MAXIFS(nrSK_Score,nrSK_PID,$B16,nrSK_Cat,"Firearms"),""))</f>
        <v/>
      </c>
      <c r="N16" s="17">
        <f>IF($B16="","",_xlfn.LET(_xlpm.v,_xlfn.MAXIFS(nrSK_Score,nrSK_PID,$B16,nrSK_Cat,"Firearms",nrSK_CoF,1),IF(_xlpm.v=0,"",_xlpm.v)))</f>
        <v/>
      </c>
      <c r="O16" s="17">
        <f>IF($B16="","",_xlfn.LET(_xlpm.v,_xlfn.MAXIFS(nrSK_Score,nrSK_PID,$B16,nrSK_Cat,"Firearms",nrSK_CoF,2),IF(_xlpm.v=0,"",_xlpm.v)))</f>
        <v/>
      </c>
      <c r="P16" s="17">
        <f>IF($B16="","",IF(AND($N16="",$O16=""),"",IF(AND($N16&lt;&gt;"",$O16&lt;&gt;"",N($N16)&gt;=70,N($O16)&gt;=70),"Yes",IF(OR(AND($N16&lt;&gt;"",N($N16)&lt;70),AND($O16&lt;&gt;"",N($O16)&lt;70)),"No","(one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IF($B17="","",COUNTIFS(nrSK_PID,$B17,nrSK_Dis,"Yes"))</f>
        <v/>
      </c>
      <c r="J17" s="17">
        <f>IF($B17="","",IF($I17&gt;0,"Yes","No"))</f>
        <v/>
      </c>
      <c r="K17" s="17">
        <f>IF($B17="","",IF($J17="Yes","No",IF($G17&gt;0,"No","Yes")))</f>
        <v/>
      </c>
      <c r="L17" s="17">
        <f>IF($B17="","",IFERROR(ROUND(AVERAGEIFS(nrSK_Score,nrSK_PID,$B17,nrSK_Cat,"Firearms"),2),""))</f>
        <v/>
      </c>
      <c r="M17" s="17">
        <f>IF($B17="","",IFERROR(_xlfn.MAXIFS(nrSK_Score,nrSK_PID,$B17,nrSK_Cat,"Firearms"),""))</f>
        <v/>
      </c>
      <c r="N17" s="17">
        <f>IF($B17="","",_xlfn.LET(_xlpm.v,_xlfn.MAXIFS(nrSK_Score,nrSK_PID,$B17,nrSK_Cat,"Firearms",nrSK_CoF,1),IF(_xlpm.v=0,"",_xlpm.v)))</f>
        <v/>
      </c>
      <c r="O17" s="17">
        <f>IF($B17="","",_xlfn.LET(_xlpm.v,_xlfn.MAXIFS(nrSK_Score,nrSK_PID,$B17,nrSK_Cat,"Firearms",nrSK_CoF,2),IF(_xlpm.v=0,"",_xlpm.v)))</f>
        <v/>
      </c>
      <c r="P17" s="17">
        <f>IF($B17="","",IF(AND($N17="",$O17=""),"",IF(AND($N17&lt;&gt;"",$O17&lt;&gt;"",N($N17)&gt;=70,N($O17)&gt;=70),"Yes",IF(OR(AND($N17&lt;&gt;"",N($N17)&lt;70),AND($O17&lt;&gt;"",N($O17)&lt;70)),"No","(one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IF($B18="","",COUNTIFS(nrSK_PID,$B18,nrSK_Dis,"Yes"))</f>
        <v/>
      </c>
      <c r="J18" s="17">
        <f>IF($B18="","",IF($I18&gt;0,"Yes","No"))</f>
        <v/>
      </c>
      <c r="K18" s="17">
        <f>IF($B18="","",IF($J18="Yes","No",IF($G18&gt;0,"No","Yes")))</f>
        <v/>
      </c>
      <c r="L18" s="17">
        <f>IF($B18="","",IFERROR(ROUND(AVERAGEIFS(nrSK_Score,nrSK_PID,$B18,nrSK_Cat,"Firearms"),2),""))</f>
        <v/>
      </c>
      <c r="M18" s="17">
        <f>IF($B18="","",IFERROR(_xlfn.MAXIFS(nrSK_Score,nrSK_PID,$B18,nrSK_Cat,"Firearms"),""))</f>
        <v/>
      </c>
      <c r="N18" s="17">
        <f>IF($B18="","",_xlfn.LET(_xlpm.v,_xlfn.MAXIFS(nrSK_Score,nrSK_PID,$B18,nrSK_Cat,"Firearms",nrSK_CoF,1),IF(_xlpm.v=0,"",_xlpm.v)))</f>
        <v/>
      </c>
      <c r="O18" s="17">
        <f>IF($B18="","",_xlfn.LET(_xlpm.v,_xlfn.MAXIFS(nrSK_Score,nrSK_PID,$B18,nrSK_Cat,"Firearms",nrSK_CoF,2),IF(_xlpm.v=0,"",_xlpm.v)))</f>
        <v/>
      </c>
      <c r="P18" s="17">
        <f>IF($B18="","",IF(AND($N18="",$O18=""),"",IF(AND($N18&lt;&gt;"",$O18&lt;&gt;"",N($N18)&gt;=70,N($O18)&gt;=70),"Yes",IF(OR(AND($N18&lt;&gt;"",N($N18)&lt;70),AND($O18&lt;&gt;"",N($O18)&lt;70)),"No","(one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IF($B19="","",COUNTIFS(nrSK_PID,$B19,nrSK_Dis,"Yes"))</f>
        <v/>
      </c>
      <c r="J19" s="17">
        <f>IF($B19="","",IF($I19&gt;0,"Yes","No"))</f>
        <v/>
      </c>
      <c r="K19" s="17">
        <f>IF($B19="","",IF($J19="Yes","No",IF($G19&gt;0,"No","Yes")))</f>
        <v/>
      </c>
      <c r="L19" s="17">
        <f>IF($B19="","",IFERROR(ROUND(AVERAGEIFS(nrSK_Score,nrSK_PID,$B19,nrSK_Cat,"Firearms"),2),""))</f>
        <v/>
      </c>
      <c r="M19" s="17">
        <f>IF($B19="","",IFERROR(_xlfn.MAXIFS(nrSK_Score,nrSK_PID,$B19,nrSK_Cat,"Firearms"),""))</f>
        <v/>
      </c>
      <c r="N19" s="17">
        <f>IF($B19="","",_xlfn.LET(_xlpm.v,_xlfn.MAXIFS(nrSK_Score,nrSK_PID,$B19,nrSK_Cat,"Firearms",nrSK_CoF,1),IF(_xlpm.v=0,"",_xlpm.v)))</f>
        <v/>
      </c>
      <c r="O19" s="17">
        <f>IF($B19="","",_xlfn.LET(_xlpm.v,_xlfn.MAXIFS(nrSK_Score,nrSK_PID,$B19,nrSK_Cat,"Firearms",nrSK_CoF,2),IF(_xlpm.v=0,"",_xlpm.v)))</f>
        <v/>
      </c>
      <c r="P19" s="17">
        <f>IF($B19="","",IF(AND($N19="",$O19=""),"",IF(AND($N19&lt;&gt;"",$O19&lt;&gt;"",N($N19)&gt;=70,N($O19)&gt;=70),"Yes",IF(OR(AND($N19&lt;&gt;"",N($N19)&lt;70),AND($O19&lt;&gt;"",N($O19)&lt;70)),"No","(one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IF($B20="","",COUNTIFS(nrSK_PID,$B20,nrSK_Dis,"Yes"))</f>
        <v/>
      </c>
      <c r="J20" s="17">
        <f>IF($B20="","",IF($I20&gt;0,"Yes","No"))</f>
        <v/>
      </c>
      <c r="K20" s="17">
        <f>IF($B20="","",IF($J20="Yes","No",IF($G20&gt;0,"No","Yes")))</f>
        <v/>
      </c>
      <c r="L20" s="17">
        <f>IF($B20="","",IFERROR(ROUND(AVERAGEIFS(nrSK_Score,nrSK_PID,$B20,nrSK_Cat,"Firearms"),2),""))</f>
        <v/>
      </c>
      <c r="M20" s="17">
        <f>IF($B20="","",IFERROR(_xlfn.MAXIFS(nrSK_Score,nrSK_PID,$B20,nrSK_Cat,"Firearms"),""))</f>
        <v/>
      </c>
      <c r="N20" s="17">
        <f>IF($B20="","",_xlfn.LET(_xlpm.v,_xlfn.MAXIFS(nrSK_Score,nrSK_PID,$B20,nrSK_Cat,"Firearms",nrSK_CoF,1),IF(_xlpm.v=0,"",_xlpm.v)))</f>
        <v/>
      </c>
      <c r="O20" s="17">
        <f>IF($B20="","",_xlfn.LET(_xlpm.v,_xlfn.MAXIFS(nrSK_Score,nrSK_PID,$B20,nrSK_Cat,"Firearms",nrSK_CoF,2),IF(_xlpm.v=0,"",_xlpm.v)))</f>
        <v/>
      </c>
      <c r="P20" s="17">
        <f>IF($B20="","",IF(AND($N20="",$O20=""),"",IF(AND($N20&lt;&gt;"",$O20&lt;&gt;"",N($N20)&gt;=70,N($O20)&gt;=70),"Yes",IF(OR(AND($N20&lt;&gt;"",N($N20)&lt;70),AND($O20&lt;&gt;"",N($O20)&lt;70)),"No","(one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IF($B21="","",COUNTIFS(nrSK_PID,$B21,nrSK_Dis,"Yes"))</f>
        <v/>
      </c>
      <c r="J21" s="17">
        <f>IF($B21="","",IF($I21&gt;0,"Yes","No"))</f>
        <v/>
      </c>
      <c r="K21" s="17">
        <f>IF($B21="","",IF($J21="Yes","No",IF($G21&gt;0,"No","Yes")))</f>
        <v/>
      </c>
      <c r="L21" s="17">
        <f>IF($B21="","",IFERROR(ROUND(AVERAGEIFS(nrSK_Score,nrSK_PID,$B21,nrSK_Cat,"Firearms"),2),""))</f>
        <v/>
      </c>
      <c r="M21" s="17">
        <f>IF($B21="","",IFERROR(_xlfn.MAXIFS(nrSK_Score,nrSK_PID,$B21,nrSK_Cat,"Firearms"),""))</f>
        <v/>
      </c>
      <c r="N21" s="17">
        <f>IF($B21="","",_xlfn.LET(_xlpm.v,_xlfn.MAXIFS(nrSK_Score,nrSK_PID,$B21,nrSK_Cat,"Firearms",nrSK_CoF,1),IF(_xlpm.v=0,"",_xlpm.v)))</f>
        <v/>
      </c>
      <c r="O21" s="17">
        <f>IF($B21="","",_xlfn.LET(_xlpm.v,_xlfn.MAXIFS(nrSK_Score,nrSK_PID,$B21,nrSK_Cat,"Firearms",nrSK_CoF,2),IF(_xlpm.v=0,"",_xlpm.v)))</f>
        <v/>
      </c>
      <c r="P21" s="17">
        <f>IF($B21="","",IF(AND($N21="",$O21=""),"",IF(AND($N21&lt;&gt;"",$O21&lt;&gt;"",N($N21)&gt;=70,N($O21)&gt;=70),"Yes",IF(OR(AND($N21&lt;&gt;"",N($N21)&lt;70),AND($O21&lt;&gt;"",N($O21)&lt;70)),"No","(one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IF($B22="","",COUNTIFS(nrSK_PID,$B22,nrSK_Dis,"Yes"))</f>
        <v/>
      </c>
      <c r="J22" s="17">
        <f>IF($B22="","",IF($I22&gt;0,"Yes","No"))</f>
        <v/>
      </c>
      <c r="K22" s="17">
        <f>IF($B22="","",IF($J22="Yes","No",IF($G22&gt;0,"No","Yes")))</f>
        <v/>
      </c>
      <c r="L22" s="17">
        <f>IF($B22="","",IFERROR(ROUND(AVERAGEIFS(nrSK_Score,nrSK_PID,$B22,nrSK_Cat,"Firearms"),2),""))</f>
        <v/>
      </c>
      <c r="M22" s="17">
        <f>IF($B22="","",IFERROR(_xlfn.MAXIFS(nrSK_Score,nrSK_PID,$B22,nrSK_Cat,"Firearms"),""))</f>
        <v/>
      </c>
      <c r="N22" s="17">
        <f>IF($B22="","",_xlfn.LET(_xlpm.v,_xlfn.MAXIFS(nrSK_Score,nrSK_PID,$B22,nrSK_Cat,"Firearms",nrSK_CoF,1),IF(_xlpm.v=0,"",_xlpm.v)))</f>
        <v/>
      </c>
      <c r="O22" s="17">
        <f>IF($B22="","",_xlfn.LET(_xlpm.v,_xlfn.MAXIFS(nrSK_Score,nrSK_PID,$B22,nrSK_Cat,"Firearms",nrSK_CoF,2),IF(_xlpm.v=0,"",_xlpm.v)))</f>
        <v/>
      </c>
      <c r="P22" s="17">
        <f>IF($B22="","",IF(AND($N22="",$O22=""),"",IF(AND($N22&lt;&gt;"",$O22&lt;&gt;"",N($N22)&gt;=70,N($O22)&gt;=70),"Yes",IF(OR(AND($N22&lt;&gt;"",N($N22)&lt;70),AND($O22&lt;&gt;"",N($O22)&lt;70)),"No","(one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IF($B23="","",COUNTIFS(nrSK_PID,$B23,nrSK_Dis,"Yes"))</f>
        <v/>
      </c>
      <c r="J23" s="17">
        <f>IF($B23="","",IF($I23&gt;0,"Yes","No"))</f>
        <v/>
      </c>
      <c r="K23" s="17">
        <f>IF($B23="","",IF($J23="Yes","No",IF($G23&gt;0,"No","Yes")))</f>
        <v/>
      </c>
      <c r="L23" s="17">
        <f>IF($B23="","",IFERROR(ROUND(AVERAGEIFS(nrSK_Score,nrSK_PID,$B23,nrSK_Cat,"Firearms"),2),""))</f>
        <v/>
      </c>
      <c r="M23" s="17">
        <f>IF($B23="","",IFERROR(_xlfn.MAXIFS(nrSK_Score,nrSK_PID,$B23,nrSK_Cat,"Firearms"),""))</f>
        <v/>
      </c>
      <c r="N23" s="17">
        <f>IF($B23="","",_xlfn.LET(_xlpm.v,_xlfn.MAXIFS(nrSK_Score,nrSK_PID,$B23,nrSK_Cat,"Firearms",nrSK_CoF,1),IF(_xlpm.v=0,"",_xlpm.v)))</f>
        <v/>
      </c>
      <c r="O23" s="17">
        <f>IF($B23="","",_xlfn.LET(_xlpm.v,_xlfn.MAXIFS(nrSK_Score,nrSK_PID,$B23,nrSK_Cat,"Firearms",nrSK_CoF,2),IF(_xlpm.v=0,"",_xlpm.v)))</f>
        <v/>
      </c>
      <c r="P23" s="17">
        <f>IF($B23="","",IF(AND($N23="",$O23=""),"",IF(AND($N23&lt;&gt;"",$O23&lt;&gt;"",N($N23)&gt;=70,N($O23)&gt;=70),"Yes",IF(OR(AND($N23&lt;&gt;"",N($N23)&lt;70),AND($O23&lt;&gt;"",N($O23)&lt;70)),"No","(one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IF($B24="","",COUNTIFS(nrSK_PID,$B24,nrSK_Dis,"Yes"))</f>
        <v/>
      </c>
      <c r="J24" s="17">
        <f>IF($B24="","",IF($I24&gt;0,"Yes","No"))</f>
        <v/>
      </c>
      <c r="K24" s="17">
        <f>IF($B24="","",IF($J24="Yes","No",IF($G24&gt;0,"No","Yes")))</f>
        <v/>
      </c>
      <c r="L24" s="17">
        <f>IF($B24="","",IFERROR(ROUND(AVERAGEIFS(nrSK_Score,nrSK_PID,$B24,nrSK_Cat,"Firearms"),2),""))</f>
        <v/>
      </c>
      <c r="M24" s="17">
        <f>IF($B24="","",IFERROR(_xlfn.MAXIFS(nrSK_Score,nrSK_PID,$B24,nrSK_Cat,"Firearms"),""))</f>
        <v/>
      </c>
      <c r="N24" s="17">
        <f>IF($B24="","",_xlfn.LET(_xlpm.v,_xlfn.MAXIFS(nrSK_Score,nrSK_PID,$B24,nrSK_Cat,"Firearms",nrSK_CoF,1),IF(_xlpm.v=0,"",_xlpm.v)))</f>
        <v/>
      </c>
      <c r="O24" s="17">
        <f>IF($B24="","",_xlfn.LET(_xlpm.v,_xlfn.MAXIFS(nrSK_Score,nrSK_PID,$B24,nrSK_Cat,"Firearms",nrSK_CoF,2),IF(_xlpm.v=0,"",_xlpm.v)))</f>
        <v/>
      </c>
      <c r="P24" s="17">
        <f>IF($B24="","",IF(AND($N24="",$O24=""),"",IF(AND($N24&lt;&gt;"",$O24&lt;&gt;"",N($N24)&gt;=70,N($O24)&gt;=70),"Yes",IF(OR(AND($N24&lt;&gt;"",N($N24)&lt;70),AND($O24&lt;&gt;"",N($O24)&lt;70)),"No","(one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IF($B25="","",COUNTIFS(nrSK_PID,$B25,nrSK_Dis,"Yes"))</f>
        <v/>
      </c>
      <c r="J25" s="17">
        <f>IF($B25="","",IF($I25&gt;0,"Yes","No"))</f>
        <v/>
      </c>
      <c r="K25" s="17">
        <f>IF($B25="","",IF($J25="Yes","No",IF($G25&gt;0,"No","Yes")))</f>
        <v/>
      </c>
      <c r="L25" s="17">
        <f>IF($B25="","",IFERROR(ROUND(AVERAGEIFS(nrSK_Score,nrSK_PID,$B25,nrSK_Cat,"Firearms"),2),""))</f>
        <v/>
      </c>
      <c r="M25" s="17">
        <f>IF($B25="","",IFERROR(_xlfn.MAXIFS(nrSK_Score,nrSK_PID,$B25,nrSK_Cat,"Firearms"),""))</f>
        <v/>
      </c>
      <c r="N25" s="17">
        <f>IF($B25="","",_xlfn.LET(_xlpm.v,_xlfn.MAXIFS(nrSK_Score,nrSK_PID,$B25,nrSK_Cat,"Firearms",nrSK_CoF,1),IF(_xlpm.v=0,"",_xlpm.v)))</f>
        <v/>
      </c>
      <c r="O25" s="17">
        <f>IF($B25="","",_xlfn.LET(_xlpm.v,_xlfn.MAXIFS(nrSK_Score,nrSK_PID,$B25,nrSK_Cat,"Firearms",nrSK_CoF,2),IF(_xlpm.v=0,"",_xlpm.v)))</f>
        <v/>
      </c>
      <c r="P25" s="17">
        <f>IF($B25="","",IF(AND($N25="",$O25=""),"",IF(AND($N25&lt;&gt;"",$O25&lt;&gt;"",N($N25)&gt;=70,N($O25)&gt;=70),"Yes",IF(OR(AND($N25&lt;&gt;"",N($N25)&lt;70),AND($O25&lt;&gt;"",N($O25)&lt;70)),"No","(one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IF($B26="","",COUNTIFS(nrSK_PID,$B26,nrSK_Dis,"Yes"))</f>
        <v/>
      </c>
      <c r="J26" s="17">
        <f>IF($B26="","",IF($I26&gt;0,"Yes","No"))</f>
        <v/>
      </c>
      <c r="K26" s="17">
        <f>IF($B26="","",IF($J26="Yes","No",IF($G26&gt;0,"No","Yes")))</f>
        <v/>
      </c>
      <c r="L26" s="17">
        <f>IF($B26="","",IFERROR(ROUND(AVERAGEIFS(nrSK_Score,nrSK_PID,$B26,nrSK_Cat,"Firearms"),2),""))</f>
        <v/>
      </c>
      <c r="M26" s="17">
        <f>IF($B26="","",IFERROR(_xlfn.MAXIFS(nrSK_Score,nrSK_PID,$B26,nrSK_Cat,"Firearms"),""))</f>
        <v/>
      </c>
      <c r="N26" s="17">
        <f>IF($B26="","",_xlfn.LET(_xlpm.v,_xlfn.MAXIFS(nrSK_Score,nrSK_PID,$B26,nrSK_Cat,"Firearms",nrSK_CoF,1),IF(_xlpm.v=0,"",_xlpm.v)))</f>
        <v/>
      </c>
      <c r="O26" s="17">
        <f>IF($B26="","",_xlfn.LET(_xlpm.v,_xlfn.MAXIFS(nrSK_Score,nrSK_PID,$B26,nrSK_Cat,"Firearms",nrSK_CoF,2),IF(_xlpm.v=0,"",_xlpm.v)))</f>
        <v/>
      </c>
      <c r="P26" s="17">
        <f>IF($B26="","",IF(AND($N26="",$O26=""),"",IF(AND($N26&lt;&gt;"",$O26&lt;&gt;"",N($N26)&gt;=70,N($O26)&gt;=70),"Yes",IF(OR(AND($N26&lt;&gt;"",N($N26)&lt;70),AND($O26&lt;&gt;"",N($O26)&lt;70)),"No","(one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IF($B27="","",COUNTIFS(nrSK_PID,$B27,nrSK_Dis,"Yes"))</f>
        <v/>
      </c>
      <c r="J27" s="17">
        <f>IF($B27="","",IF($I27&gt;0,"Yes","No"))</f>
        <v/>
      </c>
      <c r="K27" s="17">
        <f>IF($B27="","",IF($J27="Yes","No",IF($G27&gt;0,"No","Yes")))</f>
        <v/>
      </c>
      <c r="L27" s="17">
        <f>IF($B27="","",IFERROR(ROUND(AVERAGEIFS(nrSK_Score,nrSK_PID,$B27,nrSK_Cat,"Firearms"),2),""))</f>
        <v/>
      </c>
      <c r="M27" s="17">
        <f>IF($B27="","",IFERROR(_xlfn.MAXIFS(nrSK_Score,nrSK_PID,$B27,nrSK_Cat,"Firearms"),""))</f>
        <v/>
      </c>
      <c r="N27" s="17">
        <f>IF($B27="","",_xlfn.LET(_xlpm.v,_xlfn.MAXIFS(nrSK_Score,nrSK_PID,$B27,nrSK_Cat,"Firearms",nrSK_CoF,1),IF(_xlpm.v=0,"",_xlpm.v)))</f>
        <v/>
      </c>
      <c r="O27" s="17">
        <f>IF($B27="","",_xlfn.LET(_xlpm.v,_xlfn.MAXIFS(nrSK_Score,nrSK_PID,$B27,nrSK_Cat,"Firearms",nrSK_CoF,2),IF(_xlpm.v=0,"",_xlpm.v)))</f>
        <v/>
      </c>
      <c r="P27" s="17">
        <f>IF($B27="","",IF(AND($N27="",$O27=""),"",IF(AND($N27&lt;&gt;"",$O27&lt;&gt;"",N($N27)&gt;=70,N($O27)&gt;=70),"Yes",IF(OR(AND($N27&lt;&gt;"",N($N27)&lt;70),AND($O27&lt;&gt;"",N($O27)&lt;70)),"No","(one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IF($B28="","",COUNTIFS(nrSK_PID,$B28,nrSK_Dis,"Yes"))</f>
        <v/>
      </c>
      <c r="J28" s="17">
        <f>IF($B28="","",IF($I28&gt;0,"Yes","No"))</f>
        <v/>
      </c>
      <c r="K28" s="17">
        <f>IF($B28="","",IF($J28="Yes","No",IF($G28&gt;0,"No","Yes")))</f>
        <v/>
      </c>
      <c r="L28" s="17">
        <f>IF($B28="","",IFERROR(ROUND(AVERAGEIFS(nrSK_Score,nrSK_PID,$B28,nrSK_Cat,"Firearms"),2),""))</f>
        <v/>
      </c>
      <c r="M28" s="17">
        <f>IF($B28="","",IFERROR(_xlfn.MAXIFS(nrSK_Score,nrSK_PID,$B28,nrSK_Cat,"Firearms"),""))</f>
        <v/>
      </c>
      <c r="N28" s="17">
        <f>IF($B28="","",_xlfn.LET(_xlpm.v,_xlfn.MAXIFS(nrSK_Score,nrSK_PID,$B28,nrSK_Cat,"Firearms",nrSK_CoF,1),IF(_xlpm.v=0,"",_xlpm.v)))</f>
        <v/>
      </c>
      <c r="O28" s="17">
        <f>IF($B28="","",_xlfn.LET(_xlpm.v,_xlfn.MAXIFS(nrSK_Score,nrSK_PID,$B28,nrSK_Cat,"Firearms",nrSK_CoF,2),IF(_xlpm.v=0,"",_xlpm.v)))</f>
        <v/>
      </c>
      <c r="P28" s="17">
        <f>IF($B28="","",IF(AND($N28="",$O28=""),"",IF(AND($N28&lt;&gt;"",$O28&lt;&gt;"",N($N28)&gt;=70,N($O28)&gt;=70),"Yes",IF(OR(AND($N28&lt;&gt;"",N($N28)&lt;70),AND($O28&lt;&gt;"",N($O28)&lt;70)),"No","(one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IF($B29="","",COUNTIFS(nrSK_PID,$B29,nrSK_Dis,"Yes"))</f>
        <v/>
      </c>
      <c r="J29" s="17">
        <f>IF($B29="","",IF($I29&gt;0,"Yes","No"))</f>
        <v/>
      </c>
      <c r="K29" s="17">
        <f>IF($B29="","",IF($J29="Yes","No",IF($G29&gt;0,"No","Yes")))</f>
        <v/>
      </c>
      <c r="L29" s="17">
        <f>IF($B29="","",IFERROR(ROUND(AVERAGEIFS(nrSK_Score,nrSK_PID,$B29,nrSK_Cat,"Firearms"),2),""))</f>
        <v/>
      </c>
      <c r="M29" s="17">
        <f>IF($B29="","",IFERROR(_xlfn.MAXIFS(nrSK_Score,nrSK_PID,$B29,nrSK_Cat,"Firearms"),""))</f>
        <v/>
      </c>
      <c r="N29" s="17">
        <f>IF($B29="","",_xlfn.LET(_xlpm.v,_xlfn.MAXIFS(nrSK_Score,nrSK_PID,$B29,nrSK_Cat,"Firearms",nrSK_CoF,1),IF(_xlpm.v=0,"",_xlpm.v)))</f>
        <v/>
      </c>
      <c r="O29" s="17">
        <f>IF($B29="","",_xlfn.LET(_xlpm.v,_xlfn.MAXIFS(nrSK_Score,nrSK_PID,$B29,nrSK_Cat,"Firearms",nrSK_CoF,2),IF(_xlpm.v=0,"",_xlpm.v)))</f>
        <v/>
      </c>
      <c r="P29" s="17">
        <f>IF($B29="","",IF(AND($N29="",$O29=""),"",IF(AND($N29&lt;&gt;"",$O29&lt;&gt;"",N($N29)&gt;=70,N($O29)&gt;=70),"Yes",IF(OR(AND($N29&lt;&gt;"",N($N29)&lt;70),AND($O29&lt;&gt;"",N($O29)&lt;70)),"No","(one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IF($B30="","",COUNTIFS(nrSK_PID,$B30,nrSK_Dis,"Yes"))</f>
        <v/>
      </c>
      <c r="J30" s="17">
        <f>IF($B30="","",IF($I30&gt;0,"Yes","No"))</f>
        <v/>
      </c>
      <c r="K30" s="17">
        <f>IF($B30="","",IF($J30="Yes","No",IF($G30&gt;0,"No","Yes")))</f>
        <v/>
      </c>
      <c r="L30" s="17">
        <f>IF($B30="","",IFERROR(ROUND(AVERAGEIFS(nrSK_Score,nrSK_PID,$B30,nrSK_Cat,"Firearms"),2),""))</f>
        <v/>
      </c>
      <c r="M30" s="17">
        <f>IF($B30="","",IFERROR(_xlfn.MAXIFS(nrSK_Score,nrSK_PID,$B30,nrSK_Cat,"Firearms"),""))</f>
        <v/>
      </c>
      <c r="N30" s="17">
        <f>IF($B30="","",_xlfn.LET(_xlpm.v,_xlfn.MAXIFS(nrSK_Score,nrSK_PID,$B30,nrSK_Cat,"Firearms",nrSK_CoF,1),IF(_xlpm.v=0,"",_xlpm.v)))</f>
        <v/>
      </c>
      <c r="O30" s="17">
        <f>IF($B30="","",_xlfn.LET(_xlpm.v,_xlfn.MAXIFS(nrSK_Score,nrSK_PID,$B30,nrSK_Cat,"Firearms",nrSK_CoF,2),IF(_xlpm.v=0,"",_xlpm.v)))</f>
        <v/>
      </c>
      <c r="P30" s="17">
        <f>IF($B30="","",IF(AND($N30="",$O30=""),"",IF(AND($N30&lt;&gt;"",$O30&lt;&gt;"",N($N30)&gt;=70,N($O30)&gt;=70),"Yes",IF(OR(AND($N30&lt;&gt;"",N($N30)&lt;70),AND($O30&lt;&gt;"",N($O30)&lt;70)),"No","(one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IF($B31="","",COUNTIFS(nrSK_PID,$B31,nrSK_Dis,"Yes"))</f>
        <v/>
      </c>
      <c r="J31" s="17">
        <f>IF($B31="","",IF($I31&gt;0,"Yes","No"))</f>
        <v/>
      </c>
      <c r="K31" s="17">
        <f>IF($B31="","",IF($J31="Yes","No",IF($G31&gt;0,"No","Yes")))</f>
        <v/>
      </c>
      <c r="L31" s="17">
        <f>IF($B31="","",IFERROR(ROUND(AVERAGEIFS(nrSK_Score,nrSK_PID,$B31,nrSK_Cat,"Firearms"),2),""))</f>
        <v/>
      </c>
      <c r="M31" s="17">
        <f>IF($B31="","",IFERROR(_xlfn.MAXIFS(nrSK_Score,nrSK_PID,$B31,nrSK_Cat,"Firearms"),""))</f>
        <v/>
      </c>
      <c r="N31" s="17">
        <f>IF($B31="","",_xlfn.LET(_xlpm.v,_xlfn.MAXIFS(nrSK_Score,nrSK_PID,$B31,nrSK_Cat,"Firearms",nrSK_CoF,1),IF(_xlpm.v=0,"",_xlpm.v)))</f>
        <v/>
      </c>
      <c r="O31" s="17">
        <f>IF($B31="","",_xlfn.LET(_xlpm.v,_xlfn.MAXIFS(nrSK_Score,nrSK_PID,$B31,nrSK_Cat,"Firearms",nrSK_CoF,2),IF(_xlpm.v=0,"",_xlpm.v)))</f>
        <v/>
      </c>
      <c r="P31" s="17">
        <f>IF($B31="","",IF(AND($N31="",$O31=""),"",IF(AND($N31&lt;&gt;"",$O31&lt;&gt;"",N($N31)&gt;=70,N($O31)&gt;=70),"Yes",IF(OR(AND($N31&lt;&gt;"",N($N31)&lt;70),AND($O31&lt;&gt;"",N($O31)&lt;70)),"No","(one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IF($B32="","",COUNTIFS(nrSK_PID,$B32,nrSK_Dis,"Yes"))</f>
        <v/>
      </c>
      <c r="J32" s="17">
        <f>IF($B32="","",IF($I32&gt;0,"Yes","No"))</f>
        <v/>
      </c>
      <c r="K32" s="17">
        <f>IF($B32="","",IF($J32="Yes","No",IF($G32&gt;0,"No","Yes")))</f>
        <v/>
      </c>
      <c r="L32" s="17">
        <f>IF($B32="","",IFERROR(ROUND(AVERAGEIFS(nrSK_Score,nrSK_PID,$B32,nrSK_Cat,"Firearms"),2),""))</f>
        <v/>
      </c>
      <c r="M32" s="17">
        <f>IF($B32="","",IFERROR(_xlfn.MAXIFS(nrSK_Score,nrSK_PID,$B32,nrSK_Cat,"Firearms"),""))</f>
        <v/>
      </c>
      <c r="N32" s="17">
        <f>IF($B32="","",_xlfn.LET(_xlpm.v,_xlfn.MAXIFS(nrSK_Score,nrSK_PID,$B32,nrSK_Cat,"Firearms",nrSK_CoF,1),IF(_xlpm.v=0,"",_xlpm.v)))</f>
        <v/>
      </c>
      <c r="O32" s="17">
        <f>IF($B32="","",_xlfn.LET(_xlpm.v,_xlfn.MAXIFS(nrSK_Score,nrSK_PID,$B32,nrSK_Cat,"Firearms",nrSK_CoF,2),IF(_xlpm.v=0,"",_xlpm.v)))</f>
        <v/>
      </c>
      <c r="P32" s="17">
        <f>IF($B32="","",IF(AND($N32="",$O32=""),"",IF(AND($N32&lt;&gt;"",$O32&lt;&gt;"",N($N32)&gt;=70,N($O32)&gt;=70),"Yes",IF(OR(AND($N32&lt;&gt;"",N($N32)&lt;70),AND($O32&lt;&gt;"",N($O32)&lt;70)),"No","(one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IF($B33="","",COUNTIFS(nrSK_PID,$B33,nrSK_Dis,"Yes"))</f>
        <v/>
      </c>
      <c r="J33" s="17">
        <f>IF($B33="","",IF($I33&gt;0,"Yes","No"))</f>
        <v/>
      </c>
      <c r="K33" s="17">
        <f>IF($B33="","",IF($J33="Yes","No",IF($G33&gt;0,"No","Yes")))</f>
        <v/>
      </c>
      <c r="L33" s="17">
        <f>IF($B33="","",IFERROR(ROUND(AVERAGEIFS(nrSK_Score,nrSK_PID,$B33,nrSK_Cat,"Firearms"),2),""))</f>
        <v/>
      </c>
      <c r="M33" s="17">
        <f>IF($B33="","",IFERROR(_xlfn.MAXIFS(nrSK_Score,nrSK_PID,$B33,nrSK_Cat,"Firearms"),""))</f>
        <v/>
      </c>
      <c r="N33" s="17">
        <f>IF($B33="","",_xlfn.LET(_xlpm.v,_xlfn.MAXIFS(nrSK_Score,nrSK_PID,$B33,nrSK_Cat,"Firearms",nrSK_CoF,1),IF(_xlpm.v=0,"",_xlpm.v)))</f>
        <v/>
      </c>
      <c r="O33" s="17">
        <f>IF($B33="","",_xlfn.LET(_xlpm.v,_xlfn.MAXIFS(nrSK_Score,nrSK_PID,$B33,nrSK_Cat,"Firearms",nrSK_CoF,2),IF(_xlpm.v=0,"",_xlpm.v)))</f>
        <v/>
      </c>
      <c r="P33" s="17">
        <f>IF($B33="","",IF(AND($N33="",$O33=""),"",IF(AND($N33&lt;&gt;"",$O33&lt;&gt;"",N($N33)&gt;=70,N($O33)&gt;=70),"Yes",IF(OR(AND($N33&lt;&gt;"",N($N33)&lt;70),AND($O33&lt;&gt;"",N($O33)&lt;70)),"No","(one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IF($B34="","",COUNTIFS(nrSK_PID,$B34,nrSK_Dis,"Yes"))</f>
        <v/>
      </c>
      <c r="J34" s="17">
        <f>IF($B34="","",IF($I34&gt;0,"Yes","No"))</f>
        <v/>
      </c>
      <c r="K34" s="17">
        <f>IF($B34="","",IF($J34="Yes","No",IF($G34&gt;0,"No","Yes")))</f>
        <v/>
      </c>
      <c r="L34" s="17">
        <f>IF($B34="","",IFERROR(ROUND(AVERAGEIFS(nrSK_Score,nrSK_PID,$B34,nrSK_Cat,"Firearms"),2),""))</f>
        <v/>
      </c>
      <c r="M34" s="17">
        <f>IF($B34="","",IFERROR(_xlfn.MAXIFS(nrSK_Score,nrSK_PID,$B34,nrSK_Cat,"Firearms"),""))</f>
        <v/>
      </c>
      <c r="N34" s="17">
        <f>IF($B34="","",_xlfn.LET(_xlpm.v,_xlfn.MAXIFS(nrSK_Score,nrSK_PID,$B34,nrSK_Cat,"Firearms",nrSK_CoF,1),IF(_xlpm.v=0,"",_xlpm.v)))</f>
        <v/>
      </c>
      <c r="O34" s="17">
        <f>IF($B34="","",_xlfn.LET(_xlpm.v,_xlfn.MAXIFS(nrSK_Score,nrSK_PID,$B34,nrSK_Cat,"Firearms",nrSK_CoF,2),IF(_xlpm.v=0,"",_xlpm.v)))</f>
        <v/>
      </c>
      <c r="P34" s="17">
        <f>IF($B34="","",IF(AND($N34="",$O34=""),"",IF(AND($N34&lt;&gt;"",$O34&lt;&gt;"",N($N34)&gt;=70,N($O34)&gt;=70),"Yes",IF(OR(AND($N34&lt;&gt;"",N($N34)&lt;70),AND($O34&lt;&gt;"",N($O34)&lt;70)),"No","(one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IF($B35="","",COUNTIFS(nrSK_PID,$B35,nrSK_Dis,"Yes"))</f>
        <v/>
      </c>
      <c r="J35" s="17">
        <f>IF($B35="","",IF($I35&gt;0,"Yes","No"))</f>
        <v/>
      </c>
      <c r="K35" s="17">
        <f>IF($B35="","",IF($J35="Yes","No",IF($G35&gt;0,"No","Yes")))</f>
        <v/>
      </c>
      <c r="L35" s="17">
        <f>IF($B35="","",IFERROR(ROUND(AVERAGEIFS(nrSK_Score,nrSK_PID,$B35,nrSK_Cat,"Firearms"),2),""))</f>
        <v/>
      </c>
      <c r="M35" s="17">
        <f>IF($B35="","",IFERROR(_xlfn.MAXIFS(nrSK_Score,nrSK_PID,$B35,nrSK_Cat,"Firearms"),""))</f>
        <v/>
      </c>
      <c r="N35" s="17">
        <f>IF($B35="","",_xlfn.LET(_xlpm.v,_xlfn.MAXIFS(nrSK_Score,nrSK_PID,$B35,nrSK_Cat,"Firearms",nrSK_CoF,1),IF(_xlpm.v=0,"",_xlpm.v)))</f>
        <v/>
      </c>
      <c r="O35" s="17">
        <f>IF($B35="","",_xlfn.LET(_xlpm.v,_xlfn.MAXIFS(nrSK_Score,nrSK_PID,$B35,nrSK_Cat,"Firearms",nrSK_CoF,2),IF(_xlpm.v=0,"",_xlpm.v)))</f>
        <v/>
      </c>
      <c r="P35" s="17">
        <f>IF($B35="","",IF(AND($N35="",$O35=""),"",IF(AND($N35&lt;&gt;"",$O35&lt;&gt;"",N($N35)&gt;=70,N($O35)&gt;=70),"Yes",IF(OR(AND($N35&lt;&gt;"",N($N35)&lt;70),AND($O35&lt;&gt;"",N($O35)&lt;70)),"No","(one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IF($B36="","",COUNTIFS(nrSK_PID,$B36,nrSK_Dis,"Yes"))</f>
        <v/>
      </c>
      <c r="J36" s="17">
        <f>IF($B36="","",IF($I36&gt;0,"Yes","No"))</f>
        <v/>
      </c>
      <c r="K36" s="17">
        <f>IF($B36="","",IF($J36="Yes","No",IF($G36&gt;0,"No","Yes")))</f>
        <v/>
      </c>
      <c r="L36" s="17">
        <f>IF($B36="","",IFERROR(ROUND(AVERAGEIFS(nrSK_Score,nrSK_PID,$B36,nrSK_Cat,"Firearms"),2),""))</f>
        <v/>
      </c>
      <c r="M36" s="17">
        <f>IF($B36="","",IFERROR(_xlfn.MAXIFS(nrSK_Score,nrSK_PID,$B36,nrSK_Cat,"Firearms"),""))</f>
        <v/>
      </c>
      <c r="N36" s="17">
        <f>IF($B36="","",_xlfn.LET(_xlpm.v,_xlfn.MAXIFS(nrSK_Score,nrSK_PID,$B36,nrSK_Cat,"Firearms",nrSK_CoF,1),IF(_xlpm.v=0,"",_xlpm.v)))</f>
        <v/>
      </c>
      <c r="O36" s="17">
        <f>IF($B36="","",_xlfn.LET(_xlpm.v,_xlfn.MAXIFS(nrSK_Score,nrSK_PID,$B36,nrSK_Cat,"Firearms",nrSK_CoF,2),IF(_xlpm.v=0,"",_xlpm.v)))</f>
        <v/>
      </c>
      <c r="P36" s="17">
        <f>IF($B36="","",IF(AND($N36="",$O36=""),"",IF(AND($N36&lt;&gt;"",$O36&lt;&gt;"",N($N36)&gt;=70,N($O36)&gt;=70),"Yes",IF(OR(AND($N36&lt;&gt;"",N($N36)&lt;70),AND($O36&lt;&gt;"",N($O36)&lt;70)),"No","(one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IF($B37="","",COUNTIFS(nrSK_PID,$B37,nrSK_Dis,"Yes"))</f>
        <v/>
      </c>
      <c r="J37" s="17">
        <f>IF($B37="","",IF($I37&gt;0,"Yes","No"))</f>
        <v/>
      </c>
      <c r="K37" s="17">
        <f>IF($B37="","",IF($J37="Yes","No",IF($G37&gt;0,"No","Yes")))</f>
        <v/>
      </c>
      <c r="L37" s="17">
        <f>IF($B37="","",IFERROR(ROUND(AVERAGEIFS(nrSK_Score,nrSK_PID,$B37,nrSK_Cat,"Firearms"),2),""))</f>
        <v/>
      </c>
      <c r="M37" s="17">
        <f>IF($B37="","",IFERROR(_xlfn.MAXIFS(nrSK_Score,nrSK_PID,$B37,nrSK_Cat,"Firearms"),""))</f>
        <v/>
      </c>
      <c r="N37" s="17">
        <f>IF($B37="","",_xlfn.LET(_xlpm.v,_xlfn.MAXIFS(nrSK_Score,nrSK_PID,$B37,nrSK_Cat,"Firearms",nrSK_CoF,1),IF(_xlpm.v=0,"",_xlpm.v)))</f>
        <v/>
      </c>
      <c r="O37" s="17">
        <f>IF($B37="","",_xlfn.LET(_xlpm.v,_xlfn.MAXIFS(nrSK_Score,nrSK_PID,$B37,nrSK_Cat,"Firearms",nrSK_CoF,2),IF(_xlpm.v=0,"",_xlpm.v)))</f>
        <v/>
      </c>
      <c r="P37" s="17">
        <f>IF($B37="","",IF(AND($N37="",$O37=""),"",IF(AND($N37&lt;&gt;"",$O37&lt;&gt;"",N($N37)&gt;=70,N($O37)&gt;=70),"Yes",IF(OR(AND($N37&lt;&gt;"",N($N37)&lt;70),AND($O37&lt;&gt;"",N($O37)&lt;70)),"No","(one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IF($B38="","",COUNTIFS(nrSK_PID,$B38,nrSK_Dis,"Yes"))</f>
        <v/>
      </c>
      <c r="J38" s="17">
        <f>IF($B38="","",IF($I38&gt;0,"Yes","No"))</f>
        <v/>
      </c>
      <c r="K38" s="17">
        <f>IF($B38="","",IF($J38="Yes","No",IF($G38&gt;0,"No","Yes")))</f>
        <v/>
      </c>
      <c r="L38" s="17">
        <f>IF($B38="","",IFERROR(ROUND(AVERAGEIFS(nrSK_Score,nrSK_PID,$B38,nrSK_Cat,"Firearms"),2),""))</f>
        <v/>
      </c>
      <c r="M38" s="17">
        <f>IF($B38="","",IFERROR(_xlfn.MAXIFS(nrSK_Score,nrSK_PID,$B38,nrSK_Cat,"Firearms"),""))</f>
        <v/>
      </c>
      <c r="N38" s="17">
        <f>IF($B38="","",_xlfn.LET(_xlpm.v,_xlfn.MAXIFS(nrSK_Score,nrSK_PID,$B38,nrSK_Cat,"Firearms",nrSK_CoF,1),IF(_xlpm.v=0,"",_xlpm.v)))</f>
        <v/>
      </c>
      <c r="O38" s="17">
        <f>IF($B38="","",_xlfn.LET(_xlpm.v,_xlfn.MAXIFS(nrSK_Score,nrSK_PID,$B38,nrSK_Cat,"Firearms",nrSK_CoF,2),IF(_xlpm.v=0,"",_xlpm.v)))</f>
        <v/>
      </c>
      <c r="P38" s="17">
        <f>IF($B38="","",IF(AND($N38="",$O38=""),"",IF(AND($N38&lt;&gt;"",$O38&lt;&gt;"",N($N38)&gt;=70,N($O38)&gt;=70),"Yes",IF(OR(AND($N38&lt;&gt;"",N($N38)&lt;70),AND($O38&lt;&gt;"",N($O38)&lt;70)),"No","(one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IF($B39="","",COUNTIFS(nrSK_PID,$B39,nrSK_Dis,"Yes"))</f>
        <v/>
      </c>
      <c r="J39" s="17">
        <f>IF($B39="","",IF($I39&gt;0,"Yes","No"))</f>
        <v/>
      </c>
      <c r="K39" s="17">
        <f>IF($B39="","",IF($J39="Yes","No",IF($G39&gt;0,"No","Yes")))</f>
        <v/>
      </c>
      <c r="L39" s="17">
        <f>IF($B39="","",IFERROR(ROUND(AVERAGEIFS(nrSK_Score,nrSK_PID,$B39,nrSK_Cat,"Firearms"),2),""))</f>
        <v/>
      </c>
      <c r="M39" s="17">
        <f>IF($B39="","",IFERROR(_xlfn.MAXIFS(nrSK_Score,nrSK_PID,$B39,nrSK_Cat,"Firearms"),""))</f>
        <v/>
      </c>
      <c r="N39" s="17">
        <f>IF($B39="","",_xlfn.LET(_xlpm.v,_xlfn.MAXIFS(nrSK_Score,nrSK_PID,$B39,nrSK_Cat,"Firearms",nrSK_CoF,1),IF(_xlpm.v=0,"",_xlpm.v)))</f>
        <v/>
      </c>
      <c r="O39" s="17">
        <f>IF($B39="","",_xlfn.LET(_xlpm.v,_xlfn.MAXIFS(nrSK_Score,nrSK_PID,$B39,nrSK_Cat,"Firearms",nrSK_CoF,2),IF(_xlpm.v=0,"",_xlpm.v)))</f>
        <v/>
      </c>
      <c r="P39" s="17">
        <f>IF($B39="","",IF(AND($N39="",$O39=""),"",IF(AND($N39&lt;&gt;"",$O39&lt;&gt;"",N($N39)&gt;=70,N($O39)&gt;=70),"Yes",IF(OR(AND($N39&lt;&gt;"",N($N39)&lt;70),AND($O39&lt;&gt;"",N($O39)&lt;70)),"No","(one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IF($B40="","",COUNTIFS(nrSK_PID,$B40,nrSK_Dis,"Yes"))</f>
        <v/>
      </c>
      <c r="J40" s="17">
        <f>IF($B40="","",IF($I40&gt;0,"Yes","No"))</f>
        <v/>
      </c>
      <c r="K40" s="17">
        <f>IF($B40="","",IF($J40="Yes","No",IF($G40&gt;0,"No","Yes")))</f>
        <v/>
      </c>
      <c r="L40" s="17">
        <f>IF($B40="","",IFERROR(ROUND(AVERAGEIFS(nrSK_Score,nrSK_PID,$B40,nrSK_Cat,"Firearms"),2),""))</f>
        <v/>
      </c>
      <c r="M40" s="17">
        <f>IF($B40="","",IFERROR(_xlfn.MAXIFS(nrSK_Score,nrSK_PID,$B40,nrSK_Cat,"Firearms"),""))</f>
        <v/>
      </c>
      <c r="N40" s="17">
        <f>IF($B40="","",_xlfn.LET(_xlpm.v,_xlfn.MAXIFS(nrSK_Score,nrSK_PID,$B40,nrSK_Cat,"Firearms",nrSK_CoF,1),IF(_xlpm.v=0,"",_xlpm.v)))</f>
        <v/>
      </c>
      <c r="O40" s="17">
        <f>IF($B40="","",_xlfn.LET(_xlpm.v,_xlfn.MAXIFS(nrSK_Score,nrSK_PID,$B40,nrSK_Cat,"Firearms",nrSK_CoF,2),IF(_xlpm.v=0,"",_xlpm.v)))</f>
        <v/>
      </c>
      <c r="P40" s="17">
        <f>IF($B40="","",IF(AND($N40="",$O40=""),"",IF(AND($N40&lt;&gt;"",$O40&lt;&gt;"",N($N40)&gt;=70,N($O40)&gt;=70),"Yes",IF(OR(AND($N40&lt;&gt;"",N($N40)&lt;70),AND($O40&lt;&gt;"",N($O40)&lt;70)),"No","(one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IF($B41="","",COUNTIFS(nrSK_PID,$B41,nrSK_Dis,"Yes"))</f>
        <v/>
      </c>
      <c r="J41" s="17">
        <f>IF($B41="","",IF($I41&gt;0,"Yes","No"))</f>
        <v/>
      </c>
      <c r="K41" s="17">
        <f>IF($B41="","",IF($J41="Yes","No",IF($G41&gt;0,"No","Yes")))</f>
        <v/>
      </c>
      <c r="L41" s="17">
        <f>IF($B41="","",IFERROR(ROUND(AVERAGEIFS(nrSK_Score,nrSK_PID,$B41,nrSK_Cat,"Firearms"),2),""))</f>
        <v/>
      </c>
      <c r="M41" s="17">
        <f>IF($B41="","",IFERROR(_xlfn.MAXIFS(nrSK_Score,nrSK_PID,$B41,nrSK_Cat,"Firearms"),""))</f>
        <v/>
      </c>
      <c r="N41" s="17">
        <f>IF($B41="","",_xlfn.LET(_xlpm.v,_xlfn.MAXIFS(nrSK_Score,nrSK_PID,$B41,nrSK_Cat,"Firearms",nrSK_CoF,1),IF(_xlpm.v=0,"",_xlpm.v)))</f>
        <v/>
      </c>
      <c r="O41" s="17">
        <f>IF($B41="","",_xlfn.LET(_xlpm.v,_xlfn.MAXIFS(nrSK_Score,nrSK_PID,$B41,nrSK_Cat,"Firearms",nrSK_CoF,2),IF(_xlpm.v=0,"",_xlpm.v)))</f>
        <v/>
      </c>
      <c r="P41" s="17">
        <f>IF($B41="","",IF(AND($N41="",$O41=""),"",IF(AND($N41&lt;&gt;"",$O41&lt;&gt;"",N($N41)&gt;=70,N($O41)&gt;=70),"Yes",IF(OR(AND($N41&lt;&gt;"",N($N41)&lt;70),AND($O41&lt;&gt;"",N($O41)&lt;70)),"No","(one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IF($B42="","",COUNTIFS(nrSK_PID,$B42,nrSK_Dis,"Yes"))</f>
        <v/>
      </c>
      <c r="J42" s="17">
        <f>IF($B42="","",IF($I42&gt;0,"Yes","No"))</f>
        <v/>
      </c>
      <c r="K42" s="17">
        <f>IF($B42="","",IF($J42="Yes","No",IF($G42&gt;0,"No","Yes")))</f>
        <v/>
      </c>
      <c r="L42" s="17">
        <f>IF($B42="","",IFERROR(ROUND(AVERAGEIFS(nrSK_Score,nrSK_PID,$B42,nrSK_Cat,"Firearms"),2),""))</f>
        <v/>
      </c>
      <c r="M42" s="17">
        <f>IF($B42="","",IFERROR(_xlfn.MAXIFS(nrSK_Score,nrSK_PID,$B42,nrSK_Cat,"Firearms"),""))</f>
        <v/>
      </c>
      <c r="N42" s="17">
        <f>IF($B42="","",_xlfn.LET(_xlpm.v,_xlfn.MAXIFS(nrSK_Score,nrSK_PID,$B42,nrSK_Cat,"Firearms",nrSK_CoF,1),IF(_xlpm.v=0,"",_xlpm.v)))</f>
        <v/>
      </c>
      <c r="O42" s="17">
        <f>IF($B42="","",_xlfn.LET(_xlpm.v,_xlfn.MAXIFS(nrSK_Score,nrSK_PID,$B42,nrSK_Cat,"Firearms",nrSK_CoF,2),IF(_xlpm.v=0,"",_xlpm.v)))</f>
        <v/>
      </c>
      <c r="P42" s="17">
        <f>IF($B42="","",IF(AND($N42="",$O42=""),"",IF(AND($N42&lt;&gt;"",$O42&lt;&gt;"",N($N42)&gt;=70,N($O42)&gt;=70),"Yes",IF(OR(AND($N42&lt;&gt;"",N($N42)&lt;70),AND($O42&lt;&gt;"",N($O42)&lt;70)),"No","(one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IF($B43="","",COUNTIFS(nrSK_PID,$B43,nrSK_Dis,"Yes"))</f>
        <v/>
      </c>
      <c r="J43" s="17">
        <f>IF($B43="","",IF($I43&gt;0,"Yes","No"))</f>
        <v/>
      </c>
      <c r="K43" s="17">
        <f>IF($B43="","",IF($J43="Yes","No",IF($G43&gt;0,"No","Yes")))</f>
        <v/>
      </c>
      <c r="L43" s="17">
        <f>IF($B43="","",IFERROR(ROUND(AVERAGEIFS(nrSK_Score,nrSK_PID,$B43,nrSK_Cat,"Firearms"),2),""))</f>
        <v/>
      </c>
      <c r="M43" s="17">
        <f>IF($B43="","",IFERROR(_xlfn.MAXIFS(nrSK_Score,nrSK_PID,$B43,nrSK_Cat,"Firearms"),""))</f>
        <v/>
      </c>
      <c r="N43" s="17">
        <f>IF($B43="","",_xlfn.LET(_xlpm.v,_xlfn.MAXIFS(nrSK_Score,nrSK_PID,$B43,nrSK_Cat,"Firearms",nrSK_CoF,1),IF(_xlpm.v=0,"",_xlpm.v)))</f>
        <v/>
      </c>
      <c r="O43" s="17">
        <f>IF($B43="","",_xlfn.LET(_xlpm.v,_xlfn.MAXIFS(nrSK_Score,nrSK_PID,$B43,nrSK_Cat,"Firearms",nrSK_CoF,2),IF(_xlpm.v=0,"",_xlpm.v)))</f>
        <v/>
      </c>
      <c r="P43" s="17">
        <f>IF($B43="","",IF(AND($N43="",$O43=""),"",IF(AND($N43&lt;&gt;"",$O43&lt;&gt;"",N($N43)&gt;=70,N($O43)&gt;=70),"Yes",IF(OR(AND($N43&lt;&gt;"",N($N43)&lt;70),AND($O43&lt;&gt;"",N($O43)&lt;70)),"No","(one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IF($B44="","",COUNTIFS(nrSK_PID,$B44,nrSK_Dis,"Yes"))</f>
        <v/>
      </c>
      <c r="J44" s="17">
        <f>IF($B44="","",IF($I44&gt;0,"Yes","No"))</f>
        <v/>
      </c>
      <c r="K44" s="17">
        <f>IF($B44="","",IF($J44="Yes","No",IF($G44&gt;0,"No","Yes")))</f>
        <v/>
      </c>
      <c r="L44" s="17">
        <f>IF($B44="","",IFERROR(ROUND(AVERAGEIFS(nrSK_Score,nrSK_PID,$B44,nrSK_Cat,"Firearms"),2),""))</f>
        <v/>
      </c>
      <c r="M44" s="17">
        <f>IF($B44="","",IFERROR(_xlfn.MAXIFS(nrSK_Score,nrSK_PID,$B44,nrSK_Cat,"Firearms"),""))</f>
        <v/>
      </c>
      <c r="N44" s="17">
        <f>IF($B44="","",_xlfn.LET(_xlpm.v,_xlfn.MAXIFS(nrSK_Score,nrSK_PID,$B44,nrSK_Cat,"Firearms",nrSK_CoF,1),IF(_xlpm.v=0,"",_xlpm.v)))</f>
        <v/>
      </c>
      <c r="O44" s="17">
        <f>IF($B44="","",_xlfn.LET(_xlpm.v,_xlfn.MAXIFS(nrSK_Score,nrSK_PID,$B44,nrSK_Cat,"Firearms",nrSK_CoF,2),IF(_xlpm.v=0,"",_xlpm.v)))</f>
        <v/>
      </c>
      <c r="P44" s="17">
        <f>IF($B44="","",IF(AND($N44="",$O44=""),"",IF(AND($N44&lt;&gt;"",$O44&lt;&gt;"",N($N44)&gt;=70,N($O44)&gt;=70),"Yes",IF(OR(AND($N44&lt;&gt;"",N($N44)&lt;70),AND($O44&lt;&gt;"",N($O44)&lt;70)),"No","(one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IF($B45="","",COUNTIFS(nrSK_PID,$B45,nrSK_Dis,"Yes"))</f>
        <v/>
      </c>
      <c r="J45" s="17">
        <f>IF($B45="","",IF($I45&gt;0,"Yes","No"))</f>
        <v/>
      </c>
      <c r="K45" s="17">
        <f>IF($B45="","",IF($J45="Yes","No",IF($G45&gt;0,"No","Yes")))</f>
        <v/>
      </c>
      <c r="L45" s="17">
        <f>IF($B45="","",IFERROR(ROUND(AVERAGEIFS(nrSK_Score,nrSK_PID,$B45,nrSK_Cat,"Firearms"),2),""))</f>
        <v/>
      </c>
      <c r="M45" s="17">
        <f>IF($B45="","",IFERROR(_xlfn.MAXIFS(nrSK_Score,nrSK_PID,$B45,nrSK_Cat,"Firearms"),""))</f>
        <v/>
      </c>
      <c r="N45" s="17">
        <f>IF($B45="","",_xlfn.LET(_xlpm.v,_xlfn.MAXIFS(nrSK_Score,nrSK_PID,$B45,nrSK_Cat,"Firearms",nrSK_CoF,1),IF(_xlpm.v=0,"",_xlpm.v)))</f>
        <v/>
      </c>
      <c r="O45" s="17">
        <f>IF($B45="","",_xlfn.LET(_xlpm.v,_xlfn.MAXIFS(nrSK_Score,nrSK_PID,$B45,nrSK_Cat,"Firearms",nrSK_CoF,2),IF(_xlpm.v=0,"",_xlpm.v)))</f>
        <v/>
      </c>
      <c r="P45" s="17">
        <f>IF($B45="","",IF(AND($N45="",$O45=""),"",IF(AND($N45&lt;&gt;"",$O45&lt;&gt;"",N($N45)&gt;=70,N($O45)&gt;=70),"Yes",IF(OR(AND($N45&lt;&gt;"",N($N45)&lt;70),AND($O45&lt;&gt;"",N($O45)&lt;70)),"No","(one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IF($B46="","",COUNTIFS(nrSK_PID,$B46,nrSK_Dis,"Yes"))</f>
        <v/>
      </c>
      <c r="J46" s="17">
        <f>IF($B46="","",IF($I46&gt;0,"Yes","No"))</f>
        <v/>
      </c>
      <c r="K46" s="17">
        <f>IF($B46="","",IF($J46="Yes","No",IF($G46&gt;0,"No","Yes")))</f>
        <v/>
      </c>
      <c r="L46" s="17">
        <f>IF($B46="","",IFERROR(ROUND(AVERAGEIFS(nrSK_Score,nrSK_PID,$B46,nrSK_Cat,"Firearms"),2),""))</f>
        <v/>
      </c>
      <c r="M46" s="17">
        <f>IF($B46="","",IFERROR(_xlfn.MAXIFS(nrSK_Score,nrSK_PID,$B46,nrSK_Cat,"Firearms"),""))</f>
        <v/>
      </c>
      <c r="N46" s="17">
        <f>IF($B46="","",_xlfn.LET(_xlpm.v,_xlfn.MAXIFS(nrSK_Score,nrSK_PID,$B46,nrSK_Cat,"Firearms",nrSK_CoF,1),IF(_xlpm.v=0,"",_xlpm.v)))</f>
        <v/>
      </c>
      <c r="O46" s="17">
        <f>IF($B46="","",_xlfn.LET(_xlpm.v,_xlfn.MAXIFS(nrSK_Score,nrSK_PID,$B46,nrSK_Cat,"Firearms",nrSK_CoF,2),IF(_xlpm.v=0,"",_xlpm.v)))</f>
        <v/>
      </c>
      <c r="P46" s="17">
        <f>IF($B46="","",IF(AND($N46="",$O46=""),"",IF(AND($N46&lt;&gt;"",$O46&lt;&gt;"",N($N46)&gt;=70,N($O46)&gt;=70),"Yes",IF(OR(AND($N46&lt;&gt;"",N($N46)&lt;70),AND($O46&lt;&gt;"",N($O46)&lt;70)),"No","(one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IF($B47="","",COUNTIFS(nrSK_PID,$B47,nrSK_Dis,"Yes"))</f>
        <v/>
      </c>
      <c r="J47" s="17">
        <f>IF($B47="","",IF($I47&gt;0,"Yes","No"))</f>
        <v/>
      </c>
      <c r="K47" s="17">
        <f>IF($B47="","",IF($J47="Yes","No",IF($G47&gt;0,"No","Yes")))</f>
        <v/>
      </c>
      <c r="L47" s="17">
        <f>IF($B47="","",IFERROR(ROUND(AVERAGEIFS(nrSK_Score,nrSK_PID,$B47,nrSK_Cat,"Firearms"),2),""))</f>
        <v/>
      </c>
      <c r="M47" s="17">
        <f>IF($B47="","",IFERROR(_xlfn.MAXIFS(nrSK_Score,nrSK_PID,$B47,nrSK_Cat,"Firearms"),""))</f>
        <v/>
      </c>
      <c r="N47" s="17">
        <f>IF($B47="","",_xlfn.LET(_xlpm.v,_xlfn.MAXIFS(nrSK_Score,nrSK_PID,$B47,nrSK_Cat,"Firearms",nrSK_CoF,1),IF(_xlpm.v=0,"",_xlpm.v)))</f>
        <v/>
      </c>
      <c r="O47" s="17">
        <f>IF($B47="","",_xlfn.LET(_xlpm.v,_xlfn.MAXIFS(nrSK_Score,nrSK_PID,$B47,nrSK_Cat,"Firearms",nrSK_CoF,2),IF(_xlpm.v=0,"",_xlpm.v)))</f>
        <v/>
      </c>
      <c r="P47" s="17">
        <f>IF($B47="","",IF(AND($N47="",$O47=""),"",IF(AND($N47&lt;&gt;"",$O47&lt;&gt;"",N($N47)&gt;=70,N($O47)&gt;=70),"Yes",IF(OR(AND($N47&lt;&gt;"",N($N47)&lt;70),AND($O47&lt;&gt;"",N($O47)&lt;70)),"No","(one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IF($B48="","",COUNTIFS(nrSK_PID,$B48,nrSK_Dis,"Yes"))</f>
        <v/>
      </c>
      <c r="J48" s="17">
        <f>IF($B48="","",IF($I48&gt;0,"Yes","No"))</f>
        <v/>
      </c>
      <c r="K48" s="17">
        <f>IF($B48="","",IF($J48="Yes","No",IF($G48&gt;0,"No","Yes")))</f>
        <v/>
      </c>
      <c r="L48" s="17">
        <f>IF($B48="","",IFERROR(ROUND(AVERAGEIFS(nrSK_Score,nrSK_PID,$B48,nrSK_Cat,"Firearms"),2),""))</f>
        <v/>
      </c>
      <c r="M48" s="17">
        <f>IF($B48="","",IFERROR(_xlfn.MAXIFS(nrSK_Score,nrSK_PID,$B48,nrSK_Cat,"Firearms"),""))</f>
        <v/>
      </c>
      <c r="N48" s="17">
        <f>IF($B48="","",_xlfn.LET(_xlpm.v,_xlfn.MAXIFS(nrSK_Score,nrSK_PID,$B48,nrSK_Cat,"Firearms",nrSK_CoF,1),IF(_xlpm.v=0,"",_xlpm.v)))</f>
        <v/>
      </c>
      <c r="O48" s="17">
        <f>IF($B48="","",_xlfn.LET(_xlpm.v,_xlfn.MAXIFS(nrSK_Score,nrSK_PID,$B48,nrSK_Cat,"Firearms",nrSK_CoF,2),IF(_xlpm.v=0,"",_xlpm.v)))</f>
        <v/>
      </c>
      <c r="P48" s="17">
        <f>IF($B48="","",IF(AND($N48="",$O48=""),"",IF(AND($N48&lt;&gt;"",$O48&lt;&gt;"",N($N48)&gt;=70,N($O48)&gt;=70),"Yes",IF(OR(AND($N48&lt;&gt;"",N($N48)&lt;70),AND($O48&lt;&gt;"",N($O48)&lt;70)),"No","(one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IF($B49="","",COUNTIFS(nrSK_PID,$B49,nrSK_Dis,"Yes"))</f>
        <v/>
      </c>
      <c r="J49" s="17">
        <f>IF($B49="","",IF($I49&gt;0,"Yes","No"))</f>
        <v/>
      </c>
      <c r="K49" s="17">
        <f>IF($B49="","",IF($J49="Yes","No",IF($G49&gt;0,"No","Yes")))</f>
        <v/>
      </c>
      <c r="L49" s="17">
        <f>IF($B49="","",IFERROR(ROUND(AVERAGEIFS(nrSK_Score,nrSK_PID,$B49,nrSK_Cat,"Firearms"),2),""))</f>
        <v/>
      </c>
      <c r="M49" s="17">
        <f>IF($B49="","",IFERROR(_xlfn.MAXIFS(nrSK_Score,nrSK_PID,$B49,nrSK_Cat,"Firearms"),""))</f>
        <v/>
      </c>
      <c r="N49" s="17">
        <f>IF($B49="","",_xlfn.LET(_xlpm.v,_xlfn.MAXIFS(nrSK_Score,nrSK_PID,$B49,nrSK_Cat,"Firearms",nrSK_CoF,1),IF(_xlpm.v=0,"",_xlpm.v)))</f>
        <v/>
      </c>
      <c r="O49" s="17">
        <f>IF($B49="","",_xlfn.LET(_xlpm.v,_xlfn.MAXIFS(nrSK_Score,nrSK_PID,$B49,nrSK_Cat,"Firearms",nrSK_CoF,2),IF(_xlpm.v=0,"",_xlpm.v)))</f>
        <v/>
      </c>
      <c r="P49" s="17">
        <f>IF($B49="","",IF(AND($N49="",$O49=""),"",IF(AND($N49&lt;&gt;"",$O49&lt;&gt;"",N($N49)&gt;=70,N($O49)&gt;=70),"Yes",IF(OR(AND($N49&lt;&gt;"",N($N49)&lt;70),AND($O49&lt;&gt;"",N($O49)&lt;70)),"No","(one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IF($B50="","",COUNTIFS(nrSK_PID,$B50,nrSK_Dis,"Yes"))</f>
        <v/>
      </c>
      <c r="J50" s="17">
        <f>IF($B50="","",IF($I50&gt;0,"Yes","No"))</f>
        <v/>
      </c>
      <c r="K50" s="17">
        <f>IF($B50="","",IF($J50="Yes","No",IF($G50&gt;0,"No","Yes")))</f>
        <v/>
      </c>
      <c r="L50" s="17">
        <f>IF($B50="","",IFERROR(ROUND(AVERAGEIFS(nrSK_Score,nrSK_PID,$B50,nrSK_Cat,"Firearms"),2),""))</f>
        <v/>
      </c>
      <c r="M50" s="17">
        <f>IF($B50="","",IFERROR(_xlfn.MAXIFS(nrSK_Score,nrSK_PID,$B50,nrSK_Cat,"Firearms"),""))</f>
        <v/>
      </c>
      <c r="N50" s="17">
        <f>IF($B50="","",_xlfn.LET(_xlpm.v,_xlfn.MAXIFS(nrSK_Score,nrSK_PID,$B50,nrSK_Cat,"Firearms",nrSK_CoF,1),IF(_xlpm.v=0,"",_xlpm.v)))</f>
        <v/>
      </c>
      <c r="O50" s="17">
        <f>IF($B50="","",_xlfn.LET(_xlpm.v,_xlfn.MAXIFS(nrSK_Score,nrSK_PID,$B50,nrSK_Cat,"Firearms",nrSK_CoF,2),IF(_xlpm.v=0,"",_xlpm.v)))</f>
        <v/>
      </c>
      <c r="P50" s="17">
        <f>IF($B50="","",IF(AND($N50="",$O50=""),"",IF(AND($N50&lt;&gt;"",$O50&lt;&gt;"",N($N50)&gt;=70,N($O50)&gt;=70),"Yes",IF(OR(AND($N50&lt;&gt;"",N($N50)&lt;70),AND($O50&lt;&gt;"",N($O50)&lt;70)),"No","(one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IF($B51="","",COUNTIFS(nrSK_PID,$B51,nrSK_Dis,"Yes"))</f>
        <v/>
      </c>
      <c r="J51" s="17">
        <f>IF($B51="","",IF($I51&gt;0,"Yes","No"))</f>
        <v/>
      </c>
      <c r="K51" s="17">
        <f>IF($B51="","",IF($J51="Yes","No",IF($G51&gt;0,"No","Yes")))</f>
        <v/>
      </c>
      <c r="L51" s="17">
        <f>IF($B51="","",IFERROR(ROUND(AVERAGEIFS(nrSK_Score,nrSK_PID,$B51,nrSK_Cat,"Firearms"),2),""))</f>
        <v/>
      </c>
      <c r="M51" s="17">
        <f>IF($B51="","",IFERROR(_xlfn.MAXIFS(nrSK_Score,nrSK_PID,$B51,nrSK_Cat,"Firearms"),""))</f>
        <v/>
      </c>
      <c r="N51" s="17">
        <f>IF($B51="","",_xlfn.LET(_xlpm.v,_xlfn.MAXIFS(nrSK_Score,nrSK_PID,$B51,nrSK_Cat,"Firearms",nrSK_CoF,1),IF(_xlpm.v=0,"",_xlpm.v)))</f>
        <v/>
      </c>
      <c r="O51" s="17">
        <f>IF($B51="","",_xlfn.LET(_xlpm.v,_xlfn.MAXIFS(nrSK_Score,nrSK_PID,$B51,nrSK_Cat,"Firearms",nrSK_CoF,2),IF(_xlpm.v=0,"",_xlpm.v)))</f>
        <v/>
      </c>
      <c r="P51" s="17">
        <f>IF($B51="","",IF(AND($N51="",$O51=""),"",IF(AND($N51&lt;&gt;"",$O51&lt;&gt;"",N($N51)&gt;=70,N($O51)&gt;=70),"Yes",IF(OR(AND($N51&lt;&gt;"",N($N51)&lt;70),AND($O51&lt;&gt;"",N($O51)&lt;70)),"No","(one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IF($B52="","",COUNTIFS(nrSK_PID,$B52,nrSK_Dis,"Yes"))</f>
        <v/>
      </c>
      <c r="J52" s="17">
        <f>IF($B52="","",IF($I52&gt;0,"Yes","No"))</f>
        <v/>
      </c>
      <c r="K52" s="17">
        <f>IF($B52="","",IF($J52="Yes","No",IF($G52&gt;0,"No","Yes")))</f>
        <v/>
      </c>
      <c r="L52" s="17">
        <f>IF($B52="","",IFERROR(ROUND(AVERAGEIFS(nrSK_Score,nrSK_PID,$B52,nrSK_Cat,"Firearms"),2),""))</f>
        <v/>
      </c>
      <c r="M52" s="17">
        <f>IF($B52="","",IFERROR(_xlfn.MAXIFS(nrSK_Score,nrSK_PID,$B52,nrSK_Cat,"Firearms"),""))</f>
        <v/>
      </c>
      <c r="N52" s="17">
        <f>IF($B52="","",_xlfn.LET(_xlpm.v,_xlfn.MAXIFS(nrSK_Score,nrSK_PID,$B52,nrSK_Cat,"Firearms",nrSK_CoF,1),IF(_xlpm.v=0,"",_xlpm.v)))</f>
        <v/>
      </c>
      <c r="O52" s="17">
        <f>IF($B52="","",_xlfn.LET(_xlpm.v,_xlfn.MAXIFS(nrSK_Score,nrSK_PID,$B52,nrSK_Cat,"Firearms",nrSK_CoF,2),IF(_xlpm.v=0,"",_xlpm.v)))</f>
        <v/>
      </c>
      <c r="P52" s="17">
        <f>IF($B52="","",IF(AND($N52="",$O52=""),"",IF(AND($N52&lt;&gt;"",$O52&lt;&gt;"",N($N52)&gt;=70,N($O52)&gt;=70),"Yes",IF(OR(AND($N52&lt;&gt;"",N($N52)&lt;70),AND($O52&lt;&gt;"",N($O52)&lt;70)),"No","(one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IF($B53="","",COUNTIFS(nrSK_PID,$B53,nrSK_Dis,"Yes"))</f>
        <v/>
      </c>
      <c r="J53" s="17">
        <f>IF($B53="","",IF($I53&gt;0,"Yes","No"))</f>
        <v/>
      </c>
      <c r="K53" s="17">
        <f>IF($B53="","",IF($J53="Yes","No",IF($G53&gt;0,"No","Yes")))</f>
        <v/>
      </c>
      <c r="L53" s="17">
        <f>IF($B53="","",IFERROR(ROUND(AVERAGEIFS(nrSK_Score,nrSK_PID,$B53,nrSK_Cat,"Firearms"),2),""))</f>
        <v/>
      </c>
      <c r="M53" s="17">
        <f>IF($B53="","",IFERROR(_xlfn.MAXIFS(nrSK_Score,nrSK_PID,$B53,nrSK_Cat,"Firearms"),""))</f>
        <v/>
      </c>
      <c r="N53" s="17">
        <f>IF($B53="","",_xlfn.LET(_xlpm.v,_xlfn.MAXIFS(nrSK_Score,nrSK_PID,$B53,nrSK_Cat,"Firearms",nrSK_CoF,1),IF(_xlpm.v=0,"",_xlpm.v)))</f>
        <v/>
      </c>
      <c r="O53" s="17">
        <f>IF($B53="","",_xlfn.LET(_xlpm.v,_xlfn.MAXIFS(nrSK_Score,nrSK_PID,$B53,nrSK_Cat,"Firearms",nrSK_CoF,2),IF(_xlpm.v=0,"",_xlpm.v)))</f>
        <v/>
      </c>
      <c r="P53" s="17">
        <f>IF($B53="","",IF(AND($N53="",$O53=""),"",IF(AND($N53&lt;&gt;"",$O53&lt;&gt;"",N($N53)&gt;=70,N($O53)&gt;=70),"Yes",IF(OR(AND($N53&lt;&gt;"",N($N53)&lt;70),AND($O53&lt;&gt;"",N($O53)&lt;70)),"No","(one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IF($B54="","",COUNTIFS(nrSK_PID,$B54,nrSK_Dis,"Yes"))</f>
        <v/>
      </c>
      <c r="J54" s="17">
        <f>IF($B54="","",IF($I54&gt;0,"Yes","No"))</f>
        <v/>
      </c>
      <c r="K54" s="17">
        <f>IF($B54="","",IF($J54="Yes","No",IF($G54&gt;0,"No","Yes")))</f>
        <v/>
      </c>
      <c r="L54" s="17">
        <f>IF($B54="","",IFERROR(ROUND(AVERAGEIFS(nrSK_Score,nrSK_PID,$B54,nrSK_Cat,"Firearms"),2),""))</f>
        <v/>
      </c>
      <c r="M54" s="17">
        <f>IF($B54="","",IFERROR(_xlfn.MAXIFS(nrSK_Score,nrSK_PID,$B54,nrSK_Cat,"Firearms"),""))</f>
        <v/>
      </c>
      <c r="N54" s="17">
        <f>IF($B54="","",_xlfn.LET(_xlpm.v,_xlfn.MAXIFS(nrSK_Score,nrSK_PID,$B54,nrSK_Cat,"Firearms",nrSK_CoF,1),IF(_xlpm.v=0,"",_xlpm.v)))</f>
        <v/>
      </c>
      <c r="O54" s="17">
        <f>IF($B54="","",_xlfn.LET(_xlpm.v,_xlfn.MAXIFS(nrSK_Score,nrSK_PID,$B54,nrSK_Cat,"Firearms",nrSK_CoF,2),IF(_xlpm.v=0,"",_xlpm.v)))</f>
        <v/>
      </c>
      <c r="P54" s="17">
        <f>IF($B54="","",IF(AND($N54="",$O54=""),"",IF(AND($N54&lt;&gt;"",$O54&lt;&gt;"",N($N54)&gt;=70,N($O54)&gt;=70),"Yes",IF(OR(AND($N54&lt;&gt;"",N($N54)&lt;70),AND($O54&lt;&gt;"",N($O54)&lt;70)),"No","(one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IF($B55="","",COUNTIFS(nrSK_PID,$B55,nrSK_Dis,"Yes"))</f>
        <v/>
      </c>
      <c r="J55" s="17">
        <f>IF($B55="","",IF($I55&gt;0,"Yes","No"))</f>
        <v/>
      </c>
      <c r="K55" s="17">
        <f>IF($B55="","",IF($J55="Yes","No",IF($G55&gt;0,"No","Yes")))</f>
        <v/>
      </c>
      <c r="L55" s="17">
        <f>IF($B55="","",IFERROR(ROUND(AVERAGEIFS(nrSK_Score,nrSK_PID,$B55,nrSK_Cat,"Firearms"),2),""))</f>
        <v/>
      </c>
      <c r="M55" s="17">
        <f>IF($B55="","",IFERROR(_xlfn.MAXIFS(nrSK_Score,nrSK_PID,$B55,nrSK_Cat,"Firearms"),""))</f>
        <v/>
      </c>
      <c r="N55" s="17">
        <f>IF($B55="","",_xlfn.LET(_xlpm.v,_xlfn.MAXIFS(nrSK_Score,nrSK_PID,$B55,nrSK_Cat,"Firearms",nrSK_CoF,1),IF(_xlpm.v=0,"",_xlpm.v)))</f>
        <v/>
      </c>
      <c r="O55" s="17">
        <f>IF($B55="","",_xlfn.LET(_xlpm.v,_xlfn.MAXIFS(nrSK_Score,nrSK_PID,$B55,nrSK_Cat,"Firearms",nrSK_CoF,2),IF(_xlpm.v=0,"",_xlpm.v)))</f>
        <v/>
      </c>
      <c r="P55" s="17">
        <f>IF($B55="","",IF(AND($N55="",$O55=""),"",IF(AND($N55&lt;&gt;"",$O55&lt;&gt;"",N($N55)&gt;=70,N($O55)&gt;=70),"Yes",IF(OR(AND($N55&lt;&gt;"",N($N55)&lt;70),AND($O55&lt;&gt;"",N($O55)&lt;70)),"No","(one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IF($B6="","",IF(OR(sysGrades!$P6&gt;0,sysSkills!$J6="Yes",sysIncidents!$J6&gt;0),1,0))</f>
        <v/>
      </c>
      <c r="S6" s="17">
        <f>IF($B6="","",SUM($E6:$R6))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OPEN"&amp;IF(sysGrades!$P6&gt;0," (failed retest)",IF(sysSkills!$J6="Yes"," (skills failed out)"," (chain-of-command incident review)")),""))))</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IF($B7="","",IF(OR(sysGrades!$P7&gt;0,sysSkills!$J7="Yes",sysIncidents!$J7&gt;0),1,0))</f>
        <v/>
      </c>
      <c r="S7" s="17">
        <f>IF($B7="","",SUM($E7:$R7))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OPEN"&amp;IF(sysGrades!$P7&gt;0," (failed retest)",IF(sysSkills!$J7="Yes"," (skills failed out)"," (chain-of-command incident review)")),""))))</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IF($B8="","",IF(OR(sysGrades!$P8&gt;0,sysSkills!$J8="Yes",sysIncidents!$J8&gt;0),1,0))</f>
        <v/>
      </c>
      <c r="S8" s="17">
        <f>IF($B8="","",SUM($E8:$R8))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OPEN"&amp;IF(sysGrades!$P8&gt;0," (failed retest)",IF(sysSkills!$J8="Yes"," (skills failed out)"," (chain-of-command incident review)")),""))))</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IF($B9="","",IF(OR(sysGrades!$P9&gt;0,sysSkills!$J9="Yes",sysIncidents!$J9&gt;0),1,0))</f>
        <v/>
      </c>
      <c r="S9" s="17">
        <f>IF($B9="","",SUM($E9:$R9))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OPEN"&amp;IF(sysGrades!$P9&gt;0," (failed retest)",IF(sysSkills!$J9="Yes"," (skills failed out)"," (chain-of-command incident review)")),""))))</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IF($B10="","",IF(OR(sysGrades!$P10&gt;0,sysSkills!$J10="Yes",sysIncidents!$J10&gt;0),1,0))</f>
        <v/>
      </c>
      <c r="S10" s="17">
        <f>IF($B10="","",SUM($E10:$R10))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OPEN"&amp;IF(sysGrades!$P10&gt;0," (failed retest)",IF(sysSkills!$J10="Yes"," (skills failed out)"," (chain-of-command incident review)")),""))))</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IF($B11="","",IF(OR(sysGrades!$P11&gt;0,sysSkills!$J11="Yes",sysIncidents!$J11&gt;0),1,0))</f>
        <v/>
      </c>
      <c r="S11" s="17">
        <f>IF($B11="","",SUM($E11:$R11))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OPEN"&amp;IF(sysGrades!$P11&gt;0," (failed retest)",IF(sysSkills!$J11="Yes"," (skills failed out)"," (chain-of-command incident review)")),""))))</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IF($B12="","",IF(OR(sysGrades!$P12&gt;0,sysSkills!$J12="Yes",sysIncidents!$J12&gt;0),1,0))</f>
        <v/>
      </c>
      <c r="S12" s="17">
        <f>IF($B12="","",SUM($E12:$R12))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OPEN"&amp;IF(sysGrades!$P12&gt;0," (failed retest)",IF(sysSkills!$J12="Yes"," (skills failed out)"," (chain-of-command incident review)")),""))))</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IF($B13="","",IF(OR(sysGrades!$P13&gt;0,sysSkills!$J13="Yes",sysIncidents!$J13&gt;0),1,0))</f>
        <v/>
      </c>
      <c r="S13" s="17">
        <f>IF($B13="","",SUM($E13:$R13))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OPEN"&amp;IF(sysGrades!$P13&gt;0," (failed retest)",IF(sysSkills!$J13="Yes"," (skills failed out)"," (chain-of-command incident review)")),""))))</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IF($B14="","",IF(OR(sysGrades!$P14&gt;0,sysSkills!$J14="Yes",sysIncidents!$J14&gt;0),1,0))</f>
        <v/>
      </c>
      <c r="S14" s="17">
        <f>IF($B14="","",SUM($E14:$R14))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OPEN"&amp;IF(sysGrades!$P14&gt;0," (failed retest)",IF(sysSkills!$J14="Yes"," (skills failed out)"," (chain-of-command incident review)")),""))))</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IF($B15="","",IF(OR(sysGrades!$P15&gt;0,sysSkills!$J15="Yes",sysIncidents!$J15&gt;0),1,0))</f>
        <v/>
      </c>
      <c r="S15" s="17">
        <f>IF($B15="","",SUM($E15:$R15))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OPEN"&amp;IF(sysGrades!$P15&gt;0," (failed retest)",IF(sysSkills!$J15="Yes"," (skills failed out)"," (chain-of-command incident review)")),""))))</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IF($B16="","",IF(OR(sysGrades!$P16&gt;0,sysSkills!$J16="Yes",sysIncidents!$J16&gt;0),1,0))</f>
        <v/>
      </c>
      <c r="S16" s="17">
        <f>IF($B16="","",SUM($E16:$R16))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OPEN"&amp;IF(sysGrades!$P16&gt;0," (failed retest)",IF(sysSkills!$J16="Yes"," (skills failed out)"," (chain-of-command incident review)")),""))))</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IF($B17="","",IF(OR(sysGrades!$P17&gt;0,sysSkills!$J17="Yes",sysIncidents!$J17&gt;0),1,0))</f>
        <v/>
      </c>
      <c r="S17" s="17">
        <f>IF($B17="","",SUM($E17:$R17))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OPEN"&amp;IF(sysGrades!$P17&gt;0," (failed retest)",IF(sysSkills!$J17="Yes"," (skills failed out)"," (chain-of-command incident review)")),""))))</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IF($B18="","",IF(OR(sysGrades!$P18&gt;0,sysSkills!$J18="Yes",sysIncidents!$J18&gt;0),1,0))</f>
        <v/>
      </c>
      <c r="S18" s="17">
        <f>IF($B18="","",SUM($E18:$R18))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OPEN"&amp;IF(sysGrades!$P18&gt;0," (failed retest)",IF(sysSkills!$J18="Yes"," (skills failed out)"," (chain-of-command incident review)")),""))))</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IF($B19="","",IF(OR(sysGrades!$P19&gt;0,sysSkills!$J19="Yes",sysIncidents!$J19&gt;0),1,0))</f>
        <v/>
      </c>
      <c r="S19" s="17">
        <f>IF($B19="","",SUM($E19:$R19))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OPEN"&amp;IF(sysGrades!$P19&gt;0," (failed retest)",IF(sysSkills!$J19="Yes"," (skills failed out)"," (chain-of-command incident review)")),""))))</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IF($B20="","",IF(OR(sysGrades!$P20&gt;0,sysSkills!$J20="Yes",sysIncidents!$J20&gt;0),1,0))</f>
        <v/>
      </c>
      <c r="S20" s="17">
        <f>IF($B20="","",SUM($E20:$R20))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OPEN"&amp;IF(sysGrades!$P20&gt;0," (failed retest)",IF(sysSkills!$J20="Yes"," (skills failed out)"," (chain-of-command incident review)")),""))))</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IF($B21="","",IF(OR(sysGrades!$P21&gt;0,sysSkills!$J21="Yes",sysIncidents!$J21&gt;0),1,0))</f>
        <v/>
      </c>
      <c r="S21" s="17">
        <f>IF($B21="","",SUM($E21:$R21))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OPEN"&amp;IF(sysGrades!$P21&gt;0," (failed retest)",IF(sysSkills!$J21="Yes"," (skills failed out)"," (chain-of-command incident review)")),""))))</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IF($B22="","",IF(OR(sysGrades!$P22&gt;0,sysSkills!$J22="Yes",sysIncidents!$J22&gt;0),1,0))</f>
        <v/>
      </c>
      <c r="S22" s="17">
        <f>IF($B22="","",SUM($E22:$R22))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OPEN"&amp;IF(sysGrades!$P22&gt;0," (failed retest)",IF(sysSkills!$J22="Yes"," (skills failed out)"," (chain-of-command incident review)")),""))))</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IF($B23="","",IF(OR(sysGrades!$P23&gt;0,sysSkills!$J23="Yes",sysIncidents!$J23&gt;0),1,0))</f>
        <v/>
      </c>
      <c r="S23" s="17">
        <f>IF($B23="","",SUM($E23:$R23))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OPEN"&amp;IF(sysGrades!$P23&gt;0," (failed retest)",IF(sysSkills!$J23="Yes"," (skills failed out)"," (chain-of-command incident review)")),""))))</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IF($B24="","",IF(OR(sysGrades!$P24&gt;0,sysSkills!$J24="Yes",sysIncidents!$J24&gt;0),1,0))</f>
        <v/>
      </c>
      <c r="S24" s="17">
        <f>IF($B24="","",SUM($E24:$R24))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OPEN"&amp;IF(sysGrades!$P24&gt;0," (failed retest)",IF(sysSkills!$J24="Yes"," (skills failed out)"," (chain-of-command incident review)")),""))))</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IF($B25="","",IF(OR(sysGrades!$P25&gt;0,sysSkills!$J25="Yes",sysIncidents!$J25&gt;0),1,0))</f>
        <v/>
      </c>
      <c r="S25" s="17">
        <f>IF($B25="","",SUM($E25:$R25))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OPEN"&amp;IF(sysGrades!$P25&gt;0," (failed retest)",IF(sysSkills!$J25="Yes"," (skills failed out)"," (chain-of-command incident review)")),""))))</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IF($B26="","",IF(OR(sysGrades!$P26&gt;0,sysSkills!$J26="Yes",sysIncidents!$J26&gt;0),1,0))</f>
        <v/>
      </c>
      <c r="S26" s="17">
        <f>IF($B26="","",SUM($E26:$R26))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OPEN"&amp;IF(sysGrades!$P26&gt;0," (failed retest)",IF(sysSkills!$J26="Yes"," (skills failed out)"," (chain-of-command incident review)")),""))))</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IF($B27="","",IF(OR(sysGrades!$P27&gt;0,sysSkills!$J27="Yes",sysIncidents!$J27&gt;0),1,0))</f>
        <v/>
      </c>
      <c r="S27" s="17">
        <f>IF($B27="","",SUM($E27:$R27))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OPEN"&amp;IF(sysGrades!$P27&gt;0," (failed retest)",IF(sysSkills!$J27="Yes"," (skills failed out)"," (chain-of-command incident review)")),""))))</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IF($B28="","",IF(OR(sysGrades!$P28&gt;0,sysSkills!$J28="Yes",sysIncidents!$J28&gt;0),1,0))</f>
        <v/>
      </c>
      <c r="S28" s="17">
        <f>IF($B28="","",SUM($E28:$R28))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OPEN"&amp;IF(sysGrades!$P28&gt;0," (failed retest)",IF(sysSkills!$J28="Yes"," (skills failed out)"," (chain-of-command incident review)")),""))))</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IF($B29="","",IF(OR(sysGrades!$P29&gt;0,sysSkills!$J29="Yes",sysIncidents!$J29&gt;0),1,0))</f>
        <v/>
      </c>
      <c r="S29" s="17">
        <f>IF($B29="","",SUM($E29:$R29))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OPEN"&amp;IF(sysGrades!$P29&gt;0," (failed retest)",IF(sysSkills!$J29="Yes"," (skills failed out)"," (chain-of-command incident review)")),""))))</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IF($B30="","",IF(OR(sysGrades!$P30&gt;0,sysSkills!$J30="Yes",sysIncidents!$J30&gt;0),1,0))</f>
        <v/>
      </c>
      <c r="S30" s="17">
        <f>IF($B30="","",SUM($E30:$R30))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OPEN"&amp;IF(sysGrades!$P30&gt;0," (failed retest)",IF(sysSkills!$J30="Yes"," (skills failed out)"," (chain-of-command incident review)")),""))))</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IF($B31="","",IF(OR(sysGrades!$P31&gt;0,sysSkills!$J31="Yes",sysIncidents!$J31&gt;0),1,0))</f>
        <v/>
      </c>
      <c r="S31" s="17">
        <f>IF($B31="","",SUM($E31:$R31))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OPEN"&amp;IF(sysGrades!$P31&gt;0," (failed retest)",IF(sysSkills!$J31="Yes"," (skills failed out)"," (chain-of-command incident review)")),""))))</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IF($B32="","",IF(OR(sysGrades!$P32&gt;0,sysSkills!$J32="Yes",sysIncidents!$J32&gt;0),1,0))</f>
        <v/>
      </c>
      <c r="S32" s="17">
        <f>IF($B32="","",SUM($E32:$R32))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OPEN"&amp;IF(sysGrades!$P32&gt;0," (failed retest)",IF(sysSkills!$J32="Yes"," (skills failed out)"," (chain-of-command incident review)")),""))))</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IF($B33="","",IF(OR(sysGrades!$P33&gt;0,sysSkills!$J33="Yes",sysIncidents!$J33&gt;0),1,0))</f>
        <v/>
      </c>
      <c r="S33" s="17">
        <f>IF($B33="","",SUM($E33:$R33))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OPEN"&amp;IF(sysGrades!$P33&gt;0," (failed retest)",IF(sysSkills!$J33="Yes"," (skills failed out)"," (chain-of-command incident review)")),""))))</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IF($B34="","",IF(OR(sysGrades!$P34&gt;0,sysSkills!$J34="Yes",sysIncidents!$J34&gt;0),1,0))</f>
        <v/>
      </c>
      <c r="S34" s="17">
        <f>IF($B34="","",SUM($E34:$R34))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OPEN"&amp;IF(sysGrades!$P34&gt;0," (failed retest)",IF(sysSkills!$J34="Yes"," (skills failed out)"," (chain-of-command incident review)")),""))))</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IF($B35="","",IF(OR(sysGrades!$P35&gt;0,sysSkills!$J35="Yes",sysIncidents!$J35&gt;0),1,0))</f>
        <v/>
      </c>
      <c r="S35" s="17">
        <f>IF($B35="","",SUM($E35:$R35))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OPEN"&amp;IF(sysGrades!$P35&gt;0," (failed retest)",IF(sysSkills!$J35="Yes"," (skills failed out)"," (chain-of-command incident review)")),""))))</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IF($B36="","",IF(OR(sysGrades!$P36&gt;0,sysSkills!$J36="Yes",sysIncidents!$J36&gt;0),1,0))</f>
        <v/>
      </c>
      <c r="S36" s="17">
        <f>IF($B36="","",SUM($E36:$R36))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OPEN"&amp;IF(sysGrades!$P36&gt;0," (failed retest)",IF(sysSkills!$J36="Yes"," (skills failed out)"," (chain-of-command incident review)")),""))))</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IF($B37="","",IF(OR(sysGrades!$P37&gt;0,sysSkills!$J37="Yes",sysIncidents!$J37&gt;0),1,0))</f>
        <v/>
      </c>
      <c r="S37" s="17">
        <f>IF($B37="","",SUM($E37:$R37))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OPEN"&amp;IF(sysGrades!$P37&gt;0," (failed retest)",IF(sysSkills!$J37="Yes"," (skills failed out)"," (chain-of-command incident review)")),""))))</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IF($B38="","",IF(OR(sysGrades!$P38&gt;0,sysSkills!$J38="Yes",sysIncidents!$J38&gt;0),1,0))</f>
        <v/>
      </c>
      <c r="S38" s="17">
        <f>IF($B38="","",SUM($E38:$R38))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OPEN"&amp;IF(sysGrades!$P38&gt;0," (failed retest)",IF(sysSkills!$J38="Yes"," (skills failed out)"," (chain-of-command incident review)")),""))))</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IF($B39="","",IF(OR(sysGrades!$P39&gt;0,sysSkills!$J39="Yes",sysIncidents!$J39&gt;0),1,0))</f>
        <v/>
      </c>
      <c r="S39" s="17">
        <f>IF($B39="","",SUM($E39:$R39))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OPEN"&amp;IF(sysGrades!$P39&gt;0," (failed retest)",IF(sysSkills!$J39="Yes"," (skills failed out)"," (chain-of-command incident review)")),""))))</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IF($B40="","",IF(OR(sysGrades!$P40&gt;0,sysSkills!$J40="Yes",sysIncidents!$J40&gt;0),1,0))</f>
        <v/>
      </c>
      <c r="S40" s="17">
        <f>IF($B40="","",SUM($E40:$R40))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OPEN"&amp;IF(sysGrades!$P40&gt;0," (failed retest)",IF(sysSkills!$J40="Yes"," (skills failed out)"," (chain-of-command incident review)")),""))))</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IF($B41="","",IF(OR(sysGrades!$P41&gt;0,sysSkills!$J41="Yes",sysIncidents!$J41&gt;0),1,0))</f>
        <v/>
      </c>
      <c r="S41" s="17">
        <f>IF($B41="","",SUM($E41:$R41))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OPEN"&amp;IF(sysGrades!$P41&gt;0," (failed retest)",IF(sysSkills!$J41="Yes"," (skills failed out)"," (chain-of-command incident review)")),""))))</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IF($B42="","",IF(OR(sysGrades!$P42&gt;0,sysSkills!$J42="Yes",sysIncidents!$J42&gt;0),1,0))</f>
        <v/>
      </c>
      <c r="S42" s="17">
        <f>IF($B42="","",SUM($E42:$R42))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OPEN"&amp;IF(sysGrades!$P42&gt;0," (failed retest)",IF(sysSkills!$J42="Yes"," (skills failed out)"," (chain-of-command incident review)")),""))))</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IF($B43="","",IF(OR(sysGrades!$P43&gt;0,sysSkills!$J43="Yes",sysIncidents!$J43&gt;0),1,0))</f>
        <v/>
      </c>
      <c r="S43" s="17">
        <f>IF($B43="","",SUM($E43:$R43))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OPEN"&amp;IF(sysGrades!$P43&gt;0," (failed retest)",IF(sysSkills!$J43="Yes"," (skills failed out)"," (chain-of-command incident review)")),""))))</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IF($B44="","",IF(OR(sysGrades!$P44&gt;0,sysSkills!$J44="Yes",sysIncidents!$J44&gt;0),1,0))</f>
        <v/>
      </c>
      <c r="S44" s="17">
        <f>IF($B44="","",SUM($E44:$R44))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OPEN"&amp;IF(sysGrades!$P44&gt;0," (failed retest)",IF(sysSkills!$J44="Yes"," (skills failed out)"," (chain-of-command incident review)")),""))))</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IF($B45="","",IF(OR(sysGrades!$P45&gt;0,sysSkills!$J45="Yes",sysIncidents!$J45&gt;0),1,0))</f>
        <v/>
      </c>
      <c r="S45" s="17">
        <f>IF($B45="","",SUM($E45:$R45))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OPEN"&amp;IF(sysGrades!$P45&gt;0," (failed retest)",IF(sysSkills!$J45="Yes"," (skills failed out)"," (chain-of-command incident review)")),""))))</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IF($B46="","",IF(OR(sysGrades!$P46&gt;0,sysSkills!$J46="Yes",sysIncidents!$J46&gt;0),1,0))</f>
        <v/>
      </c>
      <c r="S46" s="17">
        <f>IF($B46="","",SUM($E46:$R46))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OPEN"&amp;IF(sysGrades!$P46&gt;0," (failed retest)",IF(sysSkills!$J46="Yes"," (skills failed out)"," (chain-of-command incident review)")),""))))</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IF($B47="","",IF(OR(sysGrades!$P47&gt;0,sysSkills!$J47="Yes",sysIncidents!$J47&gt;0),1,0))</f>
        <v/>
      </c>
      <c r="S47" s="17">
        <f>IF($B47="","",SUM($E47:$R47))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OPEN"&amp;IF(sysGrades!$P47&gt;0," (failed retest)",IF(sysSkills!$J47="Yes"," (skills failed out)"," (chain-of-command incident review)")),""))))</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IF($B48="","",IF(OR(sysGrades!$P48&gt;0,sysSkills!$J48="Yes",sysIncidents!$J48&gt;0),1,0))</f>
        <v/>
      </c>
      <c r="S48" s="17">
        <f>IF($B48="","",SUM($E48:$R48))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OPEN"&amp;IF(sysGrades!$P48&gt;0," (failed retest)",IF(sysSkills!$J48="Yes"," (skills failed out)"," (chain-of-command incident review)")),""))))</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IF($B49="","",IF(OR(sysGrades!$P49&gt;0,sysSkills!$J49="Yes",sysIncidents!$J49&gt;0),1,0))</f>
        <v/>
      </c>
      <c r="S49" s="17">
        <f>IF($B49="","",SUM($E49:$R49))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OPEN"&amp;IF(sysGrades!$P49&gt;0," (failed retest)",IF(sysSkills!$J49="Yes"," (skills failed out)"," (chain-of-command incident review)")),""))))</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IF($B50="","",IF(OR(sysGrades!$P50&gt;0,sysSkills!$J50="Yes",sysIncidents!$J50&gt;0),1,0))</f>
        <v/>
      </c>
      <c r="S50" s="17">
        <f>IF($B50="","",SUM($E50:$R50))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OPEN"&amp;IF(sysGrades!$P50&gt;0," (failed retest)",IF(sysSkills!$J50="Yes"," (skills failed out)"," (chain-of-command incident review)")),""))))</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IF($B51="","",IF(OR(sysGrades!$P51&gt;0,sysSkills!$J51="Yes",sysIncidents!$J51&gt;0),1,0))</f>
        <v/>
      </c>
      <c r="S51" s="17">
        <f>IF($B51="","",SUM($E51:$R51))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OPEN"&amp;IF(sysGrades!$P51&gt;0," (failed retest)",IF(sysSkills!$J51="Yes"," (skills failed out)"," (chain-of-command incident review)")),""))))</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IF($B52="","",IF(OR(sysGrades!$P52&gt;0,sysSkills!$J52="Yes",sysIncidents!$J52&gt;0),1,0))</f>
        <v/>
      </c>
      <c r="S52" s="17">
        <f>IF($B52="","",SUM($E52:$R52))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OPEN"&amp;IF(sysGrades!$P52&gt;0," (failed retest)",IF(sysSkills!$J52="Yes"," (skills failed out)"," (chain-of-command incident review)")),""))))</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IF($B53="","",IF(OR(sysGrades!$P53&gt;0,sysSkills!$J53="Yes",sysIncidents!$J53&gt;0),1,0))</f>
        <v/>
      </c>
      <c r="S53" s="17">
        <f>IF($B53="","",SUM($E53:$R53))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OPEN"&amp;IF(sysGrades!$P53&gt;0," (failed retest)",IF(sysSkills!$J53="Yes"," (skills failed out)"," (chain-of-command incident review)")),""))))</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IF($B54="","",IF(OR(sysGrades!$P54&gt;0,sysSkills!$J54="Yes",sysIncidents!$J54&gt;0),1,0))</f>
        <v/>
      </c>
      <c r="S54" s="17">
        <f>IF($B54="","",SUM($E54:$R54))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OPEN"&amp;IF(sysGrades!$P54&gt;0," (failed retest)",IF(sysSkills!$J54="Yes"," (skills failed out)"," (chain-of-command incident review)")),""))))</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IF($B55="","",IF(OR(sysGrades!$P55&gt;0,sysSkills!$J55="Yes",sysIncidents!$J55&gt;0),1,0))</f>
        <v/>
      </c>
      <c r="S55" s="17">
        <f>IF($B55="","",SUM($E55:$R55))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OPEN"&amp;IF(sysGrades!$P55&gt;0," (failed retest)",IF(sysSkills!$J55="Yes"," (skills failed out)"," (chain-of-command incident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S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writing current, no open chain-of-command incident review, final PT PASSED (a blank or '(rubric pending)' final PT blocks — it is not a pass), all cert copies on file,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pending)","Pending","Not taken"))))</f>
        <v/>
      </c>
      <c r="M6" s="17">
        <f>IF($B6="","",IF(OR(sysGrades!$P6&gt;0,sysSkills!$J6="Yes",sysIncidents!$J6&gt;0),"Yes","No"))</f>
        <v/>
      </c>
      <c r="N6" s="17">
        <f>IF($B6="","",IF(AND($E6="Yes",$F6="Yes",$G6="Yes",$H6="Yes",$I6="Yes",$J6="Yes",$K6="Yes",$L6="Yes",$Q6="Yes",$R6="Yes",$S6="Yes",$M6="No"),"Yes","No"))</f>
        <v/>
      </c>
      <c r="O6" s="17">
        <f>IF($B6="","",IF($N6="Yes","Eligible",TRIM(IF($E6&lt;&gt;"Yes","Academic; ","")&amp;IF($R6&lt;&gt;"Yes","Exams not all recorded; ","")&amp;IF($F6&lt;&gt;"Yes","Classroom; ","")&amp;IF($G6&lt;&gt;"Yes","PT sessions; ","")&amp;IF($H6&lt;&gt;"Yes","Skills; ","")&amp;IF($S6&lt;&gt;"Yes","Skills not all assessed; ","")&amp;IF($I6&lt;&gt;"Yes","Incidents; ","")&amp;IF($J6&lt;&gt;"Yes","Writing; ","")&amp;IF($K6&lt;&gt;"Yes","Makeup owed; ","")&amp;IF($L6="No","Final PT failed; ",IF($L6="Pending","Final PT rubric not set; ",IF($L6&lt;&gt;"Yes","Final PT not assessed; ","")))&amp;IF($Q6&lt;&gt;"Yes","Certs; ","")&amp;IF($M6="Yes","Dismissal review; ",""))))</f>
        <v/>
      </c>
      <c r="P6" s="17">
        <f>IF($B6="","",IF(PT!$AB6="Yes","Yes",IF(PT!$AB6="No","No",IF(PT!$AB6="(rubric pending)","Pending","Not taken"))))</f>
        <v/>
      </c>
      <c r="Q6" s="17">
        <f>IF($B6="","",IF(Certifications!$T6="Yes","Yes","No"))</f>
        <v/>
      </c>
      <c r="R6" s="17">
        <f>IF($B6="","",IF(AND(N(sysGrades!$E6)&gt;0,N(sysGrades!$F6)&gt;0,N(sysGrades!$G6)&gt;0,N(sysGrades!$H6)&gt;0),"Yes","No"))</f>
        <v/>
      </c>
      <c r="S6" s="17">
        <f>IF($B6="","",IF(N(sysSkills!$F6)&gt;=SUMPRODUCT((rngSM_cat&lt;&gt;"")*1),"Yes","No"))</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pending)","Pending","Not taken"))))</f>
        <v/>
      </c>
      <c r="M7" s="17">
        <f>IF($B7="","",IF(OR(sysGrades!$P7&gt;0,sysSkills!$J7="Yes",sysIncidents!$J7&gt;0),"Yes","No"))</f>
        <v/>
      </c>
      <c r="N7" s="17">
        <f>IF($B7="","",IF(AND($E7="Yes",$F7="Yes",$G7="Yes",$H7="Yes",$I7="Yes",$J7="Yes",$K7="Yes",$L7="Yes",$Q7="Yes",$R7="Yes",$S7="Yes",$M7="No"),"Yes","No"))</f>
        <v/>
      </c>
      <c r="O7" s="17">
        <f>IF($B7="","",IF($N7="Yes","Eligible",TRIM(IF($E7&lt;&gt;"Yes","Academic; ","")&amp;IF($R7&lt;&gt;"Yes","Exams not all recorded; ","")&amp;IF($F7&lt;&gt;"Yes","Classroom; ","")&amp;IF($G7&lt;&gt;"Yes","PT sessions; ","")&amp;IF($H7&lt;&gt;"Yes","Skills; ","")&amp;IF($S7&lt;&gt;"Yes","Skills not all assessed; ","")&amp;IF($I7&lt;&gt;"Yes","Incidents; ","")&amp;IF($J7&lt;&gt;"Yes","Writing; ","")&amp;IF($K7&lt;&gt;"Yes","Makeup owed; ","")&amp;IF($L7="No","Final PT failed; ",IF($L7="Pending","Final PT rubric not set; ",IF($L7&lt;&gt;"Yes","Final PT not assessed; ","")))&amp;IF($Q7&lt;&gt;"Yes","Certs; ","")&amp;IF($M7="Yes","Dismissal review; ",""))))</f>
        <v/>
      </c>
      <c r="P7" s="17">
        <f>IF($B7="","",IF(PT!$AB7="Yes","Yes",IF(PT!$AB7="No","No",IF(PT!$AB7="(rubric pending)","Pending","Not taken"))))</f>
        <v/>
      </c>
      <c r="Q7" s="17">
        <f>IF($B7="","",IF(Certifications!$T7="Yes","Yes","No"))</f>
        <v/>
      </c>
      <c r="R7" s="17">
        <f>IF($B7="","",IF(AND(N(sysGrades!$E7)&gt;0,N(sysGrades!$F7)&gt;0,N(sysGrades!$G7)&gt;0,N(sysGrades!$H7)&gt;0),"Yes","No"))</f>
        <v/>
      </c>
      <c r="S7" s="17">
        <f>IF($B7="","",IF(N(sysSkills!$F7)&gt;=SUMPRODUCT((rngSM_cat&lt;&gt;"")*1),"Yes","No"))</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pending)","Pending","Not taken"))))</f>
        <v/>
      </c>
      <c r="M8" s="17">
        <f>IF($B8="","",IF(OR(sysGrades!$P8&gt;0,sysSkills!$J8="Yes",sysIncidents!$J8&gt;0),"Yes","No"))</f>
        <v/>
      </c>
      <c r="N8" s="17">
        <f>IF($B8="","",IF(AND($E8="Yes",$F8="Yes",$G8="Yes",$H8="Yes",$I8="Yes",$J8="Yes",$K8="Yes",$L8="Yes",$Q8="Yes",$R8="Yes",$S8="Yes",$M8="No"),"Yes","No"))</f>
        <v/>
      </c>
      <c r="O8" s="17">
        <f>IF($B8="","",IF($N8="Yes","Eligible",TRIM(IF($E8&lt;&gt;"Yes","Academic; ","")&amp;IF($R8&lt;&gt;"Yes","Exams not all recorded; ","")&amp;IF($F8&lt;&gt;"Yes","Classroom; ","")&amp;IF($G8&lt;&gt;"Yes","PT sessions; ","")&amp;IF($H8&lt;&gt;"Yes","Skills; ","")&amp;IF($S8&lt;&gt;"Yes","Skills not all assessed; ","")&amp;IF($I8&lt;&gt;"Yes","Incidents; ","")&amp;IF($J8&lt;&gt;"Yes","Writing; ","")&amp;IF($K8&lt;&gt;"Yes","Makeup owed; ","")&amp;IF($L8="No","Final PT failed; ",IF($L8="Pending","Final PT rubric not set; ",IF($L8&lt;&gt;"Yes","Final PT not assessed; ","")))&amp;IF($Q8&lt;&gt;"Yes","Certs; ","")&amp;IF($M8="Yes","Dismissal review; ",""))))</f>
        <v/>
      </c>
      <c r="P8" s="17">
        <f>IF($B8="","",IF(PT!$AB8="Yes","Yes",IF(PT!$AB8="No","No",IF(PT!$AB8="(rubric pending)","Pending","Not taken"))))</f>
        <v/>
      </c>
      <c r="Q8" s="17">
        <f>IF($B8="","",IF(Certifications!$T8="Yes","Yes","No"))</f>
        <v/>
      </c>
      <c r="R8" s="17">
        <f>IF($B8="","",IF(AND(N(sysGrades!$E8)&gt;0,N(sysGrades!$F8)&gt;0,N(sysGrades!$G8)&gt;0,N(sysGrades!$H8)&gt;0),"Yes","No"))</f>
        <v/>
      </c>
      <c r="S8" s="17">
        <f>IF($B8="","",IF(N(sysSkills!$F8)&gt;=SUMPRODUCT((rngSM_cat&lt;&gt;"")*1),"Yes","No"))</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pending)","Pending","Not taken"))))</f>
        <v/>
      </c>
      <c r="M9" s="17">
        <f>IF($B9="","",IF(OR(sysGrades!$P9&gt;0,sysSkills!$J9="Yes",sysIncidents!$J9&gt;0),"Yes","No"))</f>
        <v/>
      </c>
      <c r="N9" s="17">
        <f>IF($B9="","",IF(AND($E9="Yes",$F9="Yes",$G9="Yes",$H9="Yes",$I9="Yes",$J9="Yes",$K9="Yes",$L9="Yes",$Q9="Yes",$R9="Yes",$S9="Yes",$M9="No"),"Yes","No"))</f>
        <v/>
      </c>
      <c r="O9" s="17">
        <f>IF($B9="","",IF($N9="Yes","Eligible",TRIM(IF($E9&lt;&gt;"Yes","Academic; ","")&amp;IF($R9&lt;&gt;"Yes","Exams not all recorded; ","")&amp;IF($F9&lt;&gt;"Yes","Classroom; ","")&amp;IF($G9&lt;&gt;"Yes","PT sessions; ","")&amp;IF($H9&lt;&gt;"Yes","Skills; ","")&amp;IF($S9&lt;&gt;"Yes","Skills not all assessed; ","")&amp;IF($I9&lt;&gt;"Yes","Incidents; ","")&amp;IF($J9&lt;&gt;"Yes","Writing; ","")&amp;IF($K9&lt;&gt;"Yes","Makeup owed; ","")&amp;IF($L9="No","Final PT failed; ",IF($L9="Pending","Final PT rubric not set; ",IF($L9&lt;&gt;"Yes","Final PT not assessed; ","")))&amp;IF($Q9&lt;&gt;"Yes","Certs; ","")&amp;IF($M9="Yes","Dismissal review; ",""))))</f>
        <v/>
      </c>
      <c r="P9" s="17">
        <f>IF($B9="","",IF(PT!$AB9="Yes","Yes",IF(PT!$AB9="No","No",IF(PT!$AB9="(rubric pending)","Pending","Not taken"))))</f>
        <v/>
      </c>
      <c r="Q9" s="17">
        <f>IF($B9="","",IF(Certifications!$T9="Yes","Yes","No"))</f>
        <v/>
      </c>
      <c r="R9" s="17">
        <f>IF($B9="","",IF(AND(N(sysGrades!$E9)&gt;0,N(sysGrades!$F9)&gt;0,N(sysGrades!$G9)&gt;0,N(sysGrades!$H9)&gt;0),"Yes","No"))</f>
        <v/>
      </c>
      <c r="S9" s="17">
        <f>IF($B9="","",IF(N(sysSkills!$F9)&gt;=SUMPRODUCT((rngSM_cat&lt;&gt;"")*1),"Yes","No"))</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pending)","Pending","Not taken"))))</f>
        <v/>
      </c>
      <c r="M10" s="17">
        <f>IF($B10="","",IF(OR(sysGrades!$P10&gt;0,sysSkills!$J10="Yes",sysIncidents!$J10&gt;0),"Yes","No"))</f>
        <v/>
      </c>
      <c r="N10" s="17">
        <f>IF($B10="","",IF(AND($E10="Yes",$F10="Yes",$G10="Yes",$H10="Yes",$I10="Yes",$J10="Yes",$K10="Yes",$L10="Yes",$Q10="Yes",$R10="Yes",$S10="Yes",$M10="No"),"Yes","No"))</f>
        <v/>
      </c>
      <c r="O10" s="17">
        <f>IF($B10="","",IF($N10="Yes","Eligible",TRIM(IF($E10&lt;&gt;"Yes","Academic; ","")&amp;IF($R10&lt;&gt;"Yes","Exams not all recorded; ","")&amp;IF($F10&lt;&gt;"Yes","Classroom; ","")&amp;IF($G10&lt;&gt;"Yes","PT sessions; ","")&amp;IF($H10&lt;&gt;"Yes","Skills; ","")&amp;IF($S10&lt;&gt;"Yes","Skills not all assessed; ","")&amp;IF($I10&lt;&gt;"Yes","Incidents; ","")&amp;IF($J10&lt;&gt;"Yes","Writing; ","")&amp;IF($K10&lt;&gt;"Yes","Makeup owed; ","")&amp;IF($L10="No","Final PT failed; ",IF($L10="Pending","Final PT rubric not set; ",IF($L10&lt;&gt;"Yes","Final PT not assessed; ","")))&amp;IF($Q10&lt;&gt;"Yes","Certs; ","")&amp;IF($M10="Yes","Dismissal review; ",""))))</f>
        <v/>
      </c>
      <c r="P10" s="17">
        <f>IF($B10="","",IF(PT!$AB10="Yes","Yes",IF(PT!$AB10="No","No",IF(PT!$AB10="(rubric pending)","Pending","Not taken"))))</f>
        <v/>
      </c>
      <c r="Q10" s="17">
        <f>IF($B10="","",IF(Certifications!$T10="Yes","Yes","No"))</f>
        <v/>
      </c>
      <c r="R10" s="17">
        <f>IF($B10="","",IF(AND(N(sysGrades!$E10)&gt;0,N(sysGrades!$F10)&gt;0,N(sysGrades!$G10)&gt;0,N(sysGrades!$H10)&gt;0),"Yes","No"))</f>
        <v/>
      </c>
      <c r="S10" s="17">
        <f>IF($B10="","",IF(N(sysSkills!$F10)&gt;=SUMPRODUCT((rngSM_cat&lt;&gt;"")*1),"Yes","No"))</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pending)","Pending","Not taken"))))</f>
        <v/>
      </c>
      <c r="M11" s="17">
        <f>IF($B11="","",IF(OR(sysGrades!$P11&gt;0,sysSkills!$J11="Yes",sysIncidents!$J11&gt;0),"Yes","No"))</f>
        <v/>
      </c>
      <c r="N11" s="17">
        <f>IF($B11="","",IF(AND($E11="Yes",$F11="Yes",$G11="Yes",$H11="Yes",$I11="Yes",$J11="Yes",$K11="Yes",$L11="Yes",$Q11="Yes",$R11="Yes",$S11="Yes",$M11="No"),"Yes","No"))</f>
        <v/>
      </c>
      <c r="O11" s="17">
        <f>IF($B11="","",IF($N11="Yes","Eligible",TRIM(IF($E11&lt;&gt;"Yes","Academic; ","")&amp;IF($R11&lt;&gt;"Yes","Exams not all recorded; ","")&amp;IF($F11&lt;&gt;"Yes","Classroom; ","")&amp;IF($G11&lt;&gt;"Yes","PT sessions; ","")&amp;IF($H11&lt;&gt;"Yes","Skills; ","")&amp;IF($S11&lt;&gt;"Yes","Skills not all assessed; ","")&amp;IF($I11&lt;&gt;"Yes","Incidents; ","")&amp;IF($J11&lt;&gt;"Yes","Writing; ","")&amp;IF($K11&lt;&gt;"Yes","Makeup owed; ","")&amp;IF($L11="No","Final PT failed; ",IF($L11="Pending","Final PT rubric not set; ",IF($L11&lt;&gt;"Yes","Final PT not assessed; ","")))&amp;IF($Q11&lt;&gt;"Yes","Certs; ","")&amp;IF($M11="Yes","Dismissal review; ",""))))</f>
        <v/>
      </c>
      <c r="P11" s="17">
        <f>IF($B11="","",IF(PT!$AB11="Yes","Yes",IF(PT!$AB11="No","No",IF(PT!$AB11="(rubric pending)","Pending","Not taken"))))</f>
        <v/>
      </c>
      <c r="Q11" s="17">
        <f>IF($B11="","",IF(Certifications!$T11="Yes","Yes","No"))</f>
        <v/>
      </c>
      <c r="R11" s="17">
        <f>IF($B11="","",IF(AND(N(sysGrades!$E11)&gt;0,N(sysGrades!$F11)&gt;0,N(sysGrades!$G11)&gt;0,N(sysGrades!$H11)&gt;0),"Yes","No"))</f>
        <v/>
      </c>
      <c r="S11" s="17">
        <f>IF($B11="","",IF(N(sysSkills!$F11)&gt;=SUMPRODUCT((rngSM_cat&lt;&gt;"")*1),"Yes","No"))</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pending)","Pending","Not taken"))))</f>
        <v/>
      </c>
      <c r="M12" s="17">
        <f>IF($B12="","",IF(OR(sysGrades!$P12&gt;0,sysSkills!$J12="Yes",sysIncidents!$J12&gt;0),"Yes","No"))</f>
        <v/>
      </c>
      <c r="N12" s="17">
        <f>IF($B12="","",IF(AND($E12="Yes",$F12="Yes",$G12="Yes",$H12="Yes",$I12="Yes",$J12="Yes",$K12="Yes",$L12="Yes",$Q12="Yes",$R12="Yes",$S12="Yes",$M12="No"),"Yes","No"))</f>
        <v/>
      </c>
      <c r="O12" s="17">
        <f>IF($B12="","",IF($N12="Yes","Eligible",TRIM(IF($E12&lt;&gt;"Yes","Academic; ","")&amp;IF($R12&lt;&gt;"Yes","Exams not all recorded; ","")&amp;IF($F12&lt;&gt;"Yes","Classroom; ","")&amp;IF($G12&lt;&gt;"Yes","PT sessions; ","")&amp;IF($H12&lt;&gt;"Yes","Skills; ","")&amp;IF($S12&lt;&gt;"Yes","Skills not all assessed; ","")&amp;IF($I12&lt;&gt;"Yes","Incidents; ","")&amp;IF($J12&lt;&gt;"Yes","Writing; ","")&amp;IF($K12&lt;&gt;"Yes","Makeup owed; ","")&amp;IF($L12="No","Final PT failed; ",IF($L12="Pending","Final PT rubric not set; ",IF($L12&lt;&gt;"Yes","Final PT not assessed; ","")))&amp;IF($Q12&lt;&gt;"Yes","Certs; ","")&amp;IF($M12="Yes","Dismissal review; ",""))))</f>
        <v/>
      </c>
      <c r="P12" s="17">
        <f>IF($B12="","",IF(PT!$AB12="Yes","Yes",IF(PT!$AB12="No","No",IF(PT!$AB12="(rubric pending)","Pending","Not taken"))))</f>
        <v/>
      </c>
      <c r="Q12" s="17">
        <f>IF($B12="","",IF(Certifications!$T12="Yes","Yes","No"))</f>
        <v/>
      </c>
      <c r="R12" s="17">
        <f>IF($B12="","",IF(AND(N(sysGrades!$E12)&gt;0,N(sysGrades!$F12)&gt;0,N(sysGrades!$G12)&gt;0,N(sysGrades!$H12)&gt;0),"Yes","No"))</f>
        <v/>
      </c>
      <c r="S12" s="17">
        <f>IF($B12="","",IF(N(sysSkills!$F12)&gt;=SUMPRODUCT((rngSM_cat&lt;&gt;"")*1),"Yes","No"))</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pending)","Pending","Not taken"))))</f>
        <v/>
      </c>
      <c r="M13" s="17">
        <f>IF($B13="","",IF(OR(sysGrades!$P13&gt;0,sysSkills!$J13="Yes",sysIncidents!$J13&gt;0),"Yes","No"))</f>
        <v/>
      </c>
      <c r="N13" s="17">
        <f>IF($B13="","",IF(AND($E13="Yes",$F13="Yes",$G13="Yes",$H13="Yes",$I13="Yes",$J13="Yes",$K13="Yes",$L13="Yes",$Q13="Yes",$R13="Yes",$S13="Yes",$M13="No"),"Yes","No"))</f>
        <v/>
      </c>
      <c r="O13" s="17">
        <f>IF($B13="","",IF($N13="Yes","Eligible",TRIM(IF($E13&lt;&gt;"Yes","Academic; ","")&amp;IF($R13&lt;&gt;"Yes","Exams not all recorded; ","")&amp;IF($F13&lt;&gt;"Yes","Classroom; ","")&amp;IF($G13&lt;&gt;"Yes","PT sessions; ","")&amp;IF($H13&lt;&gt;"Yes","Skills; ","")&amp;IF($S13&lt;&gt;"Yes","Skills not all assessed; ","")&amp;IF($I13&lt;&gt;"Yes","Incidents; ","")&amp;IF($J13&lt;&gt;"Yes","Writing; ","")&amp;IF($K13&lt;&gt;"Yes","Makeup owed; ","")&amp;IF($L13="No","Final PT failed; ",IF($L13="Pending","Final PT rubric not set; ",IF($L13&lt;&gt;"Yes","Final PT not assessed; ","")))&amp;IF($Q13&lt;&gt;"Yes","Certs; ","")&amp;IF($M13="Yes","Dismissal review; ",""))))</f>
        <v/>
      </c>
      <c r="P13" s="17">
        <f>IF($B13="","",IF(PT!$AB13="Yes","Yes",IF(PT!$AB13="No","No",IF(PT!$AB13="(rubric pending)","Pending","Not taken"))))</f>
        <v/>
      </c>
      <c r="Q13" s="17">
        <f>IF($B13="","",IF(Certifications!$T13="Yes","Yes","No"))</f>
        <v/>
      </c>
      <c r="R13" s="17">
        <f>IF($B13="","",IF(AND(N(sysGrades!$E13)&gt;0,N(sysGrades!$F13)&gt;0,N(sysGrades!$G13)&gt;0,N(sysGrades!$H13)&gt;0),"Yes","No"))</f>
        <v/>
      </c>
      <c r="S13" s="17">
        <f>IF($B13="","",IF(N(sysSkills!$F13)&gt;=SUMPRODUCT((rngSM_cat&lt;&gt;"")*1),"Yes","No"))</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pending)","Pending","Not taken"))))</f>
        <v/>
      </c>
      <c r="M14" s="17">
        <f>IF($B14="","",IF(OR(sysGrades!$P14&gt;0,sysSkills!$J14="Yes",sysIncidents!$J14&gt;0),"Yes","No"))</f>
        <v/>
      </c>
      <c r="N14" s="17">
        <f>IF($B14="","",IF(AND($E14="Yes",$F14="Yes",$G14="Yes",$H14="Yes",$I14="Yes",$J14="Yes",$K14="Yes",$L14="Yes",$Q14="Yes",$R14="Yes",$S14="Yes",$M14="No"),"Yes","No"))</f>
        <v/>
      </c>
      <c r="O14" s="17">
        <f>IF($B14="","",IF($N14="Yes","Eligible",TRIM(IF($E14&lt;&gt;"Yes","Academic; ","")&amp;IF($R14&lt;&gt;"Yes","Exams not all recorded; ","")&amp;IF($F14&lt;&gt;"Yes","Classroom; ","")&amp;IF($G14&lt;&gt;"Yes","PT sessions; ","")&amp;IF($H14&lt;&gt;"Yes","Skills; ","")&amp;IF($S14&lt;&gt;"Yes","Skills not all assessed; ","")&amp;IF($I14&lt;&gt;"Yes","Incidents; ","")&amp;IF($J14&lt;&gt;"Yes","Writing; ","")&amp;IF($K14&lt;&gt;"Yes","Makeup owed; ","")&amp;IF($L14="No","Final PT failed; ",IF($L14="Pending","Final PT rubric not set; ",IF($L14&lt;&gt;"Yes","Final PT not assessed; ","")))&amp;IF($Q14&lt;&gt;"Yes","Certs; ","")&amp;IF($M14="Yes","Dismissal review; ",""))))</f>
        <v/>
      </c>
      <c r="P14" s="17">
        <f>IF($B14="","",IF(PT!$AB14="Yes","Yes",IF(PT!$AB14="No","No",IF(PT!$AB14="(rubric pending)","Pending","Not taken"))))</f>
        <v/>
      </c>
      <c r="Q14" s="17">
        <f>IF($B14="","",IF(Certifications!$T14="Yes","Yes","No"))</f>
        <v/>
      </c>
      <c r="R14" s="17">
        <f>IF($B14="","",IF(AND(N(sysGrades!$E14)&gt;0,N(sysGrades!$F14)&gt;0,N(sysGrades!$G14)&gt;0,N(sysGrades!$H14)&gt;0),"Yes","No"))</f>
        <v/>
      </c>
      <c r="S14" s="17">
        <f>IF($B14="","",IF(N(sysSkills!$F14)&gt;=SUMPRODUCT((rngSM_cat&lt;&gt;"")*1),"Yes","No"))</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pending)","Pending","Not taken"))))</f>
        <v/>
      </c>
      <c r="M15" s="17">
        <f>IF($B15="","",IF(OR(sysGrades!$P15&gt;0,sysSkills!$J15="Yes",sysIncidents!$J15&gt;0),"Yes","No"))</f>
        <v/>
      </c>
      <c r="N15" s="17">
        <f>IF($B15="","",IF(AND($E15="Yes",$F15="Yes",$G15="Yes",$H15="Yes",$I15="Yes",$J15="Yes",$K15="Yes",$L15="Yes",$Q15="Yes",$R15="Yes",$S15="Yes",$M15="No"),"Yes","No"))</f>
        <v/>
      </c>
      <c r="O15" s="17">
        <f>IF($B15="","",IF($N15="Yes","Eligible",TRIM(IF($E15&lt;&gt;"Yes","Academic; ","")&amp;IF($R15&lt;&gt;"Yes","Exams not all recorded; ","")&amp;IF($F15&lt;&gt;"Yes","Classroom; ","")&amp;IF($G15&lt;&gt;"Yes","PT sessions; ","")&amp;IF($H15&lt;&gt;"Yes","Skills; ","")&amp;IF($S15&lt;&gt;"Yes","Skills not all assessed; ","")&amp;IF($I15&lt;&gt;"Yes","Incidents; ","")&amp;IF($J15&lt;&gt;"Yes","Writing; ","")&amp;IF($K15&lt;&gt;"Yes","Makeup owed; ","")&amp;IF($L15="No","Final PT failed; ",IF($L15="Pending","Final PT rubric not set; ",IF($L15&lt;&gt;"Yes","Final PT not assessed; ","")))&amp;IF($Q15&lt;&gt;"Yes","Certs; ","")&amp;IF($M15="Yes","Dismissal review; ",""))))</f>
        <v/>
      </c>
      <c r="P15" s="17">
        <f>IF($B15="","",IF(PT!$AB15="Yes","Yes",IF(PT!$AB15="No","No",IF(PT!$AB15="(rubric pending)","Pending","Not taken"))))</f>
        <v/>
      </c>
      <c r="Q15" s="17">
        <f>IF($B15="","",IF(Certifications!$T15="Yes","Yes","No"))</f>
        <v/>
      </c>
      <c r="R15" s="17">
        <f>IF($B15="","",IF(AND(N(sysGrades!$E15)&gt;0,N(sysGrades!$F15)&gt;0,N(sysGrades!$G15)&gt;0,N(sysGrades!$H15)&gt;0),"Yes","No"))</f>
        <v/>
      </c>
      <c r="S15" s="17">
        <f>IF($B15="","",IF(N(sysSkills!$F15)&gt;=SUMPRODUCT((rngSM_cat&lt;&gt;"")*1),"Yes","No"))</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pending)","Pending","Not taken"))))</f>
        <v/>
      </c>
      <c r="M16" s="17">
        <f>IF($B16="","",IF(OR(sysGrades!$P16&gt;0,sysSkills!$J16="Yes",sysIncidents!$J16&gt;0),"Yes","No"))</f>
        <v/>
      </c>
      <c r="N16" s="17">
        <f>IF($B16="","",IF(AND($E16="Yes",$F16="Yes",$G16="Yes",$H16="Yes",$I16="Yes",$J16="Yes",$K16="Yes",$L16="Yes",$Q16="Yes",$R16="Yes",$S16="Yes",$M16="No"),"Yes","No"))</f>
        <v/>
      </c>
      <c r="O16" s="17">
        <f>IF($B16="","",IF($N16="Yes","Eligible",TRIM(IF($E16&lt;&gt;"Yes","Academic; ","")&amp;IF($R16&lt;&gt;"Yes","Exams not all recorded; ","")&amp;IF($F16&lt;&gt;"Yes","Classroom; ","")&amp;IF($G16&lt;&gt;"Yes","PT sessions; ","")&amp;IF($H16&lt;&gt;"Yes","Skills; ","")&amp;IF($S16&lt;&gt;"Yes","Skills not all assessed; ","")&amp;IF($I16&lt;&gt;"Yes","Incidents; ","")&amp;IF($J16&lt;&gt;"Yes","Writing; ","")&amp;IF($K16&lt;&gt;"Yes","Makeup owed; ","")&amp;IF($L16="No","Final PT failed; ",IF($L16="Pending","Final PT rubric not set; ",IF($L16&lt;&gt;"Yes","Final PT not assessed; ","")))&amp;IF($Q16&lt;&gt;"Yes","Certs; ","")&amp;IF($M16="Yes","Dismissal review; ",""))))</f>
        <v/>
      </c>
      <c r="P16" s="17">
        <f>IF($B16="","",IF(PT!$AB16="Yes","Yes",IF(PT!$AB16="No","No",IF(PT!$AB16="(rubric pending)","Pending","Not taken"))))</f>
        <v/>
      </c>
      <c r="Q16" s="17">
        <f>IF($B16="","",IF(Certifications!$T16="Yes","Yes","No"))</f>
        <v/>
      </c>
      <c r="R16" s="17">
        <f>IF($B16="","",IF(AND(N(sysGrades!$E16)&gt;0,N(sysGrades!$F16)&gt;0,N(sysGrades!$G16)&gt;0,N(sysGrades!$H16)&gt;0),"Yes","No"))</f>
        <v/>
      </c>
      <c r="S16" s="17">
        <f>IF($B16="","",IF(N(sysSkills!$F16)&gt;=SUMPRODUCT((rngSM_cat&lt;&gt;"")*1),"Yes","No"))</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pending)","Pending","Not taken"))))</f>
        <v/>
      </c>
      <c r="M17" s="17">
        <f>IF($B17="","",IF(OR(sysGrades!$P17&gt;0,sysSkills!$J17="Yes",sysIncidents!$J17&gt;0),"Yes","No"))</f>
        <v/>
      </c>
      <c r="N17" s="17">
        <f>IF($B17="","",IF(AND($E17="Yes",$F17="Yes",$G17="Yes",$H17="Yes",$I17="Yes",$J17="Yes",$K17="Yes",$L17="Yes",$Q17="Yes",$R17="Yes",$S17="Yes",$M17="No"),"Yes","No"))</f>
        <v/>
      </c>
      <c r="O17" s="17">
        <f>IF($B17="","",IF($N17="Yes","Eligible",TRIM(IF($E17&lt;&gt;"Yes","Academic; ","")&amp;IF($R17&lt;&gt;"Yes","Exams not all recorded; ","")&amp;IF($F17&lt;&gt;"Yes","Classroom; ","")&amp;IF($G17&lt;&gt;"Yes","PT sessions; ","")&amp;IF($H17&lt;&gt;"Yes","Skills; ","")&amp;IF($S17&lt;&gt;"Yes","Skills not all assessed; ","")&amp;IF($I17&lt;&gt;"Yes","Incidents; ","")&amp;IF($J17&lt;&gt;"Yes","Writing; ","")&amp;IF($K17&lt;&gt;"Yes","Makeup owed; ","")&amp;IF($L17="No","Final PT failed; ",IF($L17="Pending","Final PT rubric not set; ",IF($L17&lt;&gt;"Yes","Final PT not assessed; ","")))&amp;IF($Q17&lt;&gt;"Yes","Certs; ","")&amp;IF($M17="Yes","Dismissal review; ",""))))</f>
        <v/>
      </c>
      <c r="P17" s="17">
        <f>IF($B17="","",IF(PT!$AB17="Yes","Yes",IF(PT!$AB17="No","No",IF(PT!$AB17="(rubric pending)","Pending","Not taken"))))</f>
        <v/>
      </c>
      <c r="Q17" s="17">
        <f>IF($B17="","",IF(Certifications!$T17="Yes","Yes","No"))</f>
        <v/>
      </c>
      <c r="R17" s="17">
        <f>IF($B17="","",IF(AND(N(sysGrades!$E17)&gt;0,N(sysGrades!$F17)&gt;0,N(sysGrades!$G17)&gt;0,N(sysGrades!$H17)&gt;0),"Yes","No"))</f>
        <v/>
      </c>
      <c r="S17" s="17">
        <f>IF($B17="","",IF(N(sysSkills!$F17)&gt;=SUMPRODUCT((rngSM_cat&lt;&gt;"")*1),"Yes","No"))</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pending)","Pending","Not taken"))))</f>
        <v/>
      </c>
      <c r="M18" s="17">
        <f>IF($B18="","",IF(OR(sysGrades!$P18&gt;0,sysSkills!$J18="Yes",sysIncidents!$J18&gt;0),"Yes","No"))</f>
        <v/>
      </c>
      <c r="N18" s="17">
        <f>IF($B18="","",IF(AND($E18="Yes",$F18="Yes",$G18="Yes",$H18="Yes",$I18="Yes",$J18="Yes",$K18="Yes",$L18="Yes",$Q18="Yes",$R18="Yes",$S18="Yes",$M18="No"),"Yes","No"))</f>
        <v/>
      </c>
      <c r="O18" s="17">
        <f>IF($B18="","",IF($N18="Yes","Eligible",TRIM(IF($E18&lt;&gt;"Yes","Academic; ","")&amp;IF($R18&lt;&gt;"Yes","Exams not all recorded; ","")&amp;IF($F18&lt;&gt;"Yes","Classroom; ","")&amp;IF($G18&lt;&gt;"Yes","PT sessions; ","")&amp;IF($H18&lt;&gt;"Yes","Skills; ","")&amp;IF($S18&lt;&gt;"Yes","Skills not all assessed; ","")&amp;IF($I18&lt;&gt;"Yes","Incidents; ","")&amp;IF($J18&lt;&gt;"Yes","Writing; ","")&amp;IF($K18&lt;&gt;"Yes","Makeup owed; ","")&amp;IF($L18="No","Final PT failed; ",IF($L18="Pending","Final PT rubric not set; ",IF($L18&lt;&gt;"Yes","Final PT not assessed; ","")))&amp;IF($Q18&lt;&gt;"Yes","Certs; ","")&amp;IF($M18="Yes","Dismissal review; ",""))))</f>
        <v/>
      </c>
      <c r="P18" s="17">
        <f>IF($B18="","",IF(PT!$AB18="Yes","Yes",IF(PT!$AB18="No","No",IF(PT!$AB18="(rubric pending)","Pending","Not taken"))))</f>
        <v/>
      </c>
      <c r="Q18" s="17">
        <f>IF($B18="","",IF(Certifications!$T18="Yes","Yes","No"))</f>
        <v/>
      </c>
      <c r="R18" s="17">
        <f>IF($B18="","",IF(AND(N(sysGrades!$E18)&gt;0,N(sysGrades!$F18)&gt;0,N(sysGrades!$G18)&gt;0,N(sysGrades!$H18)&gt;0),"Yes","No"))</f>
        <v/>
      </c>
      <c r="S18" s="17">
        <f>IF($B18="","",IF(N(sysSkills!$F18)&gt;=SUMPRODUCT((rngSM_cat&lt;&gt;"")*1),"Yes","No"))</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pending)","Pending","Not taken"))))</f>
        <v/>
      </c>
      <c r="M19" s="17">
        <f>IF($B19="","",IF(OR(sysGrades!$P19&gt;0,sysSkills!$J19="Yes",sysIncidents!$J19&gt;0),"Yes","No"))</f>
        <v/>
      </c>
      <c r="N19" s="17">
        <f>IF($B19="","",IF(AND($E19="Yes",$F19="Yes",$G19="Yes",$H19="Yes",$I19="Yes",$J19="Yes",$K19="Yes",$L19="Yes",$Q19="Yes",$R19="Yes",$S19="Yes",$M19="No"),"Yes","No"))</f>
        <v/>
      </c>
      <c r="O19" s="17">
        <f>IF($B19="","",IF($N19="Yes","Eligible",TRIM(IF($E19&lt;&gt;"Yes","Academic; ","")&amp;IF($R19&lt;&gt;"Yes","Exams not all recorded; ","")&amp;IF($F19&lt;&gt;"Yes","Classroom; ","")&amp;IF($G19&lt;&gt;"Yes","PT sessions; ","")&amp;IF($H19&lt;&gt;"Yes","Skills; ","")&amp;IF($S19&lt;&gt;"Yes","Skills not all assessed; ","")&amp;IF($I19&lt;&gt;"Yes","Incidents; ","")&amp;IF($J19&lt;&gt;"Yes","Writing; ","")&amp;IF($K19&lt;&gt;"Yes","Makeup owed; ","")&amp;IF($L19="No","Final PT failed; ",IF($L19="Pending","Final PT rubric not set; ",IF($L19&lt;&gt;"Yes","Final PT not assessed; ","")))&amp;IF($Q19&lt;&gt;"Yes","Certs; ","")&amp;IF($M19="Yes","Dismissal review; ",""))))</f>
        <v/>
      </c>
      <c r="P19" s="17">
        <f>IF($B19="","",IF(PT!$AB19="Yes","Yes",IF(PT!$AB19="No","No",IF(PT!$AB19="(rubric pending)","Pending","Not taken"))))</f>
        <v/>
      </c>
      <c r="Q19" s="17">
        <f>IF($B19="","",IF(Certifications!$T19="Yes","Yes","No"))</f>
        <v/>
      </c>
      <c r="R19" s="17">
        <f>IF($B19="","",IF(AND(N(sysGrades!$E19)&gt;0,N(sysGrades!$F19)&gt;0,N(sysGrades!$G19)&gt;0,N(sysGrades!$H19)&gt;0),"Yes","No"))</f>
        <v/>
      </c>
      <c r="S19" s="17">
        <f>IF($B19="","",IF(N(sysSkills!$F19)&gt;=SUMPRODUCT((rngSM_cat&lt;&gt;"")*1),"Yes","No"))</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pending)","Pending","Not taken"))))</f>
        <v/>
      </c>
      <c r="M20" s="17">
        <f>IF($B20="","",IF(OR(sysGrades!$P20&gt;0,sysSkills!$J20="Yes",sysIncidents!$J20&gt;0),"Yes","No"))</f>
        <v/>
      </c>
      <c r="N20" s="17">
        <f>IF($B20="","",IF(AND($E20="Yes",$F20="Yes",$G20="Yes",$H20="Yes",$I20="Yes",$J20="Yes",$K20="Yes",$L20="Yes",$Q20="Yes",$R20="Yes",$S20="Yes",$M20="No"),"Yes","No"))</f>
        <v/>
      </c>
      <c r="O20" s="17">
        <f>IF($B20="","",IF($N20="Yes","Eligible",TRIM(IF($E20&lt;&gt;"Yes","Academic; ","")&amp;IF($R20&lt;&gt;"Yes","Exams not all recorded; ","")&amp;IF($F20&lt;&gt;"Yes","Classroom; ","")&amp;IF($G20&lt;&gt;"Yes","PT sessions; ","")&amp;IF($H20&lt;&gt;"Yes","Skills; ","")&amp;IF($S20&lt;&gt;"Yes","Skills not all assessed; ","")&amp;IF($I20&lt;&gt;"Yes","Incidents; ","")&amp;IF($J20&lt;&gt;"Yes","Writing; ","")&amp;IF($K20&lt;&gt;"Yes","Makeup owed; ","")&amp;IF($L20="No","Final PT failed; ",IF($L20="Pending","Final PT rubric not set; ",IF($L20&lt;&gt;"Yes","Final PT not assessed; ","")))&amp;IF($Q20&lt;&gt;"Yes","Certs; ","")&amp;IF($M20="Yes","Dismissal review; ",""))))</f>
        <v/>
      </c>
      <c r="P20" s="17">
        <f>IF($B20="","",IF(PT!$AB20="Yes","Yes",IF(PT!$AB20="No","No",IF(PT!$AB20="(rubric pending)","Pending","Not taken"))))</f>
        <v/>
      </c>
      <c r="Q20" s="17">
        <f>IF($B20="","",IF(Certifications!$T20="Yes","Yes","No"))</f>
        <v/>
      </c>
      <c r="R20" s="17">
        <f>IF($B20="","",IF(AND(N(sysGrades!$E20)&gt;0,N(sysGrades!$F20)&gt;0,N(sysGrades!$G20)&gt;0,N(sysGrades!$H20)&gt;0),"Yes","No"))</f>
        <v/>
      </c>
      <c r="S20" s="17">
        <f>IF($B20="","",IF(N(sysSkills!$F20)&gt;=SUMPRODUCT((rngSM_cat&lt;&gt;"")*1),"Yes","No"))</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pending)","Pending","Not taken"))))</f>
        <v/>
      </c>
      <c r="M21" s="17">
        <f>IF($B21="","",IF(OR(sysGrades!$P21&gt;0,sysSkills!$J21="Yes",sysIncidents!$J21&gt;0),"Yes","No"))</f>
        <v/>
      </c>
      <c r="N21" s="17">
        <f>IF($B21="","",IF(AND($E21="Yes",$F21="Yes",$G21="Yes",$H21="Yes",$I21="Yes",$J21="Yes",$K21="Yes",$L21="Yes",$Q21="Yes",$R21="Yes",$S21="Yes",$M21="No"),"Yes","No"))</f>
        <v/>
      </c>
      <c r="O21" s="17">
        <f>IF($B21="","",IF($N21="Yes","Eligible",TRIM(IF($E21&lt;&gt;"Yes","Academic; ","")&amp;IF($R21&lt;&gt;"Yes","Exams not all recorded; ","")&amp;IF($F21&lt;&gt;"Yes","Classroom; ","")&amp;IF($G21&lt;&gt;"Yes","PT sessions; ","")&amp;IF($H21&lt;&gt;"Yes","Skills; ","")&amp;IF($S21&lt;&gt;"Yes","Skills not all assessed; ","")&amp;IF($I21&lt;&gt;"Yes","Incidents; ","")&amp;IF($J21&lt;&gt;"Yes","Writing; ","")&amp;IF($K21&lt;&gt;"Yes","Makeup owed; ","")&amp;IF($L21="No","Final PT failed; ",IF($L21="Pending","Final PT rubric not set; ",IF($L21&lt;&gt;"Yes","Final PT not assessed; ","")))&amp;IF($Q21&lt;&gt;"Yes","Certs; ","")&amp;IF($M21="Yes","Dismissal review; ",""))))</f>
        <v/>
      </c>
      <c r="P21" s="17">
        <f>IF($B21="","",IF(PT!$AB21="Yes","Yes",IF(PT!$AB21="No","No",IF(PT!$AB21="(rubric pending)","Pending","Not taken"))))</f>
        <v/>
      </c>
      <c r="Q21" s="17">
        <f>IF($B21="","",IF(Certifications!$T21="Yes","Yes","No"))</f>
        <v/>
      </c>
      <c r="R21" s="17">
        <f>IF($B21="","",IF(AND(N(sysGrades!$E21)&gt;0,N(sysGrades!$F21)&gt;0,N(sysGrades!$G21)&gt;0,N(sysGrades!$H21)&gt;0),"Yes","No"))</f>
        <v/>
      </c>
      <c r="S21" s="17">
        <f>IF($B21="","",IF(N(sysSkills!$F21)&gt;=SUMPRODUCT((rngSM_cat&lt;&gt;"")*1),"Yes","No"))</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pending)","Pending","Not taken"))))</f>
        <v/>
      </c>
      <c r="M22" s="17">
        <f>IF($B22="","",IF(OR(sysGrades!$P22&gt;0,sysSkills!$J22="Yes",sysIncidents!$J22&gt;0),"Yes","No"))</f>
        <v/>
      </c>
      <c r="N22" s="17">
        <f>IF($B22="","",IF(AND($E22="Yes",$F22="Yes",$G22="Yes",$H22="Yes",$I22="Yes",$J22="Yes",$K22="Yes",$L22="Yes",$Q22="Yes",$R22="Yes",$S22="Yes",$M22="No"),"Yes","No"))</f>
        <v/>
      </c>
      <c r="O22" s="17">
        <f>IF($B22="","",IF($N22="Yes","Eligible",TRIM(IF($E22&lt;&gt;"Yes","Academic; ","")&amp;IF($R22&lt;&gt;"Yes","Exams not all recorded; ","")&amp;IF($F22&lt;&gt;"Yes","Classroom; ","")&amp;IF($G22&lt;&gt;"Yes","PT sessions; ","")&amp;IF($H22&lt;&gt;"Yes","Skills; ","")&amp;IF($S22&lt;&gt;"Yes","Skills not all assessed; ","")&amp;IF($I22&lt;&gt;"Yes","Incidents; ","")&amp;IF($J22&lt;&gt;"Yes","Writing; ","")&amp;IF($K22&lt;&gt;"Yes","Makeup owed; ","")&amp;IF($L22="No","Final PT failed; ",IF($L22="Pending","Final PT rubric not set; ",IF($L22&lt;&gt;"Yes","Final PT not assessed; ","")))&amp;IF($Q22&lt;&gt;"Yes","Certs; ","")&amp;IF($M22="Yes","Dismissal review; ",""))))</f>
        <v/>
      </c>
      <c r="P22" s="17">
        <f>IF($B22="","",IF(PT!$AB22="Yes","Yes",IF(PT!$AB22="No","No",IF(PT!$AB22="(rubric pending)","Pending","Not taken"))))</f>
        <v/>
      </c>
      <c r="Q22" s="17">
        <f>IF($B22="","",IF(Certifications!$T22="Yes","Yes","No"))</f>
        <v/>
      </c>
      <c r="R22" s="17">
        <f>IF($B22="","",IF(AND(N(sysGrades!$E22)&gt;0,N(sysGrades!$F22)&gt;0,N(sysGrades!$G22)&gt;0,N(sysGrades!$H22)&gt;0),"Yes","No"))</f>
        <v/>
      </c>
      <c r="S22" s="17">
        <f>IF($B22="","",IF(N(sysSkills!$F22)&gt;=SUMPRODUCT((rngSM_cat&lt;&gt;"")*1),"Yes","No"))</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pending)","Pending","Not taken"))))</f>
        <v/>
      </c>
      <c r="M23" s="17">
        <f>IF($B23="","",IF(OR(sysGrades!$P23&gt;0,sysSkills!$J23="Yes",sysIncidents!$J23&gt;0),"Yes","No"))</f>
        <v/>
      </c>
      <c r="N23" s="17">
        <f>IF($B23="","",IF(AND($E23="Yes",$F23="Yes",$G23="Yes",$H23="Yes",$I23="Yes",$J23="Yes",$K23="Yes",$L23="Yes",$Q23="Yes",$R23="Yes",$S23="Yes",$M23="No"),"Yes","No"))</f>
        <v/>
      </c>
      <c r="O23" s="17">
        <f>IF($B23="","",IF($N23="Yes","Eligible",TRIM(IF($E23&lt;&gt;"Yes","Academic; ","")&amp;IF($R23&lt;&gt;"Yes","Exams not all recorded; ","")&amp;IF($F23&lt;&gt;"Yes","Classroom; ","")&amp;IF($G23&lt;&gt;"Yes","PT sessions; ","")&amp;IF($H23&lt;&gt;"Yes","Skills; ","")&amp;IF($S23&lt;&gt;"Yes","Skills not all assessed; ","")&amp;IF($I23&lt;&gt;"Yes","Incidents; ","")&amp;IF($J23&lt;&gt;"Yes","Writing; ","")&amp;IF($K23&lt;&gt;"Yes","Makeup owed; ","")&amp;IF($L23="No","Final PT failed; ",IF($L23="Pending","Final PT rubric not set; ",IF($L23&lt;&gt;"Yes","Final PT not assessed; ","")))&amp;IF($Q23&lt;&gt;"Yes","Certs; ","")&amp;IF($M23="Yes","Dismissal review; ",""))))</f>
        <v/>
      </c>
      <c r="P23" s="17">
        <f>IF($B23="","",IF(PT!$AB23="Yes","Yes",IF(PT!$AB23="No","No",IF(PT!$AB23="(rubric pending)","Pending","Not taken"))))</f>
        <v/>
      </c>
      <c r="Q23" s="17">
        <f>IF($B23="","",IF(Certifications!$T23="Yes","Yes","No"))</f>
        <v/>
      </c>
      <c r="R23" s="17">
        <f>IF($B23="","",IF(AND(N(sysGrades!$E23)&gt;0,N(sysGrades!$F23)&gt;0,N(sysGrades!$G23)&gt;0,N(sysGrades!$H23)&gt;0),"Yes","No"))</f>
        <v/>
      </c>
      <c r="S23" s="17">
        <f>IF($B23="","",IF(N(sysSkills!$F23)&gt;=SUMPRODUCT((rngSM_cat&lt;&gt;"")*1),"Yes","No"))</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pending)","Pending","Not taken"))))</f>
        <v/>
      </c>
      <c r="M24" s="17">
        <f>IF($B24="","",IF(OR(sysGrades!$P24&gt;0,sysSkills!$J24="Yes",sysIncidents!$J24&gt;0),"Yes","No"))</f>
        <v/>
      </c>
      <c r="N24" s="17">
        <f>IF($B24="","",IF(AND($E24="Yes",$F24="Yes",$G24="Yes",$H24="Yes",$I24="Yes",$J24="Yes",$K24="Yes",$L24="Yes",$Q24="Yes",$R24="Yes",$S24="Yes",$M24="No"),"Yes","No"))</f>
        <v/>
      </c>
      <c r="O24" s="17">
        <f>IF($B24="","",IF($N24="Yes","Eligible",TRIM(IF($E24&lt;&gt;"Yes","Academic; ","")&amp;IF($R24&lt;&gt;"Yes","Exams not all recorded; ","")&amp;IF($F24&lt;&gt;"Yes","Classroom; ","")&amp;IF($G24&lt;&gt;"Yes","PT sessions; ","")&amp;IF($H24&lt;&gt;"Yes","Skills; ","")&amp;IF($S24&lt;&gt;"Yes","Skills not all assessed; ","")&amp;IF($I24&lt;&gt;"Yes","Incidents; ","")&amp;IF($J24&lt;&gt;"Yes","Writing; ","")&amp;IF($K24&lt;&gt;"Yes","Makeup owed; ","")&amp;IF($L24="No","Final PT failed; ",IF($L24="Pending","Final PT rubric not set; ",IF($L24&lt;&gt;"Yes","Final PT not assessed; ","")))&amp;IF($Q24&lt;&gt;"Yes","Certs; ","")&amp;IF($M24="Yes","Dismissal review; ",""))))</f>
        <v/>
      </c>
      <c r="P24" s="17">
        <f>IF($B24="","",IF(PT!$AB24="Yes","Yes",IF(PT!$AB24="No","No",IF(PT!$AB24="(rubric pending)","Pending","Not taken"))))</f>
        <v/>
      </c>
      <c r="Q24" s="17">
        <f>IF($B24="","",IF(Certifications!$T24="Yes","Yes","No"))</f>
        <v/>
      </c>
      <c r="R24" s="17">
        <f>IF($B24="","",IF(AND(N(sysGrades!$E24)&gt;0,N(sysGrades!$F24)&gt;0,N(sysGrades!$G24)&gt;0,N(sysGrades!$H24)&gt;0),"Yes","No"))</f>
        <v/>
      </c>
      <c r="S24" s="17">
        <f>IF($B24="","",IF(N(sysSkills!$F24)&gt;=SUMPRODUCT((rngSM_cat&lt;&gt;"")*1),"Yes","No"))</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pending)","Pending","Not taken"))))</f>
        <v/>
      </c>
      <c r="M25" s="17">
        <f>IF($B25="","",IF(OR(sysGrades!$P25&gt;0,sysSkills!$J25="Yes",sysIncidents!$J25&gt;0),"Yes","No"))</f>
        <v/>
      </c>
      <c r="N25" s="17">
        <f>IF($B25="","",IF(AND($E25="Yes",$F25="Yes",$G25="Yes",$H25="Yes",$I25="Yes",$J25="Yes",$K25="Yes",$L25="Yes",$Q25="Yes",$R25="Yes",$S25="Yes",$M25="No"),"Yes","No"))</f>
        <v/>
      </c>
      <c r="O25" s="17">
        <f>IF($B25="","",IF($N25="Yes","Eligible",TRIM(IF($E25&lt;&gt;"Yes","Academic; ","")&amp;IF($R25&lt;&gt;"Yes","Exams not all recorded; ","")&amp;IF($F25&lt;&gt;"Yes","Classroom; ","")&amp;IF($G25&lt;&gt;"Yes","PT sessions; ","")&amp;IF($H25&lt;&gt;"Yes","Skills; ","")&amp;IF($S25&lt;&gt;"Yes","Skills not all assessed; ","")&amp;IF($I25&lt;&gt;"Yes","Incidents; ","")&amp;IF($J25&lt;&gt;"Yes","Writing; ","")&amp;IF($K25&lt;&gt;"Yes","Makeup owed; ","")&amp;IF($L25="No","Final PT failed; ",IF($L25="Pending","Final PT rubric not set; ",IF($L25&lt;&gt;"Yes","Final PT not assessed; ","")))&amp;IF($Q25&lt;&gt;"Yes","Certs; ","")&amp;IF($M25="Yes","Dismissal review; ",""))))</f>
        <v/>
      </c>
      <c r="P25" s="17">
        <f>IF($B25="","",IF(PT!$AB25="Yes","Yes",IF(PT!$AB25="No","No",IF(PT!$AB25="(rubric pending)","Pending","Not taken"))))</f>
        <v/>
      </c>
      <c r="Q25" s="17">
        <f>IF($B25="","",IF(Certifications!$T25="Yes","Yes","No"))</f>
        <v/>
      </c>
      <c r="R25" s="17">
        <f>IF($B25="","",IF(AND(N(sysGrades!$E25)&gt;0,N(sysGrades!$F25)&gt;0,N(sysGrades!$G25)&gt;0,N(sysGrades!$H25)&gt;0),"Yes","No"))</f>
        <v/>
      </c>
      <c r="S25" s="17">
        <f>IF($B25="","",IF(N(sysSkills!$F25)&gt;=SUMPRODUCT((rngSM_cat&lt;&gt;"")*1),"Yes","No"))</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pending)","Pending","Not taken"))))</f>
        <v/>
      </c>
      <c r="M26" s="17">
        <f>IF($B26="","",IF(OR(sysGrades!$P26&gt;0,sysSkills!$J26="Yes",sysIncidents!$J26&gt;0),"Yes","No"))</f>
        <v/>
      </c>
      <c r="N26" s="17">
        <f>IF($B26="","",IF(AND($E26="Yes",$F26="Yes",$G26="Yes",$H26="Yes",$I26="Yes",$J26="Yes",$K26="Yes",$L26="Yes",$Q26="Yes",$R26="Yes",$S26="Yes",$M26="No"),"Yes","No"))</f>
        <v/>
      </c>
      <c r="O26" s="17">
        <f>IF($B26="","",IF($N26="Yes","Eligible",TRIM(IF($E26&lt;&gt;"Yes","Academic; ","")&amp;IF($R26&lt;&gt;"Yes","Exams not all recorded; ","")&amp;IF($F26&lt;&gt;"Yes","Classroom; ","")&amp;IF($G26&lt;&gt;"Yes","PT sessions; ","")&amp;IF($H26&lt;&gt;"Yes","Skills; ","")&amp;IF($S26&lt;&gt;"Yes","Skills not all assessed; ","")&amp;IF($I26&lt;&gt;"Yes","Incidents; ","")&amp;IF($J26&lt;&gt;"Yes","Writing; ","")&amp;IF($K26&lt;&gt;"Yes","Makeup owed; ","")&amp;IF($L26="No","Final PT failed; ",IF($L26="Pending","Final PT rubric not set; ",IF($L26&lt;&gt;"Yes","Final PT not assessed; ","")))&amp;IF($Q26&lt;&gt;"Yes","Certs; ","")&amp;IF($M26="Yes","Dismissal review; ",""))))</f>
        <v/>
      </c>
      <c r="P26" s="17">
        <f>IF($B26="","",IF(PT!$AB26="Yes","Yes",IF(PT!$AB26="No","No",IF(PT!$AB26="(rubric pending)","Pending","Not taken"))))</f>
        <v/>
      </c>
      <c r="Q26" s="17">
        <f>IF($B26="","",IF(Certifications!$T26="Yes","Yes","No"))</f>
        <v/>
      </c>
      <c r="R26" s="17">
        <f>IF($B26="","",IF(AND(N(sysGrades!$E26)&gt;0,N(sysGrades!$F26)&gt;0,N(sysGrades!$G26)&gt;0,N(sysGrades!$H26)&gt;0),"Yes","No"))</f>
        <v/>
      </c>
      <c r="S26" s="17">
        <f>IF($B26="","",IF(N(sysSkills!$F26)&gt;=SUMPRODUCT((rngSM_cat&lt;&gt;"")*1),"Yes","No"))</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pending)","Pending","Not taken"))))</f>
        <v/>
      </c>
      <c r="M27" s="17">
        <f>IF($B27="","",IF(OR(sysGrades!$P27&gt;0,sysSkills!$J27="Yes",sysIncidents!$J27&gt;0),"Yes","No"))</f>
        <v/>
      </c>
      <c r="N27" s="17">
        <f>IF($B27="","",IF(AND($E27="Yes",$F27="Yes",$G27="Yes",$H27="Yes",$I27="Yes",$J27="Yes",$K27="Yes",$L27="Yes",$Q27="Yes",$R27="Yes",$S27="Yes",$M27="No"),"Yes","No"))</f>
        <v/>
      </c>
      <c r="O27" s="17">
        <f>IF($B27="","",IF($N27="Yes","Eligible",TRIM(IF($E27&lt;&gt;"Yes","Academic; ","")&amp;IF($R27&lt;&gt;"Yes","Exams not all recorded; ","")&amp;IF($F27&lt;&gt;"Yes","Classroom; ","")&amp;IF($G27&lt;&gt;"Yes","PT sessions; ","")&amp;IF($H27&lt;&gt;"Yes","Skills; ","")&amp;IF($S27&lt;&gt;"Yes","Skills not all assessed; ","")&amp;IF($I27&lt;&gt;"Yes","Incidents; ","")&amp;IF($J27&lt;&gt;"Yes","Writing; ","")&amp;IF($K27&lt;&gt;"Yes","Makeup owed; ","")&amp;IF($L27="No","Final PT failed; ",IF($L27="Pending","Final PT rubric not set; ",IF($L27&lt;&gt;"Yes","Final PT not assessed; ","")))&amp;IF($Q27&lt;&gt;"Yes","Certs; ","")&amp;IF($M27="Yes","Dismissal review; ",""))))</f>
        <v/>
      </c>
      <c r="P27" s="17">
        <f>IF($B27="","",IF(PT!$AB27="Yes","Yes",IF(PT!$AB27="No","No",IF(PT!$AB27="(rubric pending)","Pending","Not taken"))))</f>
        <v/>
      </c>
      <c r="Q27" s="17">
        <f>IF($B27="","",IF(Certifications!$T27="Yes","Yes","No"))</f>
        <v/>
      </c>
      <c r="R27" s="17">
        <f>IF($B27="","",IF(AND(N(sysGrades!$E27)&gt;0,N(sysGrades!$F27)&gt;0,N(sysGrades!$G27)&gt;0,N(sysGrades!$H27)&gt;0),"Yes","No"))</f>
        <v/>
      </c>
      <c r="S27" s="17">
        <f>IF($B27="","",IF(N(sysSkills!$F27)&gt;=SUMPRODUCT((rngSM_cat&lt;&gt;"")*1),"Yes","No"))</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pending)","Pending","Not taken"))))</f>
        <v/>
      </c>
      <c r="M28" s="17">
        <f>IF($B28="","",IF(OR(sysGrades!$P28&gt;0,sysSkills!$J28="Yes",sysIncidents!$J28&gt;0),"Yes","No"))</f>
        <v/>
      </c>
      <c r="N28" s="17">
        <f>IF($B28="","",IF(AND($E28="Yes",$F28="Yes",$G28="Yes",$H28="Yes",$I28="Yes",$J28="Yes",$K28="Yes",$L28="Yes",$Q28="Yes",$R28="Yes",$S28="Yes",$M28="No"),"Yes","No"))</f>
        <v/>
      </c>
      <c r="O28" s="17">
        <f>IF($B28="","",IF($N28="Yes","Eligible",TRIM(IF($E28&lt;&gt;"Yes","Academic; ","")&amp;IF($R28&lt;&gt;"Yes","Exams not all recorded; ","")&amp;IF($F28&lt;&gt;"Yes","Classroom; ","")&amp;IF($G28&lt;&gt;"Yes","PT sessions; ","")&amp;IF($H28&lt;&gt;"Yes","Skills; ","")&amp;IF($S28&lt;&gt;"Yes","Skills not all assessed; ","")&amp;IF($I28&lt;&gt;"Yes","Incidents; ","")&amp;IF($J28&lt;&gt;"Yes","Writing; ","")&amp;IF($K28&lt;&gt;"Yes","Makeup owed; ","")&amp;IF($L28="No","Final PT failed; ",IF($L28="Pending","Final PT rubric not set; ",IF($L28&lt;&gt;"Yes","Final PT not assessed; ","")))&amp;IF($Q28&lt;&gt;"Yes","Certs; ","")&amp;IF($M28="Yes","Dismissal review; ",""))))</f>
        <v/>
      </c>
      <c r="P28" s="17">
        <f>IF($B28="","",IF(PT!$AB28="Yes","Yes",IF(PT!$AB28="No","No",IF(PT!$AB28="(rubric pending)","Pending","Not taken"))))</f>
        <v/>
      </c>
      <c r="Q28" s="17">
        <f>IF($B28="","",IF(Certifications!$T28="Yes","Yes","No"))</f>
        <v/>
      </c>
      <c r="R28" s="17">
        <f>IF($B28="","",IF(AND(N(sysGrades!$E28)&gt;0,N(sysGrades!$F28)&gt;0,N(sysGrades!$G28)&gt;0,N(sysGrades!$H28)&gt;0),"Yes","No"))</f>
        <v/>
      </c>
      <c r="S28" s="17">
        <f>IF($B28="","",IF(N(sysSkills!$F28)&gt;=SUMPRODUCT((rngSM_cat&lt;&gt;"")*1),"Yes","No"))</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pending)","Pending","Not taken"))))</f>
        <v/>
      </c>
      <c r="M29" s="17">
        <f>IF($B29="","",IF(OR(sysGrades!$P29&gt;0,sysSkills!$J29="Yes",sysIncidents!$J29&gt;0),"Yes","No"))</f>
        <v/>
      </c>
      <c r="N29" s="17">
        <f>IF($B29="","",IF(AND($E29="Yes",$F29="Yes",$G29="Yes",$H29="Yes",$I29="Yes",$J29="Yes",$K29="Yes",$L29="Yes",$Q29="Yes",$R29="Yes",$S29="Yes",$M29="No"),"Yes","No"))</f>
        <v/>
      </c>
      <c r="O29" s="17">
        <f>IF($B29="","",IF($N29="Yes","Eligible",TRIM(IF($E29&lt;&gt;"Yes","Academic; ","")&amp;IF($R29&lt;&gt;"Yes","Exams not all recorded; ","")&amp;IF($F29&lt;&gt;"Yes","Classroom; ","")&amp;IF($G29&lt;&gt;"Yes","PT sessions; ","")&amp;IF($H29&lt;&gt;"Yes","Skills; ","")&amp;IF($S29&lt;&gt;"Yes","Skills not all assessed; ","")&amp;IF($I29&lt;&gt;"Yes","Incidents; ","")&amp;IF($J29&lt;&gt;"Yes","Writing; ","")&amp;IF($K29&lt;&gt;"Yes","Makeup owed; ","")&amp;IF($L29="No","Final PT failed; ",IF($L29="Pending","Final PT rubric not set; ",IF($L29&lt;&gt;"Yes","Final PT not assessed; ","")))&amp;IF($Q29&lt;&gt;"Yes","Certs; ","")&amp;IF($M29="Yes","Dismissal review; ",""))))</f>
        <v/>
      </c>
      <c r="P29" s="17">
        <f>IF($B29="","",IF(PT!$AB29="Yes","Yes",IF(PT!$AB29="No","No",IF(PT!$AB29="(rubric pending)","Pending","Not taken"))))</f>
        <v/>
      </c>
      <c r="Q29" s="17">
        <f>IF($B29="","",IF(Certifications!$T29="Yes","Yes","No"))</f>
        <v/>
      </c>
      <c r="R29" s="17">
        <f>IF($B29="","",IF(AND(N(sysGrades!$E29)&gt;0,N(sysGrades!$F29)&gt;0,N(sysGrades!$G29)&gt;0,N(sysGrades!$H29)&gt;0),"Yes","No"))</f>
        <v/>
      </c>
      <c r="S29" s="17">
        <f>IF($B29="","",IF(N(sysSkills!$F29)&gt;=SUMPRODUCT((rngSM_cat&lt;&gt;"")*1),"Yes","No"))</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pending)","Pending","Not taken"))))</f>
        <v/>
      </c>
      <c r="M30" s="17">
        <f>IF($B30="","",IF(OR(sysGrades!$P30&gt;0,sysSkills!$J30="Yes",sysIncidents!$J30&gt;0),"Yes","No"))</f>
        <v/>
      </c>
      <c r="N30" s="17">
        <f>IF($B30="","",IF(AND($E30="Yes",$F30="Yes",$G30="Yes",$H30="Yes",$I30="Yes",$J30="Yes",$K30="Yes",$L30="Yes",$Q30="Yes",$R30="Yes",$S30="Yes",$M30="No"),"Yes","No"))</f>
        <v/>
      </c>
      <c r="O30" s="17">
        <f>IF($B30="","",IF($N30="Yes","Eligible",TRIM(IF($E30&lt;&gt;"Yes","Academic; ","")&amp;IF($R30&lt;&gt;"Yes","Exams not all recorded; ","")&amp;IF($F30&lt;&gt;"Yes","Classroom; ","")&amp;IF($G30&lt;&gt;"Yes","PT sessions; ","")&amp;IF($H30&lt;&gt;"Yes","Skills; ","")&amp;IF($S30&lt;&gt;"Yes","Skills not all assessed; ","")&amp;IF($I30&lt;&gt;"Yes","Incidents; ","")&amp;IF($J30&lt;&gt;"Yes","Writing; ","")&amp;IF($K30&lt;&gt;"Yes","Makeup owed; ","")&amp;IF($L30="No","Final PT failed; ",IF($L30="Pending","Final PT rubric not set; ",IF($L30&lt;&gt;"Yes","Final PT not assessed; ","")))&amp;IF($Q30&lt;&gt;"Yes","Certs; ","")&amp;IF($M30="Yes","Dismissal review; ",""))))</f>
        <v/>
      </c>
      <c r="P30" s="17">
        <f>IF($B30="","",IF(PT!$AB30="Yes","Yes",IF(PT!$AB30="No","No",IF(PT!$AB30="(rubric pending)","Pending","Not taken"))))</f>
        <v/>
      </c>
      <c r="Q30" s="17">
        <f>IF($B30="","",IF(Certifications!$T30="Yes","Yes","No"))</f>
        <v/>
      </c>
      <c r="R30" s="17">
        <f>IF($B30="","",IF(AND(N(sysGrades!$E30)&gt;0,N(sysGrades!$F30)&gt;0,N(sysGrades!$G30)&gt;0,N(sysGrades!$H30)&gt;0),"Yes","No"))</f>
        <v/>
      </c>
      <c r="S30" s="17">
        <f>IF($B30="","",IF(N(sysSkills!$F30)&gt;=SUMPRODUCT((rngSM_cat&lt;&gt;"")*1),"Yes","No"))</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pending)","Pending","Not taken"))))</f>
        <v/>
      </c>
      <c r="M31" s="17">
        <f>IF($B31="","",IF(OR(sysGrades!$P31&gt;0,sysSkills!$J31="Yes",sysIncidents!$J31&gt;0),"Yes","No"))</f>
        <v/>
      </c>
      <c r="N31" s="17">
        <f>IF($B31="","",IF(AND($E31="Yes",$F31="Yes",$G31="Yes",$H31="Yes",$I31="Yes",$J31="Yes",$K31="Yes",$L31="Yes",$Q31="Yes",$R31="Yes",$S31="Yes",$M31="No"),"Yes","No"))</f>
        <v/>
      </c>
      <c r="O31" s="17">
        <f>IF($B31="","",IF($N31="Yes","Eligible",TRIM(IF($E31&lt;&gt;"Yes","Academic; ","")&amp;IF($R31&lt;&gt;"Yes","Exams not all recorded; ","")&amp;IF($F31&lt;&gt;"Yes","Classroom; ","")&amp;IF($G31&lt;&gt;"Yes","PT sessions; ","")&amp;IF($H31&lt;&gt;"Yes","Skills; ","")&amp;IF($S31&lt;&gt;"Yes","Skills not all assessed; ","")&amp;IF($I31&lt;&gt;"Yes","Incidents; ","")&amp;IF($J31&lt;&gt;"Yes","Writing; ","")&amp;IF($K31&lt;&gt;"Yes","Makeup owed; ","")&amp;IF($L31="No","Final PT failed; ",IF($L31="Pending","Final PT rubric not set; ",IF($L31&lt;&gt;"Yes","Final PT not assessed; ","")))&amp;IF($Q31&lt;&gt;"Yes","Certs; ","")&amp;IF($M31="Yes","Dismissal review; ",""))))</f>
        <v/>
      </c>
      <c r="P31" s="17">
        <f>IF($B31="","",IF(PT!$AB31="Yes","Yes",IF(PT!$AB31="No","No",IF(PT!$AB31="(rubric pending)","Pending","Not taken"))))</f>
        <v/>
      </c>
      <c r="Q31" s="17">
        <f>IF($B31="","",IF(Certifications!$T31="Yes","Yes","No"))</f>
        <v/>
      </c>
      <c r="R31" s="17">
        <f>IF($B31="","",IF(AND(N(sysGrades!$E31)&gt;0,N(sysGrades!$F31)&gt;0,N(sysGrades!$G31)&gt;0,N(sysGrades!$H31)&gt;0),"Yes","No"))</f>
        <v/>
      </c>
      <c r="S31" s="17">
        <f>IF($B31="","",IF(N(sysSkills!$F31)&gt;=SUMPRODUCT((rngSM_cat&lt;&gt;"")*1),"Yes","No"))</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pending)","Pending","Not taken"))))</f>
        <v/>
      </c>
      <c r="M32" s="17">
        <f>IF($B32="","",IF(OR(sysGrades!$P32&gt;0,sysSkills!$J32="Yes",sysIncidents!$J32&gt;0),"Yes","No"))</f>
        <v/>
      </c>
      <c r="N32" s="17">
        <f>IF($B32="","",IF(AND($E32="Yes",$F32="Yes",$G32="Yes",$H32="Yes",$I32="Yes",$J32="Yes",$K32="Yes",$L32="Yes",$Q32="Yes",$R32="Yes",$S32="Yes",$M32="No"),"Yes","No"))</f>
        <v/>
      </c>
      <c r="O32" s="17">
        <f>IF($B32="","",IF($N32="Yes","Eligible",TRIM(IF($E32&lt;&gt;"Yes","Academic; ","")&amp;IF($R32&lt;&gt;"Yes","Exams not all recorded; ","")&amp;IF($F32&lt;&gt;"Yes","Classroom; ","")&amp;IF($G32&lt;&gt;"Yes","PT sessions; ","")&amp;IF($H32&lt;&gt;"Yes","Skills; ","")&amp;IF($S32&lt;&gt;"Yes","Skills not all assessed; ","")&amp;IF($I32&lt;&gt;"Yes","Incidents; ","")&amp;IF($J32&lt;&gt;"Yes","Writing; ","")&amp;IF($K32&lt;&gt;"Yes","Makeup owed; ","")&amp;IF($L32="No","Final PT failed; ",IF($L32="Pending","Final PT rubric not set; ",IF($L32&lt;&gt;"Yes","Final PT not assessed; ","")))&amp;IF($Q32&lt;&gt;"Yes","Certs; ","")&amp;IF($M32="Yes","Dismissal review; ",""))))</f>
        <v/>
      </c>
      <c r="P32" s="17">
        <f>IF($B32="","",IF(PT!$AB32="Yes","Yes",IF(PT!$AB32="No","No",IF(PT!$AB32="(rubric pending)","Pending","Not taken"))))</f>
        <v/>
      </c>
      <c r="Q32" s="17">
        <f>IF($B32="","",IF(Certifications!$T32="Yes","Yes","No"))</f>
        <v/>
      </c>
      <c r="R32" s="17">
        <f>IF($B32="","",IF(AND(N(sysGrades!$E32)&gt;0,N(sysGrades!$F32)&gt;0,N(sysGrades!$G32)&gt;0,N(sysGrades!$H32)&gt;0),"Yes","No"))</f>
        <v/>
      </c>
      <c r="S32" s="17">
        <f>IF($B32="","",IF(N(sysSkills!$F32)&gt;=SUMPRODUCT((rngSM_cat&lt;&gt;"")*1),"Yes","No"))</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pending)","Pending","Not taken"))))</f>
        <v/>
      </c>
      <c r="M33" s="17">
        <f>IF($B33="","",IF(OR(sysGrades!$P33&gt;0,sysSkills!$J33="Yes",sysIncidents!$J33&gt;0),"Yes","No"))</f>
        <v/>
      </c>
      <c r="N33" s="17">
        <f>IF($B33="","",IF(AND($E33="Yes",$F33="Yes",$G33="Yes",$H33="Yes",$I33="Yes",$J33="Yes",$K33="Yes",$L33="Yes",$Q33="Yes",$R33="Yes",$S33="Yes",$M33="No"),"Yes","No"))</f>
        <v/>
      </c>
      <c r="O33" s="17">
        <f>IF($B33="","",IF($N33="Yes","Eligible",TRIM(IF($E33&lt;&gt;"Yes","Academic; ","")&amp;IF($R33&lt;&gt;"Yes","Exams not all recorded; ","")&amp;IF($F33&lt;&gt;"Yes","Classroom; ","")&amp;IF($G33&lt;&gt;"Yes","PT sessions; ","")&amp;IF($H33&lt;&gt;"Yes","Skills; ","")&amp;IF($S33&lt;&gt;"Yes","Skills not all assessed; ","")&amp;IF($I33&lt;&gt;"Yes","Incidents; ","")&amp;IF($J33&lt;&gt;"Yes","Writing; ","")&amp;IF($K33&lt;&gt;"Yes","Makeup owed; ","")&amp;IF($L33="No","Final PT failed; ",IF($L33="Pending","Final PT rubric not set; ",IF($L33&lt;&gt;"Yes","Final PT not assessed; ","")))&amp;IF($Q33&lt;&gt;"Yes","Certs; ","")&amp;IF($M33="Yes","Dismissal review; ",""))))</f>
        <v/>
      </c>
      <c r="P33" s="17">
        <f>IF($B33="","",IF(PT!$AB33="Yes","Yes",IF(PT!$AB33="No","No",IF(PT!$AB33="(rubric pending)","Pending","Not taken"))))</f>
        <v/>
      </c>
      <c r="Q33" s="17">
        <f>IF($B33="","",IF(Certifications!$T33="Yes","Yes","No"))</f>
        <v/>
      </c>
      <c r="R33" s="17">
        <f>IF($B33="","",IF(AND(N(sysGrades!$E33)&gt;0,N(sysGrades!$F33)&gt;0,N(sysGrades!$G33)&gt;0,N(sysGrades!$H33)&gt;0),"Yes","No"))</f>
        <v/>
      </c>
      <c r="S33" s="17">
        <f>IF($B33="","",IF(N(sysSkills!$F33)&gt;=SUMPRODUCT((rngSM_cat&lt;&gt;"")*1),"Yes","No"))</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pending)","Pending","Not taken"))))</f>
        <v/>
      </c>
      <c r="M34" s="17">
        <f>IF($B34="","",IF(OR(sysGrades!$P34&gt;0,sysSkills!$J34="Yes",sysIncidents!$J34&gt;0),"Yes","No"))</f>
        <v/>
      </c>
      <c r="N34" s="17">
        <f>IF($B34="","",IF(AND($E34="Yes",$F34="Yes",$G34="Yes",$H34="Yes",$I34="Yes",$J34="Yes",$K34="Yes",$L34="Yes",$Q34="Yes",$R34="Yes",$S34="Yes",$M34="No"),"Yes","No"))</f>
        <v/>
      </c>
      <c r="O34" s="17">
        <f>IF($B34="","",IF($N34="Yes","Eligible",TRIM(IF($E34&lt;&gt;"Yes","Academic; ","")&amp;IF($R34&lt;&gt;"Yes","Exams not all recorded; ","")&amp;IF($F34&lt;&gt;"Yes","Classroom; ","")&amp;IF($G34&lt;&gt;"Yes","PT sessions; ","")&amp;IF($H34&lt;&gt;"Yes","Skills; ","")&amp;IF($S34&lt;&gt;"Yes","Skills not all assessed; ","")&amp;IF($I34&lt;&gt;"Yes","Incidents; ","")&amp;IF($J34&lt;&gt;"Yes","Writing; ","")&amp;IF($K34&lt;&gt;"Yes","Makeup owed; ","")&amp;IF($L34="No","Final PT failed; ",IF($L34="Pending","Final PT rubric not set; ",IF($L34&lt;&gt;"Yes","Final PT not assessed; ","")))&amp;IF($Q34&lt;&gt;"Yes","Certs; ","")&amp;IF($M34="Yes","Dismissal review; ",""))))</f>
        <v/>
      </c>
      <c r="P34" s="17">
        <f>IF($B34="","",IF(PT!$AB34="Yes","Yes",IF(PT!$AB34="No","No",IF(PT!$AB34="(rubric pending)","Pending","Not taken"))))</f>
        <v/>
      </c>
      <c r="Q34" s="17">
        <f>IF($B34="","",IF(Certifications!$T34="Yes","Yes","No"))</f>
        <v/>
      </c>
      <c r="R34" s="17">
        <f>IF($B34="","",IF(AND(N(sysGrades!$E34)&gt;0,N(sysGrades!$F34)&gt;0,N(sysGrades!$G34)&gt;0,N(sysGrades!$H34)&gt;0),"Yes","No"))</f>
        <v/>
      </c>
      <c r="S34" s="17">
        <f>IF($B34="","",IF(N(sysSkills!$F34)&gt;=SUMPRODUCT((rngSM_cat&lt;&gt;"")*1),"Yes","No"))</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pending)","Pending","Not taken"))))</f>
        <v/>
      </c>
      <c r="M35" s="17">
        <f>IF($B35="","",IF(OR(sysGrades!$P35&gt;0,sysSkills!$J35="Yes",sysIncidents!$J35&gt;0),"Yes","No"))</f>
        <v/>
      </c>
      <c r="N35" s="17">
        <f>IF($B35="","",IF(AND($E35="Yes",$F35="Yes",$G35="Yes",$H35="Yes",$I35="Yes",$J35="Yes",$K35="Yes",$L35="Yes",$Q35="Yes",$R35="Yes",$S35="Yes",$M35="No"),"Yes","No"))</f>
        <v/>
      </c>
      <c r="O35" s="17">
        <f>IF($B35="","",IF($N35="Yes","Eligible",TRIM(IF($E35&lt;&gt;"Yes","Academic; ","")&amp;IF($R35&lt;&gt;"Yes","Exams not all recorded; ","")&amp;IF($F35&lt;&gt;"Yes","Classroom; ","")&amp;IF($G35&lt;&gt;"Yes","PT sessions; ","")&amp;IF($H35&lt;&gt;"Yes","Skills; ","")&amp;IF($S35&lt;&gt;"Yes","Skills not all assessed; ","")&amp;IF($I35&lt;&gt;"Yes","Incidents; ","")&amp;IF($J35&lt;&gt;"Yes","Writing; ","")&amp;IF($K35&lt;&gt;"Yes","Makeup owed; ","")&amp;IF($L35="No","Final PT failed; ",IF($L35="Pending","Final PT rubric not set; ",IF($L35&lt;&gt;"Yes","Final PT not assessed; ","")))&amp;IF($Q35&lt;&gt;"Yes","Certs; ","")&amp;IF($M35="Yes","Dismissal review; ",""))))</f>
        <v/>
      </c>
      <c r="P35" s="17">
        <f>IF($B35="","",IF(PT!$AB35="Yes","Yes",IF(PT!$AB35="No","No",IF(PT!$AB35="(rubric pending)","Pending","Not taken"))))</f>
        <v/>
      </c>
      <c r="Q35" s="17">
        <f>IF($B35="","",IF(Certifications!$T35="Yes","Yes","No"))</f>
        <v/>
      </c>
      <c r="R35" s="17">
        <f>IF($B35="","",IF(AND(N(sysGrades!$E35)&gt;0,N(sysGrades!$F35)&gt;0,N(sysGrades!$G35)&gt;0,N(sysGrades!$H35)&gt;0),"Yes","No"))</f>
        <v/>
      </c>
      <c r="S35" s="17">
        <f>IF($B35="","",IF(N(sysSkills!$F35)&gt;=SUMPRODUCT((rngSM_cat&lt;&gt;"")*1),"Yes","No"))</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pending)","Pending","Not taken"))))</f>
        <v/>
      </c>
      <c r="M36" s="17">
        <f>IF($B36="","",IF(OR(sysGrades!$P36&gt;0,sysSkills!$J36="Yes",sysIncidents!$J36&gt;0),"Yes","No"))</f>
        <v/>
      </c>
      <c r="N36" s="17">
        <f>IF($B36="","",IF(AND($E36="Yes",$F36="Yes",$G36="Yes",$H36="Yes",$I36="Yes",$J36="Yes",$K36="Yes",$L36="Yes",$Q36="Yes",$R36="Yes",$S36="Yes",$M36="No"),"Yes","No"))</f>
        <v/>
      </c>
      <c r="O36" s="17">
        <f>IF($B36="","",IF($N36="Yes","Eligible",TRIM(IF($E36&lt;&gt;"Yes","Academic; ","")&amp;IF($R36&lt;&gt;"Yes","Exams not all recorded; ","")&amp;IF($F36&lt;&gt;"Yes","Classroom; ","")&amp;IF($G36&lt;&gt;"Yes","PT sessions; ","")&amp;IF($H36&lt;&gt;"Yes","Skills; ","")&amp;IF($S36&lt;&gt;"Yes","Skills not all assessed; ","")&amp;IF($I36&lt;&gt;"Yes","Incidents; ","")&amp;IF($J36&lt;&gt;"Yes","Writing; ","")&amp;IF($K36&lt;&gt;"Yes","Makeup owed; ","")&amp;IF($L36="No","Final PT failed; ",IF($L36="Pending","Final PT rubric not set; ",IF($L36&lt;&gt;"Yes","Final PT not assessed; ","")))&amp;IF($Q36&lt;&gt;"Yes","Certs; ","")&amp;IF($M36="Yes","Dismissal review; ",""))))</f>
        <v/>
      </c>
      <c r="P36" s="17">
        <f>IF($B36="","",IF(PT!$AB36="Yes","Yes",IF(PT!$AB36="No","No",IF(PT!$AB36="(rubric pending)","Pending","Not taken"))))</f>
        <v/>
      </c>
      <c r="Q36" s="17">
        <f>IF($B36="","",IF(Certifications!$T36="Yes","Yes","No"))</f>
        <v/>
      </c>
      <c r="R36" s="17">
        <f>IF($B36="","",IF(AND(N(sysGrades!$E36)&gt;0,N(sysGrades!$F36)&gt;0,N(sysGrades!$G36)&gt;0,N(sysGrades!$H36)&gt;0),"Yes","No"))</f>
        <v/>
      </c>
      <c r="S36" s="17">
        <f>IF($B36="","",IF(N(sysSkills!$F36)&gt;=SUMPRODUCT((rngSM_cat&lt;&gt;"")*1),"Yes","No"))</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pending)","Pending","Not taken"))))</f>
        <v/>
      </c>
      <c r="M37" s="17">
        <f>IF($B37="","",IF(OR(sysGrades!$P37&gt;0,sysSkills!$J37="Yes",sysIncidents!$J37&gt;0),"Yes","No"))</f>
        <v/>
      </c>
      <c r="N37" s="17">
        <f>IF($B37="","",IF(AND($E37="Yes",$F37="Yes",$G37="Yes",$H37="Yes",$I37="Yes",$J37="Yes",$K37="Yes",$L37="Yes",$Q37="Yes",$R37="Yes",$S37="Yes",$M37="No"),"Yes","No"))</f>
        <v/>
      </c>
      <c r="O37" s="17">
        <f>IF($B37="","",IF($N37="Yes","Eligible",TRIM(IF($E37&lt;&gt;"Yes","Academic; ","")&amp;IF($R37&lt;&gt;"Yes","Exams not all recorded; ","")&amp;IF($F37&lt;&gt;"Yes","Classroom; ","")&amp;IF($G37&lt;&gt;"Yes","PT sessions; ","")&amp;IF($H37&lt;&gt;"Yes","Skills; ","")&amp;IF($S37&lt;&gt;"Yes","Skills not all assessed; ","")&amp;IF($I37&lt;&gt;"Yes","Incidents; ","")&amp;IF($J37&lt;&gt;"Yes","Writing; ","")&amp;IF($K37&lt;&gt;"Yes","Makeup owed; ","")&amp;IF($L37="No","Final PT failed; ",IF($L37="Pending","Final PT rubric not set; ",IF($L37&lt;&gt;"Yes","Final PT not assessed; ","")))&amp;IF($Q37&lt;&gt;"Yes","Certs; ","")&amp;IF($M37="Yes","Dismissal review; ",""))))</f>
        <v/>
      </c>
      <c r="P37" s="17">
        <f>IF($B37="","",IF(PT!$AB37="Yes","Yes",IF(PT!$AB37="No","No",IF(PT!$AB37="(rubric pending)","Pending","Not taken"))))</f>
        <v/>
      </c>
      <c r="Q37" s="17">
        <f>IF($B37="","",IF(Certifications!$T37="Yes","Yes","No"))</f>
        <v/>
      </c>
      <c r="R37" s="17">
        <f>IF($B37="","",IF(AND(N(sysGrades!$E37)&gt;0,N(sysGrades!$F37)&gt;0,N(sysGrades!$G37)&gt;0,N(sysGrades!$H37)&gt;0),"Yes","No"))</f>
        <v/>
      </c>
      <c r="S37" s="17">
        <f>IF($B37="","",IF(N(sysSkills!$F37)&gt;=SUMPRODUCT((rngSM_cat&lt;&gt;"")*1),"Yes","No"))</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pending)","Pending","Not taken"))))</f>
        <v/>
      </c>
      <c r="M38" s="17">
        <f>IF($B38="","",IF(OR(sysGrades!$P38&gt;0,sysSkills!$J38="Yes",sysIncidents!$J38&gt;0),"Yes","No"))</f>
        <v/>
      </c>
      <c r="N38" s="17">
        <f>IF($B38="","",IF(AND($E38="Yes",$F38="Yes",$G38="Yes",$H38="Yes",$I38="Yes",$J38="Yes",$K38="Yes",$L38="Yes",$Q38="Yes",$R38="Yes",$S38="Yes",$M38="No"),"Yes","No"))</f>
        <v/>
      </c>
      <c r="O38" s="17">
        <f>IF($B38="","",IF($N38="Yes","Eligible",TRIM(IF($E38&lt;&gt;"Yes","Academic; ","")&amp;IF($R38&lt;&gt;"Yes","Exams not all recorded; ","")&amp;IF($F38&lt;&gt;"Yes","Classroom; ","")&amp;IF($G38&lt;&gt;"Yes","PT sessions; ","")&amp;IF($H38&lt;&gt;"Yes","Skills; ","")&amp;IF($S38&lt;&gt;"Yes","Skills not all assessed; ","")&amp;IF($I38&lt;&gt;"Yes","Incidents; ","")&amp;IF($J38&lt;&gt;"Yes","Writing; ","")&amp;IF($K38&lt;&gt;"Yes","Makeup owed; ","")&amp;IF($L38="No","Final PT failed; ",IF($L38="Pending","Final PT rubric not set; ",IF($L38&lt;&gt;"Yes","Final PT not assessed; ","")))&amp;IF($Q38&lt;&gt;"Yes","Certs; ","")&amp;IF($M38="Yes","Dismissal review; ",""))))</f>
        <v/>
      </c>
      <c r="P38" s="17">
        <f>IF($B38="","",IF(PT!$AB38="Yes","Yes",IF(PT!$AB38="No","No",IF(PT!$AB38="(rubric pending)","Pending","Not taken"))))</f>
        <v/>
      </c>
      <c r="Q38" s="17">
        <f>IF($B38="","",IF(Certifications!$T38="Yes","Yes","No"))</f>
        <v/>
      </c>
      <c r="R38" s="17">
        <f>IF($B38="","",IF(AND(N(sysGrades!$E38)&gt;0,N(sysGrades!$F38)&gt;0,N(sysGrades!$G38)&gt;0,N(sysGrades!$H38)&gt;0),"Yes","No"))</f>
        <v/>
      </c>
      <c r="S38" s="17">
        <f>IF($B38="","",IF(N(sysSkills!$F38)&gt;=SUMPRODUCT((rngSM_cat&lt;&gt;"")*1),"Yes","No"))</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pending)","Pending","Not taken"))))</f>
        <v/>
      </c>
      <c r="M39" s="17">
        <f>IF($B39="","",IF(OR(sysGrades!$P39&gt;0,sysSkills!$J39="Yes",sysIncidents!$J39&gt;0),"Yes","No"))</f>
        <v/>
      </c>
      <c r="N39" s="17">
        <f>IF($B39="","",IF(AND($E39="Yes",$F39="Yes",$G39="Yes",$H39="Yes",$I39="Yes",$J39="Yes",$K39="Yes",$L39="Yes",$Q39="Yes",$R39="Yes",$S39="Yes",$M39="No"),"Yes","No"))</f>
        <v/>
      </c>
      <c r="O39" s="17">
        <f>IF($B39="","",IF($N39="Yes","Eligible",TRIM(IF($E39&lt;&gt;"Yes","Academic; ","")&amp;IF($R39&lt;&gt;"Yes","Exams not all recorded; ","")&amp;IF($F39&lt;&gt;"Yes","Classroom; ","")&amp;IF($G39&lt;&gt;"Yes","PT sessions; ","")&amp;IF($H39&lt;&gt;"Yes","Skills; ","")&amp;IF($S39&lt;&gt;"Yes","Skills not all assessed; ","")&amp;IF($I39&lt;&gt;"Yes","Incidents; ","")&amp;IF($J39&lt;&gt;"Yes","Writing; ","")&amp;IF($K39&lt;&gt;"Yes","Makeup owed; ","")&amp;IF($L39="No","Final PT failed; ",IF($L39="Pending","Final PT rubric not set; ",IF($L39&lt;&gt;"Yes","Final PT not assessed; ","")))&amp;IF($Q39&lt;&gt;"Yes","Certs; ","")&amp;IF($M39="Yes","Dismissal review; ",""))))</f>
        <v/>
      </c>
      <c r="P39" s="17">
        <f>IF($B39="","",IF(PT!$AB39="Yes","Yes",IF(PT!$AB39="No","No",IF(PT!$AB39="(rubric pending)","Pending","Not taken"))))</f>
        <v/>
      </c>
      <c r="Q39" s="17">
        <f>IF($B39="","",IF(Certifications!$T39="Yes","Yes","No"))</f>
        <v/>
      </c>
      <c r="R39" s="17">
        <f>IF($B39="","",IF(AND(N(sysGrades!$E39)&gt;0,N(sysGrades!$F39)&gt;0,N(sysGrades!$G39)&gt;0,N(sysGrades!$H39)&gt;0),"Yes","No"))</f>
        <v/>
      </c>
      <c r="S39" s="17">
        <f>IF($B39="","",IF(N(sysSkills!$F39)&gt;=SUMPRODUCT((rngSM_cat&lt;&gt;"")*1),"Yes","No"))</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pending)","Pending","Not taken"))))</f>
        <v/>
      </c>
      <c r="M40" s="17">
        <f>IF($B40="","",IF(OR(sysGrades!$P40&gt;0,sysSkills!$J40="Yes",sysIncidents!$J40&gt;0),"Yes","No"))</f>
        <v/>
      </c>
      <c r="N40" s="17">
        <f>IF($B40="","",IF(AND($E40="Yes",$F40="Yes",$G40="Yes",$H40="Yes",$I40="Yes",$J40="Yes",$K40="Yes",$L40="Yes",$Q40="Yes",$R40="Yes",$S40="Yes",$M40="No"),"Yes","No"))</f>
        <v/>
      </c>
      <c r="O40" s="17">
        <f>IF($B40="","",IF($N40="Yes","Eligible",TRIM(IF($E40&lt;&gt;"Yes","Academic; ","")&amp;IF($R40&lt;&gt;"Yes","Exams not all recorded; ","")&amp;IF($F40&lt;&gt;"Yes","Classroom; ","")&amp;IF($G40&lt;&gt;"Yes","PT sessions; ","")&amp;IF($H40&lt;&gt;"Yes","Skills; ","")&amp;IF($S40&lt;&gt;"Yes","Skills not all assessed; ","")&amp;IF($I40&lt;&gt;"Yes","Incidents; ","")&amp;IF($J40&lt;&gt;"Yes","Writing; ","")&amp;IF($K40&lt;&gt;"Yes","Makeup owed; ","")&amp;IF($L40="No","Final PT failed; ",IF($L40="Pending","Final PT rubric not set; ",IF($L40&lt;&gt;"Yes","Final PT not assessed; ","")))&amp;IF($Q40&lt;&gt;"Yes","Certs; ","")&amp;IF($M40="Yes","Dismissal review; ",""))))</f>
        <v/>
      </c>
      <c r="P40" s="17">
        <f>IF($B40="","",IF(PT!$AB40="Yes","Yes",IF(PT!$AB40="No","No",IF(PT!$AB40="(rubric pending)","Pending","Not taken"))))</f>
        <v/>
      </c>
      <c r="Q40" s="17">
        <f>IF($B40="","",IF(Certifications!$T40="Yes","Yes","No"))</f>
        <v/>
      </c>
      <c r="R40" s="17">
        <f>IF($B40="","",IF(AND(N(sysGrades!$E40)&gt;0,N(sysGrades!$F40)&gt;0,N(sysGrades!$G40)&gt;0,N(sysGrades!$H40)&gt;0),"Yes","No"))</f>
        <v/>
      </c>
      <c r="S40" s="17">
        <f>IF($B40="","",IF(N(sysSkills!$F40)&gt;=SUMPRODUCT((rngSM_cat&lt;&gt;"")*1),"Yes","No"))</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pending)","Pending","Not taken"))))</f>
        <v/>
      </c>
      <c r="M41" s="17">
        <f>IF($B41="","",IF(OR(sysGrades!$P41&gt;0,sysSkills!$J41="Yes",sysIncidents!$J41&gt;0),"Yes","No"))</f>
        <v/>
      </c>
      <c r="N41" s="17">
        <f>IF($B41="","",IF(AND($E41="Yes",$F41="Yes",$G41="Yes",$H41="Yes",$I41="Yes",$J41="Yes",$K41="Yes",$L41="Yes",$Q41="Yes",$R41="Yes",$S41="Yes",$M41="No"),"Yes","No"))</f>
        <v/>
      </c>
      <c r="O41" s="17">
        <f>IF($B41="","",IF($N41="Yes","Eligible",TRIM(IF($E41&lt;&gt;"Yes","Academic; ","")&amp;IF($R41&lt;&gt;"Yes","Exams not all recorded; ","")&amp;IF($F41&lt;&gt;"Yes","Classroom; ","")&amp;IF($G41&lt;&gt;"Yes","PT sessions; ","")&amp;IF($H41&lt;&gt;"Yes","Skills; ","")&amp;IF($S41&lt;&gt;"Yes","Skills not all assessed; ","")&amp;IF($I41&lt;&gt;"Yes","Incidents; ","")&amp;IF($J41&lt;&gt;"Yes","Writing; ","")&amp;IF($K41&lt;&gt;"Yes","Makeup owed; ","")&amp;IF($L41="No","Final PT failed; ",IF($L41="Pending","Final PT rubric not set; ",IF($L41&lt;&gt;"Yes","Final PT not assessed; ","")))&amp;IF($Q41&lt;&gt;"Yes","Certs; ","")&amp;IF($M41="Yes","Dismissal review; ",""))))</f>
        <v/>
      </c>
      <c r="P41" s="17">
        <f>IF($B41="","",IF(PT!$AB41="Yes","Yes",IF(PT!$AB41="No","No",IF(PT!$AB41="(rubric pending)","Pending","Not taken"))))</f>
        <v/>
      </c>
      <c r="Q41" s="17">
        <f>IF($B41="","",IF(Certifications!$T41="Yes","Yes","No"))</f>
        <v/>
      </c>
      <c r="R41" s="17">
        <f>IF($B41="","",IF(AND(N(sysGrades!$E41)&gt;0,N(sysGrades!$F41)&gt;0,N(sysGrades!$G41)&gt;0,N(sysGrades!$H41)&gt;0),"Yes","No"))</f>
        <v/>
      </c>
      <c r="S41" s="17">
        <f>IF($B41="","",IF(N(sysSkills!$F41)&gt;=SUMPRODUCT((rngSM_cat&lt;&gt;"")*1),"Yes","No"))</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pending)","Pending","Not taken"))))</f>
        <v/>
      </c>
      <c r="M42" s="17">
        <f>IF($B42="","",IF(OR(sysGrades!$P42&gt;0,sysSkills!$J42="Yes",sysIncidents!$J42&gt;0),"Yes","No"))</f>
        <v/>
      </c>
      <c r="N42" s="17">
        <f>IF($B42="","",IF(AND($E42="Yes",$F42="Yes",$G42="Yes",$H42="Yes",$I42="Yes",$J42="Yes",$K42="Yes",$L42="Yes",$Q42="Yes",$R42="Yes",$S42="Yes",$M42="No"),"Yes","No"))</f>
        <v/>
      </c>
      <c r="O42" s="17">
        <f>IF($B42="","",IF($N42="Yes","Eligible",TRIM(IF($E42&lt;&gt;"Yes","Academic; ","")&amp;IF($R42&lt;&gt;"Yes","Exams not all recorded; ","")&amp;IF($F42&lt;&gt;"Yes","Classroom; ","")&amp;IF($G42&lt;&gt;"Yes","PT sessions; ","")&amp;IF($H42&lt;&gt;"Yes","Skills; ","")&amp;IF($S42&lt;&gt;"Yes","Skills not all assessed; ","")&amp;IF($I42&lt;&gt;"Yes","Incidents; ","")&amp;IF($J42&lt;&gt;"Yes","Writing; ","")&amp;IF($K42&lt;&gt;"Yes","Makeup owed; ","")&amp;IF($L42="No","Final PT failed; ",IF($L42="Pending","Final PT rubric not set; ",IF($L42&lt;&gt;"Yes","Final PT not assessed; ","")))&amp;IF($Q42&lt;&gt;"Yes","Certs; ","")&amp;IF($M42="Yes","Dismissal review; ",""))))</f>
        <v/>
      </c>
      <c r="P42" s="17">
        <f>IF($B42="","",IF(PT!$AB42="Yes","Yes",IF(PT!$AB42="No","No",IF(PT!$AB42="(rubric pending)","Pending","Not taken"))))</f>
        <v/>
      </c>
      <c r="Q42" s="17">
        <f>IF($B42="","",IF(Certifications!$T42="Yes","Yes","No"))</f>
        <v/>
      </c>
      <c r="R42" s="17">
        <f>IF($B42="","",IF(AND(N(sysGrades!$E42)&gt;0,N(sysGrades!$F42)&gt;0,N(sysGrades!$G42)&gt;0,N(sysGrades!$H42)&gt;0),"Yes","No"))</f>
        <v/>
      </c>
      <c r="S42" s="17">
        <f>IF($B42="","",IF(N(sysSkills!$F42)&gt;=SUMPRODUCT((rngSM_cat&lt;&gt;"")*1),"Yes","No"))</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pending)","Pending","Not taken"))))</f>
        <v/>
      </c>
      <c r="M43" s="17">
        <f>IF($B43="","",IF(OR(sysGrades!$P43&gt;0,sysSkills!$J43="Yes",sysIncidents!$J43&gt;0),"Yes","No"))</f>
        <v/>
      </c>
      <c r="N43" s="17">
        <f>IF($B43="","",IF(AND($E43="Yes",$F43="Yes",$G43="Yes",$H43="Yes",$I43="Yes",$J43="Yes",$K43="Yes",$L43="Yes",$Q43="Yes",$R43="Yes",$S43="Yes",$M43="No"),"Yes","No"))</f>
        <v/>
      </c>
      <c r="O43" s="17">
        <f>IF($B43="","",IF($N43="Yes","Eligible",TRIM(IF($E43&lt;&gt;"Yes","Academic; ","")&amp;IF($R43&lt;&gt;"Yes","Exams not all recorded; ","")&amp;IF($F43&lt;&gt;"Yes","Classroom; ","")&amp;IF($G43&lt;&gt;"Yes","PT sessions; ","")&amp;IF($H43&lt;&gt;"Yes","Skills; ","")&amp;IF($S43&lt;&gt;"Yes","Skills not all assessed; ","")&amp;IF($I43&lt;&gt;"Yes","Incidents; ","")&amp;IF($J43&lt;&gt;"Yes","Writing; ","")&amp;IF($K43&lt;&gt;"Yes","Makeup owed; ","")&amp;IF($L43="No","Final PT failed; ",IF($L43="Pending","Final PT rubric not set; ",IF($L43&lt;&gt;"Yes","Final PT not assessed; ","")))&amp;IF($Q43&lt;&gt;"Yes","Certs; ","")&amp;IF($M43="Yes","Dismissal review; ",""))))</f>
        <v/>
      </c>
      <c r="P43" s="17">
        <f>IF($B43="","",IF(PT!$AB43="Yes","Yes",IF(PT!$AB43="No","No",IF(PT!$AB43="(rubric pending)","Pending","Not taken"))))</f>
        <v/>
      </c>
      <c r="Q43" s="17">
        <f>IF($B43="","",IF(Certifications!$T43="Yes","Yes","No"))</f>
        <v/>
      </c>
      <c r="R43" s="17">
        <f>IF($B43="","",IF(AND(N(sysGrades!$E43)&gt;0,N(sysGrades!$F43)&gt;0,N(sysGrades!$G43)&gt;0,N(sysGrades!$H43)&gt;0),"Yes","No"))</f>
        <v/>
      </c>
      <c r="S43" s="17">
        <f>IF($B43="","",IF(N(sysSkills!$F43)&gt;=SUMPRODUCT((rngSM_cat&lt;&gt;"")*1),"Yes","No"))</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pending)","Pending","Not taken"))))</f>
        <v/>
      </c>
      <c r="M44" s="17">
        <f>IF($B44="","",IF(OR(sysGrades!$P44&gt;0,sysSkills!$J44="Yes",sysIncidents!$J44&gt;0),"Yes","No"))</f>
        <v/>
      </c>
      <c r="N44" s="17">
        <f>IF($B44="","",IF(AND($E44="Yes",$F44="Yes",$G44="Yes",$H44="Yes",$I44="Yes",$J44="Yes",$K44="Yes",$L44="Yes",$Q44="Yes",$R44="Yes",$S44="Yes",$M44="No"),"Yes","No"))</f>
        <v/>
      </c>
      <c r="O44" s="17">
        <f>IF($B44="","",IF($N44="Yes","Eligible",TRIM(IF($E44&lt;&gt;"Yes","Academic; ","")&amp;IF($R44&lt;&gt;"Yes","Exams not all recorded; ","")&amp;IF($F44&lt;&gt;"Yes","Classroom; ","")&amp;IF($G44&lt;&gt;"Yes","PT sessions; ","")&amp;IF($H44&lt;&gt;"Yes","Skills; ","")&amp;IF($S44&lt;&gt;"Yes","Skills not all assessed; ","")&amp;IF($I44&lt;&gt;"Yes","Incidents; ","")&amp;IF($J44&lt;&gt;"Yes","Writing; ","")&amp;IF($K44&lt;&gt;"Yes","Makeup owed; ","")&amp;IF($L44="No","Final PT failed; ",IF($L44="Pending","Final PT rubric not set; ",IF($L44&lt;&gt;"Yes","Final PT not assessed; ","")))&amp;IF($Q44&lt;&gt;"Yes","Certs; ","")&amp;IF($M44="Yes","Dismissal review; ",""))))</f>
        <v/>
      </c>
      <c r="P44" s="17">
        <f>IF($B44="","",IF(PT!$AB44="Yes","Yes",IF(PT!$AB44="No","No",IF(PT!$AB44="(rubric pending)","Pending","Not taken"))))</f>
        <v/>
      </c>
      <c r="Q44" s="17">
        <f>IF($B44="","",IF(Certifications!$T44="Yes","Yes","No"))</f>
        <v/>
      </c>
      <c r="R44" s="17">
        <f>IF($B44="","",IF(AND(N(sysGrades!$E44)&gt;0,N(sysGrades!$F44)&gt;0,N(sysGrades!$G44)&gt;0,N(sysGrades!$H44)&gt;0),"Yes","No"))</f>
        <v/>
      </c>
      <c r="S44" s="17">
        <f>IF($B44="","",IF(N(sysSkills!$F44)&gt;=SUMPRODUCT((rngSM_cat&lt;&gt;"")*1),"Yes","No"))</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pending)","Pending","Not taken"))))</f>
        <v/>
      </c>
      <c r="M45" s="17">
        <f>IF($B45="","",IF(OR(sysGrades!$P45&gt;0,sysSkills!$J45="Yes",sysIncidents!$J45&gt;0),"Yes","No"))</f>
        <v/>
      </c>
      <c r="N45" s="17">
        <f>IF($B45="","",IF(AND($E45="Yes",$F45="Yes",$G45="Yes",$H45="Yes",$I45="Yes",$J45="Yes",$K45="Yes",$L45="Yes",$Q45="Yes",$R45="Yes",$S45="Yes",$M45="No"),"Yes","No"))</f>
        <v/>
      </c>
      <c r="O45" s="17">
        <f>IF($B45="","",IF($N45="Yes","Eligible",TRIM(IF($E45&lt;&gt;"Yes","Academic; ","")&amp;IF($R45&lt;&gt;"Yes","Exams not all recorded; ","")&amp;IF($F45&lt;&gt;"Yes","Classroom; ","")&amp;IF($G45&lt;&gt;"Yes","PT sessions; ","")&amp;IF($H45&lt;&gt;"Yes","Skills; ","")&amp;IF($S45&lt;&gt;"Yes","Skills not all assessed; ","")&amp;IF($I45&lt;&gt;"Yes","Incidents; ","")&amp;IF($J45&lt;&gt;"Yes","Writing; ","")&amp;IF($K45&lt;&gt;"Yes","Makeup owed; ","")&amp;IF($L45="No","Final PT failed; ",IF($L45="Pending","Final PT rubric not set; ",IF($L45&lt;&gt;"Yes","Final PT not assessed; ","")))&amp;IF($Q45&lt;&gt;"Yes","Certs; ","")&amp;IF($M45="Yes","Dismissal review; ",""))))</f>
        <v/>
      </c>
      <c r="P45" s="17">
        <f>IF($B45="","",IF(PT!$AB45="Yes","Yes",IF(PT!$AB45="No","No",IF(PT!$AB45="(rubric pending)","Pending","Not taken"))))</f>
        <v/>
      </c>
      <c r="Q45" s="17">
        <f>IF($B45="","",IF(Certifications!$T45="Yes","Yes","No"))</f>
        <v/>
      </c>
      <c r="R45" s="17">
        <f>IF($B45="","",IF(AND(N(sysGrades!$E45)&gt;0,N(sysGrades!$F45)&gt;0,N(sysGrades!$G45)&gt;0,N(sysGrades!$H45)&gt;0),"Yes","No"))</f>
        <v/>
      </c>
      <c r="S45" s="17">
        <f>IF($B45="","",IF(N(sysSkills!$F45)&gt;=SUMPRODUCT((rngSM_cat&lt;&gt;"")*1),"Yes","No"))</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pending)","Pending","Not taken"))))</f>
        <v/>
      </c>
      <c r="M46" s="17">
        <f>IF($B46="","",IF(OR(sysGrades!$P46&gt;0,sysSkills!$J46="Yes",sysIncidents!$J46&gt;0),"Yes","No"))</f>
        <v/>
      </c>
      <c r="N46" s="17">
        <f>IF($B46="","",IF(AND($E46="Yes",$F46="Yes",$G46="Yes",$H46="Yes",$I46="Yes",$J46="Yes",$K46="Yes",$L46="Yes",$Q46="Yes",$R46="Yes",$S46="Yes",$M46="No"),"Yes","No"))</f>
        <v/>
      </c>
      <c r="O46" s="17">
        <f>IF($B46="","",IF($N46="Yes","Eligible",TRIM(IF($E46&lt;&gt;"Yes","Academic; ","")&amp;IF($R46&lt;&gt;"Yes","Exams not all recorded; ","")&amp;IF($F46&lt;&gt;"Yes","Classroom; ","")&amp;IF($G46&lt;&gt;"Yes","PT sessions; ","")&amp;IF($H46&lt;&gt;"Yes","Skills; ","")&amp;IF($S46&lt;&gt;"Yes","Skills not all assessed; ","")&amp;IF($I46&lt;&gt;"Yes","Incidents; ","")&amp;IF($J46&lt;&gt;"Yes","Writing; ","")&amp;IF($K46&lt;&gt;"Yes","Makeup owed; ","")&amp;IF($L46="No","Final PT failed; ",IF($L46="Pending","Final PT rubric not set; ",IF($L46&lt;&gt;"Yes","Final PT not assessed; ","")))&amp;IF($Q46&lt;&gt;"Yes","Certs; ","")&amp;IF($M46="Yes","Dismissal review; ",""))))</f>
        <v/>
      </c>
      <c r="P46" s="17">
        <f>IF($B46="","",IF(PT!$AB46="Yes","Yes",IF(PT!$AB46="No","No",IF(PT!$AB46="(rubric pending)","Pending","Not taken"))))</f>
        <v/>
      </c>
      <c r="Q46" s="17">
        <f>IF($B46="","",IF(Certifications!$T46="Yes","Yes","No"))</f>
        <v/>
      </c>
      <c r="R46" s="17">
        <f>IF($B46="","",IF(AND(N(sysGrades!$E46)&gt;0,N(sysGrades!$F46)&gt;0,N(sysGrades!$G46)&gt;0,N(sysGrades!$H46)&gt;0),"Yes","No"))</f>
        <v/>
      </c>
      <c r="S46" s="17">
        <f>IF($B46="","",IF(N(sysSkills!$F46)&gt;=SUMPRODUCT((rngSM_cat&lt;&gt;"")*1),"Yes","No"))</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pending)","Pending","Not taken"))))</f>
        <v/>
      </c>
      <c r="M47" s="17">
        <f>IF($B47="","",IF(OR(sysGrades!$P47&gt;0,sysSkills!$J47="Yes",sysIncidents!$J47&gt;0),"Yes","No"))</f>
        <v/>
      </c>
      <c r="N47" s="17">
        <f>IF($B47="","",IF(AND($E47="Yes",$F47="Yes",$G47="Yes",$H47="Yes",$I47="Yes",$J47="Yes",$K47="Yes",$L47="Yes",$Q47="Yes",$R47="Yes",$S47="Yes",$M47="No"),"Yes","No"))</f>
        <v/>
      </c>
      <c r="O47" s="17">
        <f>IF($B47="","",IF($N47="Yes","Eligible",TRIM(IF($E47&lt;&gt;"Yes","Academic; ","")&amp;IF($R47&lt;&gt;"Yes","Exams not all recorded; ","")&amp;IF($F47&lt;&gt;"Yes","Classroom; ","")&amp;IF($G47&lt;&gt;"Yes","PT sessions; ","")&amp;IF($H47&lt;&gt;"Yes","Skills; ","")&amp;IF($S47&lt;&gt;"Yes","Skills not all assessed; ","")&amp;IF($I47&lt;&gt;"Yes","Incidents; ","")&amp;IF($J47&lt;&gt;"Yes","Writing; ","")&amp;IF($K47&lt;&gt;"Yes","Makeup owed; ","")&amp;IF($L47="No","Final PT failed; ",IF($L47="Pending","Final PT rubric not set; ",IF($L47&lt;&gt;"Yes","Final PT not assessed; ","")))&amp;IF($Q47&lt;&gt;"Yes","Certs; ","")&amp;IF($M47="Yes","Dismissal review; ",""))))</f>
        <v/>
      </c>
      <c r="P47" s="17">
        <f>IF($B47="","",IF(PT!$AB47="Yes","Yes",IF(PT!$AB47="No","No",IF(PT!$AB47="(rubric pending)","Pending","Not taken"))))</f>
        <v/>
      </c>
      <c r="Q47" s="17">
        <f>IF($B47="","",IF(Certifications!$T47="Yes","Yes","No"))</f>
        <v/>
      </c>
      <c r="R47" s="17">
        <f>IF($B47="","",IF(AND(N(sysGrades!$E47)&gt;0,N(sysGrades!$F47)&gt;0,N(sysGrades!$G47)&gt;0,N(sysGrades!$H47)&gt;0),"Yes","No"))</f>
        <v/>
      </c>
      <c r="S47" s="17">
        <f>IF($B47="","",IF(N(sysSkills!$F47)&gt;=SUMPRODUCT((rngSM_cat&lt;&gt;"")*1),"Yes","No"))</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pending)","Pending","Not taken"))))</f>
        <v/>
      </c>
      <c r="M48" s="17">
        <f>IF($B48="","",IF(OR(sysGrades!$P48&gt;0,sysSkills!$J48="Yes",sysIncidents!$J48&gt;0),"Yes","No"))</f>
        <v/>
      </c>
      <c r="N48" s="17">
        <f>IF($B48="","",IF(AND($E48="Yes",$F48="Yes",$G48="Yes",$H48="Yes",$I48="Yes",$J48="Yes",$K48="Yes",$L48="Yes",$Q48="Yes",$R48="Yes",$S48="Yes",$M48="No"),"Yes","No"))</f>
        <v/>
      </c>
      <c r="O48" s="17">
        <f>IF($B48="","",IF($N48="Yes","Eligible",TRIM(IF($E48&lt;&gt;"Yes","Academic; ","")&amp;IF($R48&lt;&gt;"Yes","Exams not all recorded; ","")&amp;IF($F48&lt;&gt;"Yes","Classroom; ","")&amp;IF($G48&lt;&gt;"Yes","PT sessions; ","")&amp;IF($H48&lt;&gt;"Yes","Skills; ","")&amp;IF($S48&lt;&gt;"Yes","Skills not all assessed; ","")&amp;IF($I48&lt;&gt;"Yes","Incidents; ","")&amp;IF($J48&lt;&gt;"Yes","Writing; ","")&amp;IF($K48&lt;&gt;"Yes","Makeup owed; ","")&amp;IF($L48="No","Final PT failed; ",IF($L48="Pending","Final PT rubric not set; ",IF($L48&lt;&gt;"Yes","Final PT not assessed; ","")))&amp;IF($Q48&lt;&gt;"Yes","Certs; ","")&amp;IF($M48="Yes","Dismissal review; ",""))))</f>
        <v/>
      </c>
      <c r="P48" s="17">
        <f>IF($B48="","",IF(PT!$AB48="Yes","Yes",IF(PT!$AB48="No","No",IF(PT!$AB48="(rubric pending)","Pending","Not taken"))))</f>
        <v/>
      </c>
      <c r="Q48" s="17">
        <f>IF($B48="","",IF(Certifications!$T48="Yes","Yes","No"))</f>
        <v/>
      </c>
      <c r="R48" s="17">
        <f>IF($B48="","",IF(AND(N(sysGrades!$E48)&gt;0,N(sysGrades!$F48)&gt;0,N(sysGrades!$G48)&gt;0,N(sysGrades!$H48)&gt;0),"Yes","No"))</f>
        <v/>
      </c>
      <c r="S48" s="17">
        <f>IF($B48="","",IF(N(sysSkills!$F48)&gt;=SUMPRODUCT((rngSM_cat&lt;&gt;"")*1),"Yes","No"))</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pending)","Pending","Not taken"))))</f>
        <v/>
      </c>
      <c r="M49" s="17">
        <f>IF($B49="","",IF(OR(sysGrades!$P49&gt;0,sysSkills!$J49="Yes",sysIncidents!$J49&gt;0),"Yes","No"))</f>
        <v/>
      </c>
      <c r="N49" s="17">
        <f>IF($B49="","",IF(AND($E49="Yes",$F49="Yes",$G49="Yes",$H49="Yes",$I49="Yes",$J49="Yes",$K49="Yes",$L49="Yes",$Q49="Yes",$R49="Yes",$S49="Yes",$M49="No"),"Yes","No"))</f>
        <v/>
      </c>
      <c r="O49" s="17">
        <f>IF($B49="","",IF($N49="Yes","Eligible",TRIM(IF($E49&lt;&gt;"Yes","Academic; ","")&amp;IF($R49&lt;&gt;"Yes","Exams not all recorded; ","")&amp;IF($F49&lt;&gt;"Yes","Classroom; ","")&amp;IF($G49&lt;&gt;"Yes","PT sessions; ","")&amp;IF($H49&lt;&gt;"Yes","Skills; ","")&amp;IF($S49&lt;&gt;"Yes","Skills not all assessed; ","")&amp;IF($I49&lt;&gt;"Yes","Incidents; ","")&amp;IF($J49&lt;&gt;"Yes","Writing; ","")&amp;IF($K49&lt;&gt;"Yes","Makeup owed; ","")&amp;IF($L49="No","Final PT failed; ",IF($L49="Pending","Final PT rubric not set; ",IF($L49&lt;&gt;"Yes","Final PT not assessed; ","")))&amp;IF($Q49&lt;&gt;"Yes","Certs; ","")&amp;IF($M49="Yes","Dismissal review; ",""))))</f>
        <v/>
      </c>
      <c r="P49" s="17">
        <f>IF($B49="","",IF(PT!$AB49="Yes","Yes",IF(PT!$AB49="No","No",IF(PT!$AB49="(rubric pending)","Pending","Not taken"))))</f>
        <v/>
      </c>
      <c r="Q49" s="17">
        <f>IF($B49="","",IF(Certifications!$T49="Yes","Yes","No"))</f>
        <v/>
      </c>
      <c r="R49" s="17">
        <f>IF($B49="","",IF(AND(N(sysGrades!$E49)&gt;0,N(sysGrades!$F49)&gt;0,N(sysGrades!$G49)&gt;0,N(sysGrades!$H49)&gt;0),"Yes","No"))</f>
        <v/>
      </c>
      <c r="S49" s="17">
        <f>IF($B49="","",IF(N(sysSkills!$F49)&gt;=SUMPRODUCT((rngSM_cat&lt;&gt;"")*1),"Yes","No"))</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pending)","Pending","Not taken"))))</f>
        <v/>
      </c>
      <c r="M50" s="17">
        <f>IF($B50="","",IF(OR(sysGrades!$P50&gt;0,sysSkills!$J50="Yes",sysIncidents!$J50&gt;0),"Yes","No"))</f>
        <v/>
      </c>
      <c r="N50" s="17">
        <f>IF($B50="","",IF(AND($E50="Yes",$F50="Yes",$G50="Yes",$H50="Yes",$I50="Yes",$J50="Yes",$K50="Yes",$L50="Yes",$Q50="Yes",$R50="Yes",$S50="Yes",$M50="No"),"Yes","No"))</f>
        <v/>
      </c>
      <c r="O50" s="17">
        <f>IF($B50="","",IF($N50="Yes","Eligible",TRIM(IF($E50&lt;&gt;"Yes","Academic; ","")&amp;IF($R50&lt;&gt;"Yes","Exams not all recorded; ","")&amp;IF($F50&lt;&gt;"Yes","Classroom; ","")&amp;IF($G50&lt;&gt;"Yes","PT sessions; ","")&amp;IF($H50&lt;&gt;"Yes","Skills; ","")&amp;IF($S50&lt;&gt;"Yes","Skills not all assessed; ","")&amp;IF($I50&lt;&gt;"Yes","Incidents; ","")&amp;IF($J50&lt;&gt;"Yes","Writing; ","")&amp;IF($K50&lt;&gt;"Yes","Makeup owed; ","")&amp;IF($L50="No","Final PT failed; ",IF($L50="Pending","Final PT rubric not set; ",IF($L50&lt;&gt;"Yes","Final PT not assessed; ","")))&amp;IF($Q50&lt;&gt;"Yes","Certs; ","")&amp;IF($M50="Yes","Dismissal review; ",""))))</f>
        <v/>
      </c>
      <c r="P50" s="17">
        <f>IF($B50="","",IF(PT!$AB50="Yes","Yes",IF(PT!$AB50="No","No",IF(PT!$AB50="(rubric pending)","Pending","Not taken"))))</f>
        <v/>
      </c>
      <c r="Q50" s="17">
        <f>IF($B50="","",IF(Certifications!$T50="Yes","Yes","No"))</f>
        <v/>
      </c>
      <c r="R50" s="17">
        <f>IF($B50="","",IF(AND(N(sysGrades!$E50)&gt;0,N(sysGrades!$F50)&gt;0,N(sysGrades!$G50)&gt;0,N(sysGrades!$H50)&gt;0),"Yes","No"))</f>
        <v/>
      </c>
      <c r="S50" s="17">
        <f>IF($B50="","",IF(N(sysSkills!$F50)&gt;=SUMPRODUCT((rngSM_cat&lt;&gt;"")*1),"Yes","No"))</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pending)","Pending","Not taken"))))</f>
        <v/>
      </c>
      <c r="M51" s="17">
        <f>IF($B51="","",IF(OR(sysGrades!$P51&gt;0,sysSkills!$J51="Yes",sysIncidents!$J51&gt;0),"Yes","No"))</f>
        <v/>
      </c>
      <c r="N51" s="17">
        <f>IF($B51="","",IF(AND($E51="Yes",$F51="Yes",$G51="Yes",$H51="Yes",$I51="Yes",$J51="Yes",$K51="Yes",$L51="Yes",$Q51="Yes",$R51="Yes",$S51="Yes",$M51="No"),"Yes","No"))</f>
        <v/>
      </c>
      <c r="O51" s="17">
        <f>IF($B51="","",IF($N51="Yes","Eligible",TRIM(IF($E51&lt;&gt;"Yes","Academic; ","")&amp;IF($R51&lt;&gt;"Yes","Exams not all recorded; ","")&amp;IF($F51&lt;&gt;"Yes","Classroom; ","")&amp;IF($G51&lt;&gt;"Yes","PT sessions; ","")&amp;IF($H51&lt;&gt;"Yes","Skills; ","")&amp;IF($S51&lt;&gt;"Yes","Skills not all assessed; ","")&amp;IF($I51&lt;&gt;"Yes","Incidents; ","")&amp;IF($J51&lt;&gt;"Yes","Writing; ","")&amp;IF($K51&lt;&gt;"Yes","Makeup owed; ","")&amp;IF($L51="No","Final PT failed; ",IF($L51="Pending","Final PT rubric not set; ",IF($L51&lt;&gt;"Yes","Final PT not assessed; ","")))&amp;IF($Q51&lt;&gt;"Yes","Certs; ","")&amp;IF($M51="Yes","Dismissal review; ",""))))</f>
        <v/>
      </c>
      <c r="P51" s="17">
        <f>IF($B51="","",IF(PT!$AB51="Yes","Yes",IF(PT!$AB51="No","No",IF(PT!$AB51="(rubric pending)","Pending","Not taken"))))</f>
        <v/>
      </c>
      <c r="Q51" s="17">
        <f>IF($B51="","",IF(Certifications!$T51="Yes","Yes","No"))</f>
        <v/>
      </c>
      <c r="R51" s="17">
        <f>IF($B51="","",IF(AND(N(sysGrades!$E51)&gt;0,N(sysGrades!$F51)&gt;0,N(sysGrades!$G51)&gt;0,N(sysGrades!$H51)&gt;0),"Yes","No"))</f>
        <v/>
      </c>
      <c r="S51" s="17">
        <f>IF($B51="","",IF(N(sysSkills!$F51)&gt;=SUMPRODUCT((rngSM_cat&lt;&gt;"")*1),"Yes","No"))</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pending)","Pending","Not taken"))))</f>
        <v/>
      </c>
      <c r="M52" s="17">
        <f>IF($B52="","",IF(OR(sysGrades!$P52&gt;0,sysSkills!$J52="Yes",sysIncidents!$J52&gt;0),"Yes","No"))</f>
        <v/>
      </c>
      <c r="N52" s="17">
        <f>IF($B52="","",IF(AND($E52="Yes",$F52="Yes",$G52="Yes",$H52="Yes",$I52="Yes",$J52="Yes",$K52="Yes",$L52="Yes",$Q52="Yes",$R52="Yes",$S52="Yes",$M52="No"),"Yes","No"))</f>
        <v/>
      </c>
      <c r="O52" s="17">
        <f>IF($B52="","",IF($N52="Yes","Eligible",TRIM(IF($E52&lt;&gt;"Yes","Academic; ","")&amp;IF($R52&lt;&gt;"Yes","Exams not all recorded; ","")&amp;IF($F52&lt;&gt;"Yes","Classroom; ","")&amp;IF($G52&lt;&gt;"Yes","PT sessions; ","")&amp;IF($H52&lt;&gt;"Yes","Skills; ","")&amp;IF($S52&lt;&gt;"Yes","Skills not all assessed; ","")&amp;IF($I52&lt;&gt;"Yes","Incidents; ","")&amp;IF($J52&lt;&gt;"Yes","Writing; ","")&amp;IF($K52&lt;&gt;"Yes","Makeup owed; ","")&amp;IF($L52="No","Final PT failed; ",IF($L52="Pending","Final PT rubric not set; ",IF($L52&lt;&gt;"Yes","Final PT not assessed; ","")))&amp;IF($Q52&lt;&gt;"Yes","Certs; ","")&amp;IF($M52="Yes","Dismissal review; ",""))))</f>
        <v/>
      </c>
      <c r="P52" s="17">
        <f>IF($B52="","",IF(PT!$AB52="Yes","Yes",IF(PT!$AB52="No","No",IF(PT!$AB52="(rubric pending)","Pending","Not taken"))))</f>
        <v/>
      </c>
      <c r="Q52" s="17">
        <f>IF($B52="","",IF(Certifications!$T52="Yes","Yes","No"))</f>
        <v/>
      </c>
      <c r="R52" s="17">
        <f>IF($B52="","",IF(AND(N(sysGrades!$E52)&gt;0,N(sysGrades!$F52)&gt;0,N(sysGrades!$G52)&gt;0,N(sysGrades!$H52)&gt;0),"Yes","No"))</f>
        <v/>
      </c>
      <c r="S52" s="17">
        <f>IF($B52="","",IF(N(sysSkills!$F52)&gt;=SUMPRODUCT((rngSM_cat&lt;&gt;"")*1),"Yes","No"))</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pending)","Pending","Not taken"))))</f>
        <v/>
      </c>
      <c r="M53" s="17">
        <f>IF($B53="","",IF(OR(sysGrades!$P53&gt;0,sysSkills!$J53="Yes",sysIncidents!$J53&gt;0),"Yes","No"))</f>
        <v/>
      </c>
      <c r="N53" s="17">
        <f>IF($B53="","",IF(AND($E53="Yes",$F53="Yes",$G53="Yes",$H53="Yes",$I53="Yes",$J53="Yes",$K53="Yes",$L53="Yes",$Q53="Yes",$R53="Yes",$S53="Yes",$M53="No"),"Yes","No"))</f>
        <v/>
      </c>
      <c r="O53" s="17">
        <f>IF($B53="","",IF($N53="Yes","Eligible",TRIM(IF($E53&lt;&gt;"Yes","Academic; ","")&amp;IF($R53&lt;&gt;"Yes","Exams not all recorded; ","")&amp;IF($F53&lt;&gt;"Yes","Classroom; ","")&amp;IF($G53&lt;&gt;"Yes","PT sessions; ","")&amp;IF($H53&lt;&gt;"Yes","Skills; ","")&amp;IF($S53&lt;&gt;"Yes","Skills not all assessed; ","")&amp;IF($I53&lt;&gt;"Yes","Incidents; ","")&amp;IF($J53&lt;&gt;"Yes","Writing; ","")&amp;IF($K53&lt;&gt;"Yes","Makeup owed; ","")&amp;IF($L53="No","Final PT failed; ",IF($L53="Pending","Final PT rubric not set; ",IF($L53&lt;&gt;"Yes","Final PT not assessed; ","")))&amp;IF($Q53&lt;&gt;"Yes","Certs; ","")&amp;IF($M53="Yes","Dismissal review; ",""))))</f>
        <v/>
      </c>
      <c r="P53" s="17">
        <f>IF($B53="","",IF(PT!$AB53="Yes","Yes",IF(PT!$AB53="No","No",IF(PT!$AB53="(rubric pending)","Pending","Not taken"))))</f>
        <v/>
      </c>
      <c r="Q53" s="17">
        <f>IF($B53="","",IF(Certifications!$T53="Yes","Yes","No"))</f>
        <v/>
      </c>
      <c r="R53" s="17">
        <f>IF($B53="","",IF(AND(N(sysGrades!$E53)&gt;0,N(sysGrades!$F53)&gt;0,N(sysGrades!$G53)&gt;0,N(sysGrades!$H53)&gt;0),"Yes","No"))</f>
        <v/>
      </c>
      <c r="S53" s="17">
        <f>IF($B53="","",IF(N(sysSkills!$F53)&gt;=SUMPRODUCT((rngSM_cat&lt;&gt;"")*1),"Yes","No"))</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pending)","Pending","Not taken"))))</f>
        <v/>
      </c>
      <c r="M54" s="17">
        <f>IF($B54="","",IF(OR(sysGrades!$P54&gt;0,sysSkills!$J54="Yes",sysIncidents!$J54&gt;0),"Yes","No"))</f>
        <v/>
      </c>
      <c r="N54" s="17">
        <f>IF($B54="","",IF(AND($E54="Yes",$F54="Yes",$G54="Yes",$H54="Yes",$I54="Yes",$J54="Yes",$K54="Yes",$L54="Yes",$Q54="Yes",$R54="Yes",$S54="Yes",$M54="No"),"Yes","No"))</f>
        <v/>
      </c>
      <c r="O54" s="17">
        <f>IF($B54="","",IF($N54="Yes","Eligible",TRIM(IF($E54&lt;&gt;"Yes","Academic; ","")&amp;IF($R54&lt;&gt;"Yes","Exams not all recorded; ","")&amp;IF($F54&lt;&gt;"Yes","Classroom; ","")&amp;IF($G54&lt;&gt;"Yes","PT sessions; ","")&amp;IF($H54&lt;&gt;"Yes","Skills; ","")&amp;IF($S54&lt;&gt;"Yes","Skills not all assessed; ","")&amp;IF($I54&lt;&gt;"Yes","Incidents; ","")&amp;IF($J54&lt;&gt;"Yes","Writing; ","")&amp;IF($K54&lt;&gt;"Yes","Makeup owed; ","")&amp;IF($L54="No","Final PT failed; ",IF($L54="Pending","Final PT rubric not set; ",IF($L54&lt;&gt;"Yes","Final PT not assessed; ","")))&amp;IF($Q54&lt;&gt;"Yes","Certs; ","")&amp;IF($M54="Yes","Dismissal review; ",""))))</f>
        <v/>
      </c>
      <c r="P54" s="17">
        <f>IF($B54="","",IF(PT!$AB54="Yes","Yes",IF(PT!$AB54="No","No",IF(PT!$AB54="(rubric pending)","Pending","Not taken"))))</f>
        <v/>
      </c>
      <c r="Q54" s="17">
        <f>IF($B54="","",IF(Certifications!$T54="Yes","Yes","No"))</f>
        <v/>
      </c>
      <c r="R54" s="17">
        <f>IF($B54="","",IF(AND(N(sysGrades!$E54)&gt;0,N(sysGrades!$F54)&gt;0,N(sysGrades!$G54)&gt;0,N(sysGrades!$H54)&gt;0),"Yes","No"))</f>
        <v/>
      </c>
      <c r="S54" s="17">
        <f>IF($B54="","",IF(N(sysSkills!$F54)&gt;=SUMPRODUCT((rngSM_cat&lt;&gt;"")*1),"Yes","No"))</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pending)","Pending","Not taken"))))</f>
        <v/>
      </c>
      <c r="M55" s="17">
        <f>IF($B55="","",IF(OR(sysGrades!$P55&gt;0,sysSkills!$J55="Yes",sysIncidents!$J55&gt;0),"Yes","No"))</f>
        <v/>
      </c>
      <c r="N55" s="17">
        <f>IF($B55="","",IF(AND($E55="Yes",$F55="Yes",$G55="Yes",$H55="Yes",$I55="Yes",$J55="Yes",$K55="Yes",$L55="Yes",$Q55="Yes",$R55="Yes",$S55="Yes",$M55="No"),"Yes","No"))</f>
        <v/>
      </c>
      <c r="O55" s="17">
        <f>IF($B55="","",IF($N55="Yes","Eligible",TRIM(IF($E55&lt;&gt;"Yes","Academic; ","")&amp;IF($R55&lt;&gt;"Yes","Exams not all recorded; ","")&amp;IF($F55&lt;&gt;"Yes","Classroom; ","")&amp;IF($G55&lt;&gt;"Yes","PT sessions; ","")&amp;IF($H55&lt;&gt;"Yes","Skills; ","")&amp;IF($S55&lt;&gt;"Yes","Skills not all assessed; ","")&amp;IF($I55&lt;&gt;"Yes","Incidents; ","")&amp;IF($J55&lt;&gt;"Yes","Writing; ","")&amp;IF($K55&lt;&gt;"Yes","Makeup owed; ","")&amp;IF($L55="No","Final PT failed; ",IF($L55="Pending","Final PT rubric not set; ",IF($L55&lt;&gt;"Yes","Final PT not assessed; ","")))&amp;IF($Q55&lt;&gt;"Yes","Certs; ","")&amp;IF($M55="Yes","Dismissal review; ",""))))</f>
        <v/>
      </c>
      <c r="P55" s="17">
        <f>IF($B55="","",IF(PT!$AB55="Yes","Yes",IF(PT!$AB55="No","No",IF(PT!$AB55="(rubric pending)","Pending","Not taken"))))</f>
        <v/>
      </c>
      <c r="Q55" s="17">
        <f>IF($B55="","",IF(Certifications!$T55="Yes","Yes","No"))</f>
        <v/>
      </c>
      <c r="R55" s="17">
        <f>IF($B55="","",IF(AND(N(sysGrades!$E55)&gt;0,N(sysGrades!$F55)&gt;0,N(sysGrades!$G55)&gt;0,N(sysGrades!$H55)&gt;0),"Yes","No"))</f>
        <v/>
      </c>
      <c r="S55" s="17">
        <f>IF($B55="","",IF(N(sysSkills!$F55)&gt;=SUMPRODUCT((rngSM_cat&lt;&gt;"")*1),"Yes","No"))</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2">
      <formula>"Yes"</formula>
    </cfRule>
    <cfRule type="cellIs" priority="2" operator="equal" dxfId="0">
      <formula>"No"</formula>
    </cfRule>
  </conditionalFormatting>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25" t="n"/>
      <c r="F6" s="29">
        <f>IF($E6&lt;&gt;"",$E6,$C6)</f>
        <v/>
      </c>
      <c r="G6" s="25" t="n"/>
    </row>
    <row r="7" ht="30" customHeight="1">
      <c r="B7" s="3" t="inlineStr">
        <is>
          <t>Physical Fitness</t>
        </is>
      </c>
      <c r="C7" s="17">
        <f>IFERROR(INDEX(rngCadetNames,MATCH(MAX(nrPT_FinalPts),nrPT_FinalPts,0)),"")</f>
        <v/>
      </c>
      <c r="D7" s="15">
        <f>"Top final PT points: "&amp;IFERROR(MAX(nrPT_FinalPts),"n/a")</f>
        <v/>
      </c>
      <c r="E7" s="25" t="n"/>
      <c r="F7" s="29">
        <f>IF($E7&lt;&gt;"",$E7,$C7)</f>
        <v/>
      </c>
      <c r="G7" s="25" t="n"/>
    </row>
    <row r="8" ht="30" customHeight="1">
      <c r="B8" s="3" t="inlineStr">
        <is>
          <t>Top Gun</t>
        </is>
      </c>
      <c r="C8" s="17">
        <f>IFERROR(INDEX(rngCadetNames,MATCH(MAX(nrSKfirearmsAvg),nrSKfirearmsAvg,0)),"")</f>
        <v/>
      </c>
      <c r="D8" s="15">
        <f>"Top firearms average: "&amp;IFERROR(ROUND(MAX(nrSKfirearmsAvg),2),"n/a")</f>
        <v/>
      </c>
      <c r="E8" s="25" t="n"/>
      <c r="F8" s="29">
        <f>IF($E8&lt;&gt;"",$E8,$C8)</f>
        <v/>
      </c>
      <c r="G8" s="25"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25" t="n"/>
      <c r="F9" s="29">
        <f>IF($E9&lt;&gt;"",$E9,$C9)</f>
        <v/>
      </c>
      <c r="G9" s="25"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H32"/>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8">
        <f>nrCHtotalDelivered</f>
        <v/>
      </c>
      <c r="D6" s="20">
        <f>cfgRequiredHours</f>
        <v/>
      </c>
      <c r="E6" s="29">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8">
        <f>SUMPRODUCT((nrCHdeliv&lt;&gt;"")*(nrCHdeliv&lt;&gt;0)*(nrCHdeliv&lt;nrCHmin))</f>
        <v/>
      </c>
      <c r="D7" s="20" t="n">
        <v>0</v>
      </c>
      <c r="E7" s="29">
        <f>IF(SUMPRODUCT((nrCHdeliv&lt;&gt;"")*(nrCHdeliv&lt;&gt;0)*(nrCHdeliv&lt;nrCHmin))=0,"OK","CHECK")</f>
        <v/>
      </c>
      <c r="F7" s="15">
        <f>"Rule 218.1(C)(4): failure to meet minimum course length = denial of training"</f>
        <v/>
      </c>
    </row>
    <row r="8">
      <c r="B8" s="3" t="inlineStr">
        <is>
          <t>Chapter training files incomplete</t>
        </is>
      </c>
      <c r="C8" s="28">
        <f>SUMPRODUCT((nrCHname&lt;&gt;"")*(nrCHfileOK="No"))</f>
        <v/>
      </c>
      <c r="D8" s="20" t="n">
        <v>0</v>
      </c>
      <c r="E8" s="29">
        <f>IF(SUMPRODUCT((nrCHname&lt;&gt;"")*(nrCHfileOK="No"))=0,"OK","CHECK")</f>
        <v/>
      </c>
      <c r="F8" s="15">
        <f>"SME lesson plan, instructor bio, sign-ins w/ PID, assessment, grade sheet, eval"</f>
        <v/>
      </c>
    </row>
    <row r="9">
      <c r="B9" s="3" t="inlineStr">
        <is>
          <t>Special TCOLE chapter requirements unmet</t>
        </is>
      </c>
      <c r="C9" s="28">
        <f>SUMPRODUCT((nrCHspecial&lt;&gt;"")*(nrCHspecialMet&lt;&gt;"Yes")*(nrCHspecialMet&lt;&gt;"N/A"))</f>
        <v/>
      </c>
      <c r="D9" s="20" t="n">
        <v>0</v>
      </c>
      <c r="E9" s="29">
        <f>IF(SUMPRODUCT((nrCHspecial&lt;&gt;"")*(nrCHspecialMet&lt;&gt;"Yes")*(nrCHspecialMet&lt;&gt;"N/A"))=0,"OK","CHECK")</f>
        <v/>
      </c>
      <c r="F9" s="15">
        <f>"TIM, SFST, ALERRT, CPR/AED, TCIC #4800, Crime Stoppers, Seven Step, canine scenarios, CIT lead, SIT 3232"</f>
        <v/>
      </c>
    </row>
    <row r="10">
      <c r="B10" s="3" t="inlineStr">
        <is>
          <t>Chapters without evals collected</t>
        </is>
      </c>
      <c r="C10" s="28">
        <f>SUMPRODUCT((nrCHname&lt;&gt;"")*(nrCHevals&lt;&gt;"On File")*(nrCHevals&lt;&gt;"N/A"))</f>
        <v/>
      </c>
      <c r="D10" s="20" t="n">
        <v>0</v>
      </c>
      <c r="E10" s="29">
        <f>IF(SUMPRODUCT((nrCHname&lt;&gt;"")*(nrCHevals&lt;&gt;"On File")*(nrCHevals&lt;&gt;"N/A"))=0,"OK","CHECK")</f>
        <v/>
      </c>
      <c r="F10" s="15">
        <f>"Course critiques per chapter (print from Print Center)"</f>
        <v/>
      </c>
    </row>
    <row r="11">
      <c r="B11" s="3" t="inlineStr">
        <is>
          <t>Program requirements unchecked (Audit sheet)</t>
        </is>
      </c>
      <c r="C11" s="28">
        <f>SUMPRODUCT((nrPRGitems&lt;&gt;"")*(nrPRGmet&lt;&gt;"Yes")*(nrPRGmet&lt;&gt;"N/A"))</f>
        <v/>
      </c>
      <c r="D11" s="20" t="n">
        <v>0</v>
      </c>
      <c r="E11" s="29">
        <f>IF(SUMPRODUCT((nrPRGitems&lt;&gt;"")*(nrPRGmet&lt;&gt;"Yes")*(nrPRGmet&lt;&gt;"N/A"))=0,"OK","CHECK")</f>
        <v/>
      </c>
      <c r="F11" s="15">
        <f>"Rule 215.9 distribution, TCLEDDS roster, 736 exact reporting, facility, assessments"</f>
        <v/>
      </c>
    </row>
    <row r="12">
      <c r="B12" s="3" t="inlineStr">
        <is>
          <t>Teaching instructors lacking documentation</t>
        </is>
      </c>
      <c r="C12" s="28">
        <f>SUMPRODUCT((nrInstrOnSched="Yes")*(nrInstrReady="No"))</f>
        <v/>
      </c>
      <c r="D12" s="20" t="n">
        <v>0</v>
      </c>
      <c r="E12" s="29">
        <f>IF(SUMPRODUCT((nrInstrOnSched="Yes")*(nrInstrReady="No"))=0,"OK","CHECK")</f>
        <v/>
      </c>
      <c r="F12" s="15">
        <f>"IRG: every instructor/co-teacher teaching an LO needs bio + TCOLE cert or SME letter"</f>
        <v/>
      </c>
    </row>
    <row r="13">
      <c r="B13" s="3" t="inlineStr">
        <is>
          <t>Schedule blocks with unrecognized instructor</t>
        </is>
      </c>
      <c r="C13" s="28">
        <f>COUNTIF(nrSCH_InstrOK,"UNRECOGNIZED")</f>
        <v/>
      </c>
      <c r="D13" s="20" t="n">
        <v>0</v>
      </c>
      <c r="E13" s="29">
        <f>IF(COUNTIF(nrSCH_InstrOK,"UNRECOGNIZED")=0,"OK","CHECK")</f>
        <v/>
      </c>
      <c r="F13" s="15">
        <f>"Instructor text matches nobody on the Instructors roster - fix spelling or add them"</f>
        <v/>
      </c>
    </row>
    <row r="14">
      <c r="B14" s="3" t="inlineStr">
        <is>
          <t>Schedule blocks with impossible times</t>
        </is>
      </c>
      <c r="C14" s="28">
        <f>SUMPRODUCT((nrSCH_TimeCheck&lt;&gt;"")*(nrSCH_TimeCheck&lt;&gt;"OK"))</f>
        <v/>
      </c>
      <c r="D14" s="20" t="n">
        <v>0</v>
      </c>
      <c r="E14" s="29">
        <f>IF(SUMPRODUCT((nrSCH_TimeCheck&lt;&gt;"")*(nrSCH_TimeCheck&lt;&gt;"OK"))=0,"OK","CHECK")</f>
        <v/>
      </c>
      <c r="F14" s="15">
        <f>"End time is at or before Start: the block's hours are wrong, which moves delivered chapter hours and the 5% attendance cap"</f>
        <v/>
      </c>
    </row>
    <row r="15">
      <c r="B15" s="3" t="inlineStr">
        <is>
          <t>Overdue / late retests (incl. unusable dates)</t>
        </is>
      </c>
      <c r="C15" s="28">
        <f>COUNTIF(nrES_RetStat,"OVERDUE")+COUNTIF(nrES_RetStat,"CHECK DATE")+COUNTIF(nrES_RetStat,"LATE RETEST*")+COUNTIF(nrES_RetStat,"RETEST UNDATED")+COUNTIF(nrES_RetStat,"RETEST DATE UNCHECKED")</f>
        <v/>
      </c>
      <c r="D15" s="20" t="n">
        <v>0</v>
      </c>
      <c r="E15" s="29">
        <f>IF(COUNTIF(nrES_RetStat,"OVERDUE")+COUNTIF(nrES_RetStat,"CHECK DATE")+COUNTIF(nrES_RetStat,"LATE RETEST*")+COUNTIF(nrES_RetStat,"RETEST UNDATED")+COUNTIF(nrES_RetStat,"RETEST DATE UNCHECKED")=0,"OK","ACT NOW")</f>
        <v/>
      </c>
      <c r="F15" s="15">
        <f>"Policy 300.5: retest within 5 class days. CHECK DATE = the exam date is missing or resolves past the last class day, so no deadline exists. LATE RETEST = the retest WAS taken, but after the 5-class-day deadline - it used to read a clean Retested and leave no trace"</f>
        <v/>
      </c>
    </row>
    <row r="16">
      <c r="B16" s="3" t="inlineStr">
        <is>
          <t>Cadets with makeup owed</t>
        </is>
      </c>
      <c r="C16" s="28">
        <f>SUMPRODUCT((nrCadetStatus="Active")*(nrATTmakeupOK="No"))</f>
        <v/>
      </c>
      <c r="D16" s="20" t="n">
        <v>0</v>
      </c>
      <c r="E16" s="29">
        <f>IF(SUMPRODUCT((nrCadetStatus="Active")*(nrATTmakeupOK="No"))=0,"OK","CHECK")</f>
        <v/>
      </c>
      <c r="F16" s="15">
        <f>"Missed classroom minutes / PT sessions not yet made up (active cadets)"</f>
        <v/>
      </c>
    </row>
    <row r="17">
      <c r="B17" s="3" t="inlineStr">
        <is>
          <t>Active cadets failing a category</t>
        </is>
      </c>
      <c r="C17" s="28">
        <f>SUMPRODUCT((nrCadetStatus="Active")*(nrGRacademic="No"))</f>
        <v/>
      </c>
      <c r="D17" s="20" t="n">
        <v>0</v>
      </c>
      <c r="E17" s="29">
        <f>IF(SUMPRODUCT((nrCadetStatus="Active")*(nrGRacademic="No"))=0,"OK","CHECK")</f>
        <v/>
      </c>
      <c r="F17" s="15">
        <f>"70 in each category (policy 300.2)"</f>
        <v/>
      </c>
    </row>
    <row r="18">
      <c r="B18" s="3" t="inlineStr">
        <is>
          <t>Spelling interventions open</t>
        </is>
      </c>
      <c r="C18" s="28">
        <f>COUNTIF(nrSpellFlag,"INTERVENTION")</f>
        <v/>
      </c>
      <c r="D18" s="20" t="n">
        <v>0</v>
      </c>
      <c r="E18" s="29">
        <f>IF(COUNTIF(nrSpellFlag,"INTERVENTION")=0,"OK","CHECK")</f>
        <v/>
      </c>
      <c r="F18" s="15">
        <f>"Document intervention on Counseling log (300.4.B)"</f>
        <v/>
      </c>
    </row>
    <row r="19">
      <c r="B19" s="3" t="inlineStr">
        <is>
          <t>Cadets missing certification copies</t>
        </is>
      </c>
      <c r="C19" s="28">
        <f>SUMPRODUCT((nrCadetStatus="Active")*(nrCERTmissing&lt;&gt;""))</f>
        <v/>
      </c>
      <c r="D19" s="20" t="n">
        <v>0</v>
      </c>
      <c r="E19" s="29">
        <f>IF(SUMPRODUCT((nrCadetStatus="Active")*(nrCERTmissing&lt;&gt;""))=0,"OK","CHECK")</f>
        <v/>
      </c>
      <c r="F19" s="15">
        <f>"TIM, SFST, TCIC, CPR/AED, ALERRT, ICS copies - see Certifications sheet"</f>
        <v/>
      </c>
    </row>
    <row r="20">
      <c r="B20" s="3" t="inlineStr">
        <is>
          <t>Firearms: both courses of fire not passed</t>
        </is>
      </c>
      <c r="C20" s="28">
        <f>SUMPRODUCT((nrCadetStatus="Active")*(nrSKbothCoF="No"))</f>
        <v/>
      </c>
      <c r="D20" s="20" t="n">
        <v>0</v>
      </c>
      <c r="E20" s="29">
        <f>IF(SUMPRODUCT((nrCadetStatus="Active")*(nrSKbothCoF="No"))=0,"OK","CHECK")</f>
        <v/>
      </c>
      <c r="F20" s="15">
        <f>"IRG requires 70%+ on BOTH firearms courses of fire (ch 41)"</f>
        <v/>
      </c>
    </row>
    <row r="21">
      <c r="B21" s="3" t="inlineStr">
        <is>
          <t>Advisory board met within last 12 months</t>
        </is>
      </c>
      <c r="C21" s="28">
        <f>IF(COUNT(nrAB_Date)=0,"none",TEXT(MAX(nrAB_Date),"mm/dd/yyyy"))</f>
        <v/>
      </c>
      <c r="D21" s="20" t="inlineStr">
        <is>
          <t>recent</t>
        </is>
      </c>
      <c r="E21" s="29">
        <f>IF(COUNT(nrAB_Date)=0,"CHECK",IF(MAX(nrAB_Date)&gt;=TODAY()-366,"OK","CHECK"))</f>
        <v/>
      </c>
      <c r="F21" s="15">
        <f>"Board meets 1-2x/year; running list + minutes folder on AdvisoryBoard sheet"</f>
        <v/>
      </c>
    </row>
    <row r="22">
      <c r="B22" s="3" t="inlineStr">
        <is>
          <t>Governance alignment done for this academy</t>
        </is>
      </c>
      <c r="C22" s="28">
        <f>cfgBoardReviewed&amp;" / "&amp;cfgRulesAligned</f>
        <v/>
      </c>
      <c r="D22" s="20" t="inlineStr">
        <is>
          <t>Yes / Yes</t>
        </is>
      </c>
      <c r="E22" s="29">
        <f>IF(AND(cfgBoardReviewed="Yes",cfgRulesAligned="Yes"),"OK","CHECK")</f>
        <v/>
      </c>
      <c r="F22" s="15">
        <f>"Board minutes reviewed + rule changes applied to this workbook (Startup Review)"</f>
        <v/>
      </c>
    </row>
    <row r="23">
      <c r="B23" s="3" t="inlineStr">
        <is>
          <t>Policy manual version recorded</t>
        </is>
      </c>
      <c r="C23" s="28">
        <f>IF(cfgPolicyVersion="","(blank)",cfgPolicyVersion)</f>
        <v/>
      </c>
      <c r="D23" s="20" t="inlineStr">
        <is>
          <t>set</t>
        </is>
      </c>
      <c r="E23" s="29">
        <f>IF(cfgPolicyVersion="","CHECK","OK")</f>
        <v/>
      </c>
      <c r="F23" s="15">
        <f>"Which policy manual this academy runs under (AdvisoryBoard sheet)"</f>
        <v/>
      </c>
    </row>
    <row r="24">
      <c r="B24" s="3" t="inlineStr">
        <is>
          <t>Log rows with unrecognized cadet name</t>
        </is>
      </c>
      <c r="C24" s="28">
        <f>COUNTIF(nrES_PID,"?")+COUNTIF(nrAT_PID,"?")+COUNTIF(nrMK_PID,"?")+COUNTIF(nrSK_PID,"?")+COUNTIF(nrIN_PID,"?")+COUNTIF(nrCO_PID,"?")+COUNTIF(nrME_PID,"?")+COUNTIF(nrMD_PID,"?")</f>
        <v/>
      </c>
      <c r="D24" s="20" t="n">
        <v>0</v>
      </c>
      <c r="E24" s="29">
        <f>IF(COUNTIF(nrES_PID,"?")+COUNTIF(nrAT_PID,"?")+COUNTIF(nrMK_PID,"?")+COUNTIF(nrSK_PID,"?")+COUNTIF(nrIN_PID,"?")+COUNTIF(nrCO_PID,"?")+COUNTIF(nrME_PID,"?")+COUNTIF(nrMD_PID,"?")=0,"OK","CHECK")</f>
        <v/>
      </c>
      <c r="F24" s="15">
        <f>"A log row's cadet name matches nobody on the Cadets roster - that cadet's scores/events are orphaned; fix the spelling"</f>
        <v/>
      </c>
    </row>
    <row r="25">
      <c r="B25" s="3" t="inlineStr">
        <is>
          <t>Duplicate cadet PID or name on the roster</t>
        </is>
      </c>
      <c r="C25" s="28">
        <f>SUMPRODUCT((rngCadetPIDs&lt;&gt;"")*(COUNTIF(rngCadetPIDs,rngCadetPIDs)&gt;1))+SUMPRODUCT((rngCadetNames&lt;&gt;"")*(COUNTIF(rngCadetNames,rngCadetNames)&gt;1))</f>
        <v/>
      </c>
      <c r="D25" s="20" t="n">
        <v>0</v>
      </c>
      <c r="E25" s="29">
        <f>IF(SUMPRODUCT((rngCadetPIDs&lt;&gt;"")*(COUNTIF(rngCadetPIDs,rngCadetPIDs)&gt;1))+SUMPRODUCT((rngCadetNames&lt;&gt;"")*(COUNTIF(rngCadetNames,rngCadetNames)&gt;1))=0,"OK","CHECK")</f>
        <v/>
      </c>
      <c r="F25" s="15">
        <f>"Two Cadets rows sharing a PID (or a name) merge both cadets' grades, attendance and gates - and swap them onto each other's transcript. The duplicate cells are highlighted red on Cadets"</f>
        <v/>
      </c>
    </row>
    <row r="26">
      <c r="B26" s="3" t="inlineStr">
        <is>
          <t>Exam rows failing Row Check</t>
        </is>
      </c>
      <c r="C26" s="28">
        <f>SUMPRODUCT((nrES_RowCheck&lt;&gt;"")*(nrES_RowCheck&lt;&gt;"OK"))</f>
        <v/>
      </c>
      <c r="D26" s="20" t="n">
        <v>0</v>
      </c>
      <c r="E26" s="29">
        <f>IF(SUMPRODUCT((nrES_RowCheck&lt;&gt;"")*(nrES_RowCheck&lt;&gt;"OK"))=0,"OK","CHECK")</f>
        <v/>
      </c>
      <c r="F26" s="15">
        <f>"ExamScores Row Check: a non-numeric or out-of-range Raw Score, a duplicate RecordID, an attempt 2 with no attempt 1 on file, or a retest row logged with no score - each silently distorts the category average or stops the 5-class-day retest clock"</f>
        <v/>
      </c>
    </row>
    <row r="27">
      <c r="B27" s="3" t="inlineStr">
        <is>
          <t>Makeup rows failing Row Check</t>
        </is>
      </c>
      <c r="C27" s="28">
        <f>SUMPRODUCT((nrMK_RowCheck&lt;&gt;"")*(nrMK_RowCheck&lt;&gt;"OK"))</f>
        <v/>
      </c>
      <c r="D27" s="20" t="n">
        <v>0</v>
      </c>
      <c r="E27" s="29">
        <f>IF(SUMPRODUCT((nrMK_RowCheck&lt;&gt;"")*(nrMK_RowCheck&lt;&gt;"OK"))=0,"OK","CHECK")</f>
        <v/>
      </c>
      <c r="F27"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28">
      <c r="B28" s="3" t="inlineStr">
        <is>
          <t>Attendance rows failing Row Check</t>
        </is>
      </c>
      <c r="C28" s="28">
        <f>SUMPRODUCT((nrAT_RowCheck&lt;&gt;"")*(nrAT_RowCheck&lt;&gt;"OK"))</f>
        <v/>
      </c>
      <c r="D28" s="20" t="n">
        <v>0</v>
      </c>
      <c r="E28" s="29">
        <f>IF(SUMPRODUCT((nrAT_RowCheck&lt;&gt;"")*(nrAT_RowCheck&lt;&gt;"OK"))=0,"OK","CHECK")</f>
        <v/>
      </c>
      <c r="F28"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29">
      <c r="B29" s="3" t="inlineStr">
        <is>
          <t>Open dismissal reviews (active cadets)</t>
        </is>
      </c>
      <c r="C29" s="28">
        <f>SUMPRODUCT((nrCadetStatus="Active")*(nrCKdismissRev="Yes"))</f>
        <v/>
      </c>
      <c r="D29" s="20" t="n">
        <v>0</v>
      </c>
      <c r="E29" s="29">
        <f>IF(SUMPRODUCT((nrCadetStatus="Active")*(nrCKdismissRev="Yes"))=0,"OK","CHECK")</f>
        <v/>
      </c>
      <c r="F29" s="15">
        <f>"Failed retest, skills failed out, or an open chain-of-command incident review. Policy 600.2.E: open a formal review on the DismissalLog, record the decision and the Assistant-Chief approval"</f>
        <v/>
      </c>
    </row>
    <row r="30">
      <c r="B30" s="3" t="inlineStr">
        <is>
          <t>Extra closure dates that are not dates</t>
        </is>
      </c>
      <c r="C30" s="28">
        <f>SUMPRODUCT((nrExtraClosureCheck&lt;&gt;"")*(LEFT(nrExtraClosureCheck,2)&lt;&gt;"OK"))</f>
        <v/>
      </c>
      <c r="D30" s="20" t="n">
        <v>0</v>
      </c>
      <c r="E30" s="29">
        <f>IF(SUMPRODUCT((nrExtraClosureCheck&lt;&gt;"")*(LEFT(nrExtraClosureCheck,2)&lt;&gt;"OK"))=0,"OK","CHECK")</f>
        <v/>
      </c>
      <c r="F30" s="15">
        <f>"Control &gt; Extra Closure Dates: a pasted text date or a label is ignored by the class-day calendar, so the academy silently runs a day long and every Day #, retest deadline, memo due date and writing date shifts"</f>
        <v/>
      </c>
    </row>
    <row r="31">
      <c r="B31" s="3" t="inlineStr">
        <is>
          <t>Spelling rows failing Row Check</t>
        </is>
      </c>
      <c r="C31" s="28">
        <f>SUMPRODUCT((nrSpellRowCheck&lt;&gt;"")*(nrSpellRowCheck&lt;&gt;"OK"))</f>
        <v/>
      </c>
      <c r="D31" s="20" t="n">
        <v>0</v>
      </c>
      <c r="E31" s="29">
        <f>IF(SUMPRODUCT((nrSpellRowCheck&lt;&gt;"")*(nrSpellRowCheck&lt;&gt;"OK"))=0,"OK","CHECK")</f>
        <v/>
      </c>
      <c r="F31" s="15">
        <f>"A spelling score that is text or outside 0-100 inflates the cadet average and can hide the policy 300.4.B intervention flag"</f>
        <v/>
      </c>
    </row>
    <row r="32">
      <c r="B32" s="3" t="inlineStr">
        <is>
          <t>Memos with an unusable due date</t>
        </is>
      </c>
      <c r="C32" s="28">
        <f>COUNTIF(nrME_Status,"CHECK DATE")</f>
        <v/>
      </c>
      <c r="D32" s="20" t="n">
        <v>0</v>
      </c>
      <c r="E32" s="29">
        <f>IF(COUNTIF(nrME_Status,"CHECK DATE")=0,"OK","CHECK")</f>
        <v/>
      </c>
      <c r="F32" s="15">
        <f>"The Assigned date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32">
    <cfRule type="expression" priority="1" dxfId="0">
      <formula>$E6&lt;&gt;"OK"</formula>
    </cfRule>
    <cfRule type="expression" priority="2" dxfId="2">
      <formula>$E6="OK"</formula>
    </cfRule>
  </conditionalFormatting>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D89"/>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row>
    <row r="6">
      <c r="B6">
        <f>IF(ChapterMaster!D6="","",ChapterMaster!D6)</f>
        <v/>
      </c>
      <c r="D6">
        <f>IFERROR(_xlfn.LET(_xlpm.ids,_xlfn.TOCOL(_xlfn.VSTACK(Incidents!$B$6:$B$405,Attendance!$B$6:$B$805,Counseling!$B$6:$B$405),1),_xlfn._xlws.FILTER(_xlpm.ids,_xlpm.ids&lt;&gt;"")),"")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0.xml><?xml version="1.0" encoding="utf-8"?>
<worksheet xmlns="http://schemas.openxmlformats.org/spreadsheetml/2006/main">
  <sheetPr>
    <tabColor rgb="001E7145"/>
    <outlinePr summaryBelow="1" summaryRight="1"/>
    <pageSetUpPr/>
  </sheetPr>
  <dimension ref="A1:C298"/>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'Settings'!$C$23</t>
        </is>
      </c>
    </row>
    <row r="9">
      <c r="B9" s="14" t="inlineStr">
        <is>
          <t>cfgAttendanceCriticalPct</t>
        </is>
      </c>
      <c r="C9" s="2" t="inlineStr">
        <is>
          <t>'Settings'!$C$24</t>
        </is>
      </c>
    </row>
    <row r="10">
      <c r="B10" s="14" t="inlineStr">
        <is>
          <t>cfgBoardReviewed</t>
        </is>
      </c>
      <c r="C10" s="2" t="inlineStr">
        <is>
          <t>'AdvisoryBoard'!$D$7</t>
        </is>
      </c>
    </row>
    <row r="11">
      <c r="B11" s="14" t="inlineStr">
        <is>
          <t>cfgClassroomCapMinutes</t>
        </is>
      </c>
      <c r="C11" s="2" t="inlineStr">
        <is>
          <t>'Settings'!$C$36</t>
        </is>
      </c>
    </row>
    <row r="12">
      <c r="B12" s="14" t="inlineStr">
        <is>
          <t>cfgClassroomCapPct</t>
        </is>
      </c>
      <c r="C12" s="2" t="inlineStr">
        <is>
          <t>'Settings'!$C$21</t>
        </is>
      </c>
    </row>
    <row r="13">
      <c r="B13" s="14" t="inlineStr">
        <is>
          <t>cfgCurrentExamNum</t>
        </is>
      </c>
      <c r="C13" s="2" t="inlineStr">
        <is>
          <t>'Settings'!$C$26</t>
        </is>
      </c>
    </row>
    <row r="14">
      <c r="B14" s="14" t="inlineStr">
        <is>
          <t>cfgCurrentSpellingNum</t>
        </is>
      </c>
      <c r="C14" s="2" t="inlineStr">
        <is>
          <t>'Settings'!$C$27</t>
        </is>
      </c>
    </row>
    <row r="15">
      <c r="B15" s="14" t="inlineStr">
        <is>
          <t>cfgEndDate</t>
        </is>
      </c>
      <c r="C15" s="2" t="inlineStr">
        <is>
          <t>'Settings'!$C$8</t>
        </is>
      </c>
    </row>
    <row r="16">
      <c r="B16" s="14" t="inlineStr">
        <is>
          <t>cfgEvalChapter</t>
        </is>
      </c>
      <c r="C16" s="2" t="inlineStr">
        <is>
          <t>'EvalSheet'!$C$5</t>
        </is>
      </c>
    </row>
    <row r="17">
      <c r="B17" s="14" t="inlineStr">
        <is>
          <t>cfgFlagAttendancePct</t>
        </is>
      </c>
      <c r="C17" s="2" t="inlineStr">
        <is>
          <t>'Settings'!$C$33</t>
        </is>
      </c>
    </row>
    <row r="18">
      <c r="B18" s="14" t="inlineStr">
        <is>
          <t>cfgFlagCategoryMargin</t>
        </is>
      </c>
      <c r="C18" s="2" t="inlineStr">
        <is>
          <t>'Settings'!$C$32</t>
        </is>
      </c>
    </row>
    <row r="19">
      <c r="B19" s="14" t="inlineStr">
        <is>
          <t>cfgFlagConsecFails</t>
        </is>
      </c>
      <c r="C19" s="2" t="inlineStr">
        <is>
          <t>'Settings'!$C$30</t>
        </is>
      </c>
    </row>
    <row r="20">
      <c r="B20" s="14" t="inlineStr">
        <is>
          <t>cfgFlagGradeDrop</t>
        </is>
      </c>
      <c r="C20" s="2" t="inlineStr">
        <is>
          <t>'Settings'!$C$31</t>
        </is>
      </c>
    </row>
    <row r="21">
      <c r="B21" s="14" t="inlineStr">
        <is>
          <t>cfgFlagOpenIncidents</t>
        </is>
      </c>
      <c r="C21" s="2" t="inlineStr">
        <is>
          <t>'Settings'!$C$34</t>
        </is>
      </c>
    </row>
    <row r="22">
      <c r="B22" s="14" t="inlineStr">
        <is>
          <t>cfgFlagOverdueWriting</t>
        </is>
      </c>
      <c r="C22" s="2" t="inlineStr">
        <is>
          <t>'Settings'!$C$35</t>
        </is>
      </c>
    </row>
    <row r="23">
      <c r="B23" s="14" t="inlineStr">
        <is>
          <t>cfgGradeSheetExam</t>
        </is>
      </c>
      <c r="C23" s="2" t="inlineStr">
        <is>
          <t>'ExamSheet'!$C$5</t>
        </is>
      </c>
    </row>
    <row r="24">
      <c r="B24" s="14" t="inlineStr">
        <is>
          <t>cfgHandoutWeek</t>
        </is>
      </c>
      <c r="C24" s="2" t="inlineStr">
        <is>
          <t>'WritingHandout'!$C$5</t>
        </is>
      </c>
    </row>
    <row r="25">
      <c r="B25" s="14" t="inlineStr">
        <is>
          <t>cfgHomeAgency</t>
        </is>
      </c>
      <c r="C25" s="2" t="inlineStr">
        <is>
          <t>'Settings'!$C$25</t>
        </is>
      </c>
    </row>
    <row r="26">
      <c r="B26" s="14" t="inlineStr">
        <is>
          <t>cfgMemoDueClassDays</t>
        </is>
      </c>
      <c r="C26" s="2" t="inlineStr">
        <is>
          <t>'Settings'!$C$15</t>
        </is>
      </c>
    </row>
    <row r="27">
      <c r="B27" s="14" t="inlineStr">
        <is>
          <t>cfgPTCapSessions</t>
        </is>
      </c>
      <c r="C27" s="2" t="inlineStr">
        <is>
          <t>'Settings'!$C$22</t>
        </is>
      </c>
    </row>
    <row r="28">
      <c r="B28" s="14" t="inlineStr">
        <is>
          <t>cfgPTFinalMinPoints</t>
        </is>
      </c>
      <c r="C28" s="2" t="inlineStr">
        <is>
          <t>'Settings'!$C$29</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'Settings'!$C$28</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'Lists'!$V$6:$V$9</t>
        </is>
      </c>
    </row>
    <row r="57">
      <c r="B57" s="14" t="inlineStr">
        <is>
          <t>lstCadetStatus</t>
        </is>
      </c>
      <c r="C57" s="2" t="inlineStr">
        <is>
          <t>'Lists'!$C$6:$C$9</t>
        </is>
      </c>
    </row>
    <row r="58">
      <c r="B58" s="14" t="inlineStr">
        <is>
          <t>lstCounselingType</t>
        </is>
      </c>
      <c r="C58" s="2" t="inlineStr">
        <is>
          <t>'Lists'!$S$6:$S$13</t>
        </is>
      </c>
    </row>
    <row r="59">
      <c r="B59" s="14" t="inlineStr">
        <is>
          <t>lstDocumentation</t>
        </is>
      </c>
      <c r="C59" s="2" t="inlineStr">
        <is>
          <t>'Lists'!$G$6:$G$8</t>
        </is>
      </c>
    </row>
    <row r="60">
      <c r="B60" s="14" t="inlineStr">
        <is>
          <t>lstExamType</t>
        </is>
      </c>
      <c r="C60" s="2" t="inlineStr">
        <is>
          <t>'Lists'!$D$6:$D$9</t>
        </is>
      </c>
    </row>
    <row r="61">
      <c r="B61" s="14" t="inlineStr">
        <is>
          <t>lstExcused</t>
        </is>
      </c>
      <c r="C61" s="2" t="inlineStr">
        <is>
          <t>'Lists'!$H$6:$H$7</t>
        </is>
      </c>
    </row>
    <row r="62">
      <c r="B62" s="14" t="inlineStr">
        <is>
          <t>lstIncidentDirection</t>
        </is>
      </c>
      <c r="C62" s="2" t="inlineStr">
        <is>
          <t>'Lists'!$L$6:$L$8</t>
        </is>
      </c>
    </row>
    <row r="63">
      <c r="B63" s="14" t="inlineStr">
        <is>
          <t>lstInstructorType</t>
        </is>
      </c>
      <c r="C63" s="2" t="inlineStr">
        <is>
          <t>'Lists'!$W$6:$W$9</t>
        </is>
      </c>
    </row>
    <row r="64">
      <c r="B64" s="14" t="inlineStr">
        <is>
          <t>lstIssuetype</t>
        </is>
      </c>
      <c r="C64" s="2" t="inlineStr">
        <is>
          <t>'Lists'!$R$6:$R$12</t>
        </is>
      </c>
    </row>
    <row r="65">
      <c r="B65" s="14" t="inlineStr">
        <is>
          <t>lstMakeupType</t>
        </is>
      </c>
      <c r="C65" s="2" t="inlineStr">
        <is>
          <t>'Lists'!$I$6:$I$7</t>
        </is>
      </c>
    </row>
    <row r="66">
      <c r="B66" s="14" t="inlineStr">
        <is>
          <t>lstMaterialsStatus</t>
        </is>
      </c>
      <c r="C66" s="2" t="inlineStr">
        <is>
          <t>'Lists'!$X$6:$X$9</t>
        </is>
      </c>
    </row>
    <row r="67">
      <c r="B67" s="14" t="inlineStr">
        <is>
          <t>lstMedicalStatus</t>
        </is>
      </c>
      <c r="C67" s="2" t="inlineStr">
        <is>
          <t>'Lists'!$T$6:$T$9</t>
        </is>
      </c>
    </row>
    <row r="68">
      <c r="B68" s="14" t="inlineStr">
        <is>
          <t>lstPtSession</t>
        </is>
      </c>
      <c r="C68" s="2" t="inlineStr">
        <is>
          <t>'Lists'!$U$6:$U$8</t>
        </is>
      </c>
    </row>
    <row r="69">
      <c r="B69" s="14" t="inlineStr">
        <is>
          <t>lstReason</t>
        </is>
      </c>
      <c r="C69" s="2" t="inlineStr">
        <is>
          <t>'Lists'!$F$6:$F$12</t>
        </is>
      </c>
    </row>
    <row r="70">
      <c r="B70" s="14" t="inlineStr">
        <is>
          <t>lstRequirementSource</t>
        </is>
      </c>
      <c r="C70" s="2" t="inlineStr">
        <is>
          <t>'Lists'!$Y$6:$Y$7</t>
        </is>
      </c>
    </row>
    <row r="71">
      <c r="B71" s="14" t="inlineStr">
        <is>
          <t>lstResolution</t>
        </is>
      </c>
      <c r="C71" s="2" t="inlineStr">
        <is>
          <t>'Lists'!$N$6:$N$9</t>
        </is>
      </c>
    </row>
    <row r="72">
      <c r="B72" s="14" t="inlineStr">
        <is>
          <t>lstReviewOutcome</t>
        </is>
      </c>
      <c r="C72" s="2" t="inlineStr">
        <is>
          <t>'Lists'!$AA$6:$AA$9</t>
        </is>
      </c>
    </row>
    <row r="73">
      <c r="B73" s="14" t="inlineStr">
        <is>
          <t>lstReviewType</t>
        </is>
      </c>
      <c r="C73" s="2" t="inlineStr">
        <is>
          <t>'Lists'!$Z$6:$Z$8</t>
        </is>
      </c>
    </row>
    <row r="74">
      <c r="B74" s="14" t="inlineStr">
        <is>
          <t>lstScoringMode</t>
        </is>
      </c>
      <c r="C74" s="2" t="inlineStr">
        <is>
          <t>'Lists'!$J$6:$J$7</t>
        </is>
      </c>
    </row>
    <row r="75">
      <c r="B75" s="14" t="inlineStr">
        <is>
          <t>lstSeverity</t>
        </is>
      </c>
      <c r="C75" s="2" t="inlineStr">
        <is>
          <t>'Lists'!$M$6:$M$10</t>
        </is>
      </c>
    </row>
    <row r="76">
      <c r="B76" s="14" t="inlineStr">
        <is>
          <t>lstSkillResult</t>
        </is>
      </c>
      <c r="C76" s="2" t="inlineStr">
        <is>
          <t>'Lists'!$K$6:$K$8</t>
        </is>
      </c>
    </row>
    <row r="77">
      <c r="B77" s="14" t="inlineStr">
        <is>
          <t>lstSubmission</t>
        </is>
      </c>
      <c r="C77" s="2" t="inlineStr">
        <is>
          <t>'Lists'!$P$6:$P$9</t>
        </is>
      </c>
    </row>
    <row r="78">
      <c r="B78" s="14" t="inlineStr">
        <is>
          <t>lstYesNo</t>
        </is>
      </c>
      <c r="C78" s="2" t="inlineStr">
        <is>
          <t>'Lists'!$B$6:$B$7</t>
        </is>
      </c>
    </row>
    <row r="79">
      <c r="B79" s="14" t="inlineStr">
        <is>
          <t>nrAB_Changes</t>
        </is>
      </c>
      <c r="C79" s="2" t="inlineStr">
        <is>
          <t>'AdvisoryBoard'!$E$12:$E$41</t>
        </is>
      </c>
    </row>
    <row r="80">
      <c r="B80" s="14" t="inlineStr">
        <is>
          <t>nrAB_Date</t>
        </is>
      </c>
      <c r="C80" s="2" t="inlineStr">
        <is>
          <t>'AdvisoryBoard'!$B$12:$B$41</t>
        </is>
      </c>
    </row>
    <row r="81">
      <c r="B81" s="14" t="inlineStr">
        <is>
          <t>nrATTclElig</t>
        </is>
      </c>
      <c r="C81" s="2" t="inlineStr">
        <is>
          <t>'sysAttendance'!$K$6:$K$55</t>
        </is>
      </c>
    </row>
    <row r="82">
      <c r="B82" s="14" t="inlineStr">
        <is>
          <t>nrATTclOwed</t>
        </is>
      </c>
      <c r="C82" s="2" t="inlineStr">
        <is>
          <t>'sysAttendance'!$L$6:$L$55</t>
        </is>
      </c>
    </row>
    <row r="83">
      <c r="B83" s="14" t="inlineStr">
        <is>
          <t>nrATTclPct</t>
        </is>
      </c>
      <c r="C83" s="2" t="inlineStr">
        <is>
          <t>'sysAttendance'!$I$6:$I$55</t>
        </is>
      </c>
    </row>
    <row r="84">
      <c r="B84" s="14" t="inlineStr">
        <is>
          <t>nrATTclTier</t>
        </is>
      </c>
      <c r="C84" s="2" t="inlineStr">
        <is>
          <t>'sysAttendance'!$J$6:$J$55</t>
        </is>
      </c>
    </row>
    <row r="85">
      <c r="B85" s="14" t="inlineStr">
        <is>
          <t>nrATTmakeupOK</t>
        </is>
      </c>
      <c r="C85" s="2" t="inlineStr">
        <is>
          <t>'sysAttendance'!$T$6:$T$55</t>
        </is>
      </c>
    </row>
    <row r="86">
      <c r="B86" s="14" t="inlineStr">
        <is>
          <t>nrATTptElig</t>
        </is>
      </c>
      <c r="C86" s="2" t="inlineStr">
        <is>
          <t>'sysAttendance'!$S$6:$S$55</t>
        </is>
      </c>
    </row>
    <row r="87">
      <c r="B87" s="14" t="inlineStr">
        <is>
          <t>nrATTptPct</t>
        </is>
      </c>
      <c r="C87" s="2" t="inlineStr">
        <is>
          <t>'sysAttendance'!$Q$6:$Q$55</t>
        </is>
      </c>
    </row>
    <row r="88">
      <c r="B88" s="14" t="inlineStr">
        <is>
          <t>nrATTptTier</t>
        </is>
      </c>
      <c r="C88" s="2" t="inlineStr">
        <is>
          <t>'sysAttendance'!$R$6:$R$55</t>
        </is>
      </c>
    </row>
    <row r="89">
      <c r="B89" s="14" t="inlineStr">
        <is>
          <t>nrAT_Balance</t>
        </is>
      </c>
      <c r="C89" s="2" t="inlineStr">
        <is>
          <t>'Attendance'!$R$6:$R$805</t>
        </is>
      </c>
    </row>
    <row r="90">
      <c r="B90" s="14" t="inlineStr">
        <is>
          <t>nrAT_Cleared</t>
        </is>
      </c>
      <c r="C90" s="2" t="inlineStr">
        <is>
          <t>'Attendance'!$S$6:$S$805</t>
        </is>
      </c>
    </row>
    <row r="91">
      <c r="B91" s="14" t="inlineStr">
        <is>
          <t>nrAT_Counts</t>
        </is>
      </c>
      <c r="C91" s="2" t="inlineStr">
        <is>
          <t>'Attendance'!$N$6:$N$805</t>
        </is>
      </c>
    </row>
    <row r="92">
      <c r="B92" s="14" t="inlineStr">
        <is>
          <t>nrAT_Date</t>
        </is>
      </c>
      <c r="C92" s="2" t="inlineStr">
        <is>
          <t>'Attendance'!$C$6:$C$805</t>
        </is>
      </c>
    </row>
    <row r="93">
      <c r="B93" s="14" t="inlineStr">
        <is>
          <t>nrAT_Excused</t>
        </is>
      </c>
      <c r="C93" s="2" t="inlineStr">
        <is>
          <t>'Attendance'!$M$6:$M$805</t>
        </is>
      </c>
    </row>
    <row r="94">
      <c r="B94" s="14" t="inlineStr">
        <is>
          <t>nrAT_ID</t>
        </is>
      </c>
      <c r="C94" s="2" t="inlineStr">
        <is>
          <t>'Attendance'!$B$6:$B$805</t>
        </is>
      </c>
    </row>
    <row r="95">
      <c r="B95" s="14" t="inlineStr">
        <is>
          <t>nrAT_IsPT</t>
        </is>
      </c>
      <c r="C95" s="2" t="inlineStr">
        <is>
          <t>'Attendance'!$K$6:$K$805</t>
        </is>
      </c>
    </row>
    <row r="96">
      <c r="B96" s="14" t="inlineStr">
        <is>
          <t>nrAT_MadeUpMin</t>
        </is>
      </c>
      <c r="C96" s="2" t="inlineStr">
        <is>
          <t>'Attendance'!$P$6:$P$805</t>
        </is>
      </c>
    </row>
    <row r="97">
      <c r="B97" s="14" t="inlineStr">
        <is>
          <t>nrAT_MadeUpSess</t>
        </is>
      </c>
      <c r="C97" s="2" t="inlineStr">
        <is>
          <t>'Attendance'!$Q$6:$Q$805</t>
        </is>
      </c>
    </row>
    <row r="98">
      <c r="B98" s="14" t="inlineStr">
        <is>
          <t>nrAT_Min</t>
        </is>
      </c>
      <c r="C98" s="2" t="inlineStr">
        <is>
          <t>'Attendance'!$I$6:$I$805</t>
        </is>
      </c>
    </row>
    <row r="99">
      <c r="B99" s="14" t="inlineStr">
        <is>
          <t>nrAT_PID</t>
        </is>
      </c>
      <c r="C99" s="2" t="inlineStr">
        <is>
          <t>'Attendance'!$E$6:$E$805</t>
        </is>
      </c>
    </row>
    <row r="100">
      <c r="B100" s="14" t="inlineStr">
        <is>
          <t>nrAT_RowCheck</t>
        </is>
      </c>
      <c r="C100" s="2" t="inlineStr">
        <is>
          <t>'Attendance'!$T$6:$T$805</t>
        </is>
      </c>
    </row>
    <row r="101">
      <c r="B101" s="14" t="inlineStr">
        <is>
          <t>nrAT_Sess</t>
        </is>
      </c>
      <c r="C101" s="2" t="inlineStr">
        <is>
          <t>'Attendance'!$J$6:$J$805</t>
        </is>
      </c>
    </row>
    <row r="102">
      <c r="B102" s="14" t="inlineStr">
        <is>
          <t>nrAT_Type</t>
        </is>
      </c>
      <c r="C102" s="2" t="inlineStr">
        <is>
          <t>'Attendance'!$G$6:$G$805</t>
        </is>
      </c>
    </row>
    <row r="103">
      <c r="B103" s="14" t="inlineStr">
        <is>
          <t>nrAUDcheck</t>
        </is>
      </c>
      <c r="C103" s="2" t="inlineStr">
        <is>
          <t>'sysAudit'!$B$6:$B$32</t>
        </is>
      </c>
    </row>
    <row r="104">
      <c r="B104" s="14" t="inlineStr">
        <is>
          <t>nrAUDstatus</t>
        </is>
      </c>
      <c r="C104" s="2" t="inlineStr">
        <is>
          <t>'sysAudit'!$E$6:$E$32</t>
        </is>
      </c>
    </row>
    <row r="105">
      <c r="B105" s="14" t="inlineStr">
        <is>
          <t>nrAWfinal</t>
        </is>
      </c>
      <c r="C105" s="2" t="inlineStr">
        <is>
          <t>'sysAwards'!$F$6:$F$9</t>
        </is>
      </c>
    </row>
    <row r="106">
      <c r="B106" s="14" t="inlineStr">
        <is>
          <t>nrAWnames</t>
        </is>
      </c>
      <c r="C106" s="2" t="inlineStr">
        <is>
          <t>'sysAwards'!$B$6:$B$9</t>
        </is>
      </c>
    </row>
    <row r="107">
      <c r="B107" s="14" t="inlineStr">
        <is>
          <t>nrAgencyLastEmail</t>
        </is>
      </c>
      <c r="C107" s="2" t="inlineStr">
        <is>
          <t>'Agencies'!$I$6:$I$50</t>
        </is>
      </c>
    </row>
    <row r="108">
      <c r="B108" s="14" t="inlineStr">
        <is>
          <t>nrAllClosures</t>
        </is>
      </c>
      <c r="C108" s="2" t="inlineStr">
        <is>
          <t>'Control'!$M$6:$M$42</t>
        </is>
      </c>
    </row>
    <row r="109">
      <c r="B109" s="14" t="inlineStr">
        <is>
          <t>nrAllRefIDs</t>
        </is>
      </c>
      <c r="C109" s="2" t="inlineStr">
        <is>
          <t>'sysListsHelper'!$D$6:$D$1621</t>
        </is>
      </c>
    </row>
    <row r="110">
      <c r="B110" s="14" t="inlineStr">
        <is>
          <t>nrBankGrid</t>
        </is>
      </c>
      <c r="C110" s="2" t="inlineStr">
        <is>
          <t>'InstructorBanks'!$C$6:$L$80</t>
        </is>
      </c>
    </row>
    <row r="111">
      <c r="B111" s="14" t="inlineStr">
        <is>
          <t>nrBankSel</t>
        </is>
      </c>
      <c r="C111" s="2" t="inlineStr">
        <is>
          <t>'InstructorBanks'!$M$6:$V$80</t>
        </is>
      </c>
    </row>
    <row r="112">
      <c r="B112" s="14" t="inlineStr">
        <is>
          <t>nrBankTopics</t>
        </is>
      </c>
      <c r="C112" s="2" t="inlineStr">
        <is>
          <t>'InstructorBanks'!$B$6:$B$80</t>
        </is>
      </c>
    </row>
    <row r="113">
      <c r="B113" s="14" t="inlineStr">
        <is>
          <t>nrCDdate</t>
        </is>
      </c>
      <c r="C113" s="2" t="inlineStr">
        <is>
          <t>'Control'!$I$6:$I$175</t>
        </is>
      </c>
    </row>
    <row r="114">
      <c r="B114" s="14" t="inlineStr">
        <is>
          <t>nrCDinsession</t>
        </is>
      </c>
      <c r="C114" s="2" t="inlineStr">
        <is>
          <t>'Control'!$K$6:$K$175</t>
        </is>
      </c>
    </row>
    <row r="115">
      <c r="B115" s="14" t="inlineStr">
        <is>
          <t>nrCDnum</t>
        </is>
      </c>
      <c r="C115" s="2" t="inlineStr">
        <is>
          <t>'Control'!$H$6:$H$175</t>
        </is>
      </c>
    </row>
    <row r="116">
      <c r="B116" s="14" t="inlineStr">
        <is>
          <t>nrCDweek</t>
        </is>
      </c>
      <c r="C116" s="2" t="inlineStr">
        <is>
          <t>'Control'!$J$6:$J$175</t>
        </is>
      </c>
    </row>
    <row r="117">
      <c r="B117" s="14" t="inlineStr">
        <is>
          <t>nrCERTall</t>
        </is>
      </c>
      <c r="C117" s="2" t="inlineStr">
        <is>
          <t>'Certifications'!$T$6:$T$55</t>
        </is>
      </c>
    </row>
    <row r="118">
      <c r="B118" s="14" t="inlineStr">
        <is>
          <t>nrCERTmissing</t>
        </is>
      </c>
      <c r="C118" s="2" t="inlineStr">
        <is>
          <t>'Certifications'!$U$6:$U$55</t>
        </is>
      </c>
    </row>
    <row r="119">
      <c r="B119" s="14" t="inlineStr">
        <is>
          <t>nrCHassess</t>
        </is>
      </c>
      <c r="C119" s="2" t="inlineStr">
        <is>
          <t>'ChapterMaster'!$O$6:$O$49</t>
        </is>
      </c>
    </row>
    <row r="120">
      <c r="B120" s="14" t="inlineStr">
        <is>
          <t>nrCHbio</t>
        </is>
      </c>
      <c r="C120" s="2" t="inlineStr">
        <is>
          <t>'ChapterMaster'!$M$6:$M$49</t>
        </is>
      </c>
    </row>
    <row r="121">
      <c r="B121" s="14" t="inlineStr">
        <is>
          <t>nrCHdeliv</t>
        </is>
      </c>
      <c r="C121" s="2" t="inlineStr">
        <is>
          <t>'ChapterMaster'!$G$6:$G$49</t>
        </is>
      </c>
    </row>
    <row r="122">
      <c r="B122" s="14" t="inlineStr">
        <is>
          <t>nrCHevals</t>
        </is>
      </c>
      <c r="C122" s="2" t="inlineStr">
        <is>
          <t>'ChapterMaster'!$Q$6:$Q$49</t>
        </is>
      </c>
    </row>
    <row r="123">
      <c r="B123" s="14" t="inlineStr">
        <is>
          <t>nrCHfileOK</t>
        </is>
      </c>
      <c r="C123" s="2" t="inlineStr">
        <is>
          <t>'ChapterMaster'!$U$6:$U$49</t>
        </is>
      </c>
    </row>
    <row r="124">
      <c r="B124" s="14" t="inlineStr">
        <is>
          <t>nrCHfirst</t>
        </is>
      </c>
      <c r="C124" s="2" t="inlineStr">
        <is>
          <t>'ChapterMaster'!$I$6:$I$49</t>
        </is>
      </c>
    </row>
    <row r="125">
      <c r="B125" s="14" t="inlineStr">
        <is>
          <t>nrCHgrade</t>
        </is>
      </c>
      <c r="C125" s="2" t="inlineStr">
        <is>
          <t>'ChapterMaster'!$P$6:$P$49</t>
        </is>
      </c>
    </row>
    <row r="126">
      <c r="B126" s="14" t="inlineStr">
        <is>
          <t>nrCHhandoutOpt</t>
        </is>
      </c>
      <c r="C126" s="2" t="inlineStr">
        <is>
          <t>'ChapterMaster'!$R$6:$R$49</t>
        </is>
      </c>
    </row>
    <row r="127">
      <c r="B127" s="14" t="inlineStr">
        <is>
          <t>nrCHinstr</t>
        </is>
      </c>
      <c r="C127" s="2" t="inlineStr">
        <is>
          <t>'ChapterMaster'!$K$6:$K$49</t>
        </is>
      </c>
    </row>
    <row r="128">
      <c r="B128" s="14" t="inlineStr">
        <is>
          <t>nrCHlesson</t>
        </is>
      </c>
      <c r="C128" s="2" t="inlineStr">
        <is>
          <t>'ChapterMaster'!$L$6:$L$49</t>
        </is>
      </c>
    </row>
    <row r="129">
      <c r="B129" s="14" t="inlineStr">
        <is>
          <t>nrCHmin</t>
        </is>
      </c>
      <c r="C129" s="2" t="inlineStr">
        <is>
          <t>'ChapterMaster'!$E$6:$E$49</t>
        </is>
      </c>
    </row>
    <row r="130">
      <c r="B130" s="14" t="inlineStr">
        <is>
          <t>nrCHmod</t>
        </is>
      </c>
      <c r="C130" s="2" t="inlineStr">
        <is>
          <t>'ChapterMaster'!$B$6:$B$49</t>
        </is>
      </c>
    </row>
    <row r="131">
      <c r="B131" s="14" t="inlineStr">
        <is>
          <t>nrCHname</t>
        </is>
      </c>
      <c r="C131" s="2" t="inlineStr">
        <is>
          <t>'ChapterMaster'!$D$6:$D$49</t>
        </is>
      </c>
    </row>
    <row r="132">
      <c r="B132" s="14" t="inlineStr">
        <is>
          <t>nrCHnum</t>
        </is>
      </c>
      <c r="C132" s="2" t="inlineStr">
        <is>
          <t>'ChapterMaster'!$C$6:$C$49</t>
        </is>
      </c>
    </row>
    <row r="133">
      <c r="B133" s="14" t="inlineStr">
        <is>
          <t>nrCHplan</t>
        </is>
      </c>
      <c r="C133" s="2" t="inlineStr">
        <is>
          <t>'ChapterMaster'!$F$6:$F$49</t>
        </is>
      </c>
    </row>
    <row r="134">
      <c r="B134" s="14" t="inlineStr">
        <is>
          <t>nrCHsignin</t>
        </is>
      </c>
      <c r="C134" s="2" t="inlineStr">
        <is>
          <t>'ChapterMaster'!$N$6:$N$49</t>
        </is>
      </c>
    </row>
    <row r="135">
      <c r="B135" s="14" t="inlineStr">
        <is>
          <t>nrCHspecial</t>
        </is>
      </c>
      <c r="C135" s="2" t="inlineStr">
        <is>
          <t>'ChapterMaster'!$S$6:$S$49</t>
        </is>
      </c>
    </row>
    <row r="136">
      <c r="B136" s="14" t="inlineStr">
        <is>
          <t>nrCHspecialMet</t>
        </is>
      </c>
      <c r="C136" s="2" t="inlineStr">
        <is>
          <t>'ChapterMaster'!$T$6:$T$49</t>
        </is>
      </c>
    </row>
    <row r="137">
      <c r="B137" s="14" t="inlineStr">
        <is>
          <t>nrCHtotalDelivered</t>
        </is>
      </c>
      <c r="C137" s="2" t="inlineStr">
        <is>
          <t>'ChapterMaster'!$G$51</t>
        </is>
      </c>
    </row>
    <row r="138">
      <c r="B138" s="14" t="inlineStr">
        <is>
          <t>nrCKblocking</t>
        </is>
      </c>
      <c r="C138" s="2" t="inlineStr">
        <is>
          <t>'sysChecks'!$O$6:$O$55</t>
        </is>
      </c>
    </row>
    <row r="139">
      <c r="B139" s="14" t="inlineStr">
        <is>
          <t>nrCKdismissRev</t>
        </is>
      </c>
      <c r="C139" s="2" t="inlineStr">
        <is>
          <t>'sysChecks'!$M$6:$M$55</t>
        </is>
      </c>
    </row>
    <row r="140">
      <c r="B140" s="14" t="inlineStr">
        <is>
          <t>nrCKexamsRecorded</t>
        </is>
      </c>
      <c r="C140" s="2" t="inlineStr">
        <is>
          <t>'sysChecks'!$R$6:$R$55</t>
        </is>
      </c>
    </row>
    <row r="141">
      <c r="B141" s="14" t="inlineStr">
        <is>
          <t>nrCKfinalExamElig</t>
        </is>
      </c>
      <c r="C141" s="2" t="inlineStr">
        <is>
          <t>'sysChecks'!$P$6:$P$55</t>
        </is>
      </c>
    </row>
    <row r="142">
      <c r="B142" s="14" t="inlineStr">
        <is>
          <t>nrCKgradElig</t>
        </is>
      </c>
      <c r="C142" s="2" t="inlineStr">
        <is>
          <t>'sysChecks'!$N$6:$N$55</t>
        </is>
      </c>
    </row>
    <row r="143">
      <c r="B143" s="14" t="inlineStr">
        <is>
          <t>nrCKskillsAssessed</t>
        </is>
      </c>
      <c r="C143" s="2" t="inlineStr">
        <is>
          <t>'sysChecks'!$S$6:$S$55</t>
        </is>
      </c>
    </row>
    <row r="144">
      <c r="B144" s="14" t="inlineStr">
        <is>
          <t>nrCO_Date</t>
        </is>
      </c>
      <c r="C144" s="2" t="inlineStr">
        <is>
          <t>'Counseling'!$C$6:$C$405</t>
        </is>
      </c>
    </row>
    <row r="145">
      <c r="B145" s="14" t="inlineStr">
        <is>
          <t>nrCO_Desc</t>
        </is>
      </c>
      <c r="C145" s="2" t="inlineStr">
        <is>
          <t>'Counseling'!$H$6:$H$405</t>
        </is>
      </c>
    </row>
    <row r="146">
      <c r="B146" s="14" t="inlineStr">
        <is>
          <t>nrCO_PID</t>
        </is>
      </c>
      <c r="C146" s="2" t="inlineStr">
        <is>
          <t>'Counseling'!$E$6:$E$405</t>
        </is>
      </c>
    </row>
    <row r="147">
      <c r="B147" s="14" t="inlineStr">
        <is>
          <t>nrCO_Report</t>
        </is>
      </c>
      <c r="C147" s="2" t="inlineStr">
        <is>
          <t>'Counseling'!$J$6:$J$405</t>
        </is>
      </c>
    </row>
    <row r="148">
      <c r="B148" s="14" t="inlineStr">
        <is>
          <t>nrCO_Status</t>
        </is>
      </c>
      <c r="C148" s="2" t="inlineStr">
        <is>
          <t>'Counseling'!$M$6:$M$405</t>
        </is>
      </c>
    </row>
    <row r="149">
      <c r="B149" s="14" t="inlineStr">
        <is>
          <t>nrCO_Type</t>
        </is>
      </c>
      <c r="C149" s="2" t="inlineStr">
        <is>
          <t>'Counseling'!$F$6:$F$405</t>
        </is>
      </c>
    </row>
    <row r="150">
      <c r="B150" s="14" t="inlineStr">
        <is>
          <t>nrCadetAgency</t>
        </is>
      </c>
      <c r="C150" s="2" t="inlineStr">
        <is>
          <t>'Cadets'!$H$6:$H$55</t>
        </is>
      </c>
    </row>
    <row r="151">
      <c r="B151" s="14" t="inlineStr">
        <is>
          <t>nrCadetAgencyID</t>
        </is>
      </c>
      <c r="C151" s="2" t="inlineStr">
        <is>
          <t>'Cadets'!$G$6:$G$55</t>
        </is>
      </c>
    </row>
    <row r="152">
      <c r="B152" s="14" t="inlineStr">
        <is>
          <t>nrCadetStatus</t>
        </is>
      </c>
      <c r="C152" s="2" t="inlineStr">
        <is>
          <t>'Cadets'!$I$6:$I$55</t>
        </is>
      </c>
    </row>
    <row r="153">
      <c r="B153" s="14" t="inlineStr">
        <is>
          <t>nrDL_Date</t>
        </is>
      </c>
      <c r="C153" s="2" t="inlineStr">
        <is>
          <t>'DailyLog'!$B$6:$B$175</t>
        </is>
      </c>
    </row>
    <row r="154">
      <c r="B154" s="14" t="inlineStr">
        <is>
          <t>nrELagency</t>
        </is>
      </c>
      <c r="C154" s="2" t="inlineStr">
        <is>
          <t>'EmailLog'!$C$6:$C$505</t>
        </is>
      </c>
    </row>
    <row r="155">
      <c r="B155" s="14" t="inlineStr">
        <is>
          <t>nrELdate</t>
        </is>
      </c>
      <c r="C155" s="2" t="inlineStr">
        <is>
          <t>'EmailLog'!$B$6:$B$505</t>
        </is>
      </c>
    </row>
    <row r="156">
      <c r="B156" s="14" t="inlineStr">
        <is>
          <t>nrEPVgrid</t>
        </is>
      </c>
      <c r="C156" s="2" t="inlineStr">
        <is>
          <t>'EmailPreview'!$B$9:$J$58</t>
        </is>
      </c>
    </row>
    <row r="157">
      <c r="B157" s="14" t="inlineStr">
        <is>
          <t>nrEPVsinceRow</t>
        </is>
      </c>
      <c r="C157" s="2" t="inlineStr">
        <is>
          <t>'EmailPreview'!$B$62</t>
        </is>
      </c>
    </row>
    <row r="158">
      <c r="B158" s="14" t="inlineStr">
        <is>
          <t>nrES_Att</t>
        </is>
      </c>
      <c r="C158" s="2" t="inlineStr">
        <is>
          <t>'ExamScores'!$K$6:$K$1505</t>
        </is>
      </c>
    </row>
    <row r="159">
      <c r="B159" s="14" t="inlineStr">
        <is>
          <t>nrES_Code</t>
        </is>
      </c>
      <c r="C159" s="2" t="inlineStr">
        <is>
          <t>'ExamScores'!$F$6:$F$1505</t>
        </is>
      </c>
    </row>
    <row r="160">
      <c r="B160" s="14" t="inlineStr">
        <is>
          <t>nrES_Date</t>
        </is>
      </c>
      <c r="C160" s="2" t="inlineStr">
        <is>
          <t>'ExamScores'!$S$6:$S$1505</t>
        </is>
      </c>
    </row>
    <row r="161">
      <c r="B161" s="14" t="inlineStr">
        <is>
          <t>nrES_Dis</t>
        </is>
      </c>
      <c r="C161" s="2" t="inlineStr">
        <is>
          <t>'ExamScores'!$R$6:$R$1505</t>
        </is>
      </c>
    </row>
    <row r="162">
      <c r="B162" s="14" t="inlineStr">
        <is>
          <t>nrES_Final</t>
        </is>
      </c>
      <c r="C162" s="2" t="inlineStr">
        <is>
          <t>'ExamScores'!$P$6:$P$1505</t>
        </is>
      </c>
    </row>
    <row r="163">
      <c r="B163" s="14" t="inlineStr">
        <is>
          <t>nrES_PID</t>
        </is>
      </c>
      <c r="C163" s="2" t="inlineStr">
        <is>
          <t>'ExamScores'!$D$6:$D$1505</t>
        </is>
      </c>
    </row>
    <row r="164">
      <c r="B164" s="14" t="inlineStr">
        <is>
          <t>nrES_Raw</t>
        </is>
      </c>
      <c r="C164" s="2" t="inlineStr">
        <is>
          <t>'ExamScores'!$L$6:$L$1505</t>
        </is>
      </c>
    </row>
    <row r="165">
      <c r="B165" s="14" t="inlineStr">
        <is>
          <t>nrES_Rec</t>
        </is>
      </c>
      <c r="C165" s="2" t="inlineStr">
        <is>
          <t>'ExamScores'!$M$6:$M$1505</t>
        </is>
      </c>
    </row>
    <row r="166">
      <c r="B166" s="14" t="inlineStr">
        <is>
          <t>nrES_RecID</t>
        </is>
      </c>
      <c r="C166" s="2" t="inlineStr">
        <is>
          <t>'ExamScores'!$B$6:$B$1505</t>
        </is>
      </c>
    </row>
    <row r="167">
      <c r="B167" s="14" t="inlineStr">
        <is>
          <t>nrES_RetDue</t>
        </is>
      </c>
      <c r="C167" s="2" t="inlineStr">
        <is>
          <t>'ExamScores'!$T$6:$T$1505</t>
        </is>
      </c>
    </row>
    <row r="168">
      <c r="B168" s="14" t="inlineStr">
        <is>
          <t>nrES_RetReq</t>
        </is>
      </c>
      <c r="C168" s="2" t="inlineStr">
        <is>
          <t>'ExamScores'!$Q$6:$Q$1505</t>
        </is>
      </c>
    </row>
    <row r="169">
      <c r="B169" s="14" t="inlineStr">
        <is>
          <t>nrES_RetStat</t>
        </is>
      </c>
      <c r="C169" s="2" t="inlineStr">
        <is>
          <t>'ExamScores'!$U$6:$U$1505</t>
        </is>
      </c>
    </row>
    <row r="170">
      <c r="B170" s="14" t="inlineStr">
        <is>
          <t>nrES_RowCheck</t>
        </is>
      </c>
      <c r="C170" s="2" t="inlineStr">
        <is>
          <t>'ExamScores'!$X$6:$X$1505</t>
        </is>
      </c>
    </row>
    <row r="171">
      <c r="B171" s="14" t="inlineStr">
        <is>
          <t>nrES_Seq</t>
        </is>
      </c>
      <c r="C171" s="2" t="inlineStr">
        <is>
          <t>'ExamScores'!$I$6:$I$1505</t>
        </is>
      </c>
    </row>
    <row r="172">
      <c r="B172" s="14" t="inlineStr">
        <is>
          <t>nrES_Type</t>
        </is>
      </c>
      <c r="C172" s="2" t="inlineStr">
        <is>
          <t>'ExamScores'!$H$6:$H$1505</t>
        </is>
      </c>
    </row>
    <row r="173">
      <c r="B173" s="14" t="inlineStr">
        <is>
          <t>nrExtraClosureCheck</t>
        </is>
      </c>
      <c r="C173" s="2" t="inlineStr">
        <is>
          <t>'Control'!$G$6:$G$20</t>
        </is>
      </c>
    </row>
    <row r="174">
      <c r="B174" s="14" t="inlineStr">
        <is>
          <t>nrExtraClosures</t>
        </is>
      </c>
      <c r="C174" s="2" t="inlineStr">
        <is>
          <t>'Control'!$F$6:$F$20</t>
        </is>
      </c>
    </row>
    <row r="175">
      <c r="B175" s="14" t="inlineStr">
        <is>
          <t>nrFLcount</t>
        </is>
      </c>
      <c r="C175" s="2" t="inlineStr">
        <is>
          <t>'sysFlags'!$S$6:$S$55</t>
        </is>
      </c>
    </row>
    <row r="176">
      <c r="B176" s="14" t="inlineStr">
        <is>
          <t>nrFLreasons</t>
        </is>
      </c>
      <c r="C176" s="2" t="inlineStr">
        <is>
          <t>'sysFlags'!$T$6:$T$55</t>
        </is>
      </c>
    </row>
    <row r="177">
      <c r="B177" s="14" t="inlineStr">
        <is>
          <t>nrGRacademic</t>
        </is>
      </c>
      <c r="C177" s="2" t="inlineStr">
        <is>
          <t>'sysGrades'!$V$6:$V$55</t>
        </is>
      </c>
    </row>
    <row r="178">
      <c r="B178" s="14" t="inlineStr">
        <is>
          <t>nrGRconsec</t>
        </is>
      </c>
      <c r="C178" s="2" t="inlineStr">
        <is>
          <t>'sysGrades'!$AC$6:$AC$55</t>
        </is>
      </c>
    </row>
    <row r="179">
      <c r="B179" s="14" t="inlineStr">
        <is>
          <t>nrGRcurrent</t>
        </is>
      </c>
      <c r="C179" s="2" t="inlineStr">
        <is>
          <t>'sysGrades'!$M$6:$M$55</t>
        </is>
      </c>
    </row>
    <row r="180">
      <c r="B180" s="14" t="inlineStr">
        <is>
          <t>nrGRdisrev</t>
        </is>
      </c>
      <c r="C180" s="2" t="inlineStr">
        <is>
          <t>'sysGrades'!$P$6:$P$55</t>
        </is>
      </c>
    </row>
    <row r="181">
      <c r="B181" s="14" t="inlineStr">
        <is>
          <t>nrGRfinal</t>
        </is>
      </c>
      <c r="C181" s="2" t="inlineStr">
        <is>
          <t>'sysGrades'!$N$6:$N$55</t>
        </is>
      </c>
    </row>
    <row r="182">
      <c r="B182" s="14" t="inlineStr">
        <is>
          <t>nrGRfinalExam</t>
        </is>
      </c>
      <c r="C182" s="2" t="inlineStr">
        <is>
          <t>'sysGrades'!$L$6:$L$55</t>
        </is>
      </c>
    </row>
    <row r="183">
      <c r="B183" s="14" t="inlineStr">
        <is>
          <t>nrGRgradedrop</t>
        </is>
      </c>
      <c r="C183" s="2" t="inlineStr">
        <is>
          <t>'sysGrades'!$AB$6:$AB$55</t>
        </is>
      </c>
    </row>
    <row r="184">
      <c r="B184" s="14" t="inlineStr">
        <is>
          <t>nrGRmajavg</t>
        </is>
      </c>
      <c r="C184" s="2" t="inlineStr">
        <is>
          <t>'sysGrades'!$I$6:$I$55</t>
        </is>
      </c>
    </row>
    <row r="185">
      <c r="B185" s="14" t="inlineStr">
        <is>
          <t>nrGRminavg</t>
        </is>
      </c>
      <c r="C185" s="2" t="inlineStr">
        <is>
          <t>'sysGrades'!$J$6:$J$55</t>
        </is>
      </c>
    </row>
    <row r="186">
      <c r="B186" s="14" t="inlineStr">
        <is>
          <t>nrGRrank</t>
        </is>
      </c>
      <c r="C186" s="2" t="inlineStr">
        <is>
          <t>'sysGrades'!$U$6:$U$55</t>
        </is>
      </c>
    </row>
    <row r="187">
      <c r="B187" s="14" t="inlineStr">
        <is>
          <t>nrGRretakes</t>
        </is>
      </c>
      <c r="C187" s="2" t="inlineStr">
        <is>
          <t>'sysGrades'!$O$6:$O$55</t>
        </is>
      </c>
    </row>
    <row r="188">
      <c r="B188" s="14" t="inlineStr">
        <is>
          <t>nrHolidays1</t>
        </is>
      </c>
      <c r="C188" s="2" t="inlineStr">
        <is>
          <t>'Control'!$C$6:$C$16</t>
        </is>
      </c>
    </row>
    <row r="189">
      <c r="B189" s="14" t="inlineStr">
        <is>
          <t>nrHolidays2</t>
        </is>
      </c>
      <c r="C189" s="2" t="inlineStr">
        <is>
          <t>'Control'!$D$6:$D$16</t>
        </is>
      </c>
    </row>
    <row r="190">
      <c r="B190" s="14" t="inlineStr">
        <is>
          <t>nrINCelig</t>
        </is>
      </c>
      <c r="C190" s="2" t="inlineStr">
        <is>
          <t>'sysIncidents'!$K$6:$K$55</t>
        </is>
      </c>
    </row>
    <row r="191">
      <c r="B191" s="14" t="inlineStr">
        <is>
          <t>nrINCopenNeg</t>
        </is>
      </c>
      <c r="C191" s="2" t="inlineStr">
        <is>
          <t>'sysIncidents'!$H$6:$H$55</t>
        </is>
      </c>
    </row>
    <row r="192">
      <c r="B192" s="14" t="inlineStr">
        <is>
          <t>nrIN_Chain</t>
        </is>
      </c>
      <c r="C192" s="2" t="inlineStr">
        <is>
          <t>'Incidents'!$L$6:$L$405</t>
        </is>
      </c>
    </row>
    <row r="193">
      <c r="B193" s="14" t="inlineStr">
        <is>
          <t>nrIN_Date</t>
        </is>
      </c>
      <c r="C193" s="2" t="inlineStr">
        <is>
          <t>'Incidents'!$C$6:$C$405</t>
        </is>
      </c>
    </row>
    <row r="194">
      <c r="B194" s="14" t="inlineStr">
        <is>
          <t>nrIN_Desc</t>
        </is>
      </c>
      <c r="C194" s="2" t="inlineStr">
        <is>
          <t>'Incidents'!$I$6:$I$405</t>
        </is>
      </c>
    </row>
    <row r="195">
      <c r="B195" s="14" t="inlineStr">
        <is>
          <t>nrIN_Dir</t>
        </is>
      </c>
      <c r="C195" s="2" t="inlineStr">
        <is>
          <t>'Incidents'!$F$6:$F$405</t>
        </is>
      </c>
    </row>
    <row r="196">
      <c r="B196" s="14" t="inlineStr">
        <is>
          <t>nrIN_PID</t>
        </is>
      </c>
      <c r="C196" s="2" t="inlineStr">
        <is>
          <t>'Incidents'!$E$6:$E$405</t>
        </is>
      </c>
    </row>
    <row r="197">
      <c r="B197" s="14" t="inlineStr">
        <is>
          <t>nrIN_Report</t>
        </is>
      </c>
      <c r="C197" s="2" t="inlineStr">
        <is>
          <t>'Incidents'!$O$6:$O$405</t>
        </is>
      </c>
    </row>
    <row r="198">
      <c r="B198" s="14" t="inlineStr">
        <is>
          <t>nrIN_Res</t>
        </is>
      </c>
      <c r="C198" s="2" t="inlineStr">
        <is>
          <t>'Incidents'!$M$6:$M$405</t>
        </is>
      </c>
    </row>
    <row r="199">
      <c r="B199" s="14" t="inlineStr">
        <is>
          <t>nrIN_Sev</t>
        </is>
      </c>
      <c r="C199" s="2" t="inlineStr">
        <is>
          <t>'Incidents'!$G$6:$G$405</t>
        </is>
      </c>
    </row>
    <row r="200">
      <c r="B200" s="14" t="inlineStr">
        <is>
          <t>nrInstrChTaught</t>
        </is>
      </c>
      <c r="C200" s="2" t="inlineStr">
        <is>
          <t>'Instructors'!$M$6:$M$95</t>
        </is>
      </c>
    </row>
    <row r="201">
      <c r="B201" s="14" t="inlineStr">
        <is>
          <t>nrInstrNames</t>
        </is>
      </c>
      <c r="C201" s="2" t="inlineStr">
        <is>
          <t>'Instructors'!$B$6:$B$95</t>
        </is>
      </c>
    </row>
    <row r="202">
      <c r="B202" s="14" t="inlineStr">
        <is>
          <t>nrInstrOnSched</t>
        </is>
      </c>
      <c r="C202" s="2" t="inlineStr">
        <is>
          <t>'Instructors'!$L$6:$L$95</t>
        </is>
      </c>
    </row>
    <row r="203">
      <c r="B203" s="14" t="inlineStr">
        <is>
          <t>nrInstrReady</t>
        </is>
      </c>
      <c r="C203" s="2" t="inlineStr">
        <is>
          <t>'Instructors'!$K$6:$K$95</t>
        </is>
      </c>
    </row>
    <row r="204">
      <c r="B204" s="14" t="inlineStr">
        <is>
          <t>nrMD_PID</t>
        </is>
      </c>
      <c r="C204" s="2" t="inlineStr">
        <is>
          <t>'Medical'!$E$6:$E$205</t>
        </is>
      </c>
    </row>
    <row r="205">
      <c r="B205" s="14" t="inlineStr">
        <is>
          <t>nrMD_Restr</t>
        </is>
      </c>
      <c r="C205" s="2" t="inlineStr">
        <is>
          <t>'Medical'!$H$6:$H$205</t>
        </is>
      </c>
    </row>
    <row r="206">
      <c r="B206" s="14" t="inlineStr">
        <is>
          <t>nrMD_Status</t>
        </is>
      </c>
      <c r="C206" s="2" t="inlineStr">
        <is>
          <t>'Medical'!$M$6:$M$205</t>
        </is>
      </c>
    </row>
    <row r="207">
      <c r="B207" s="14" t="inlineStr">
        <is>
          <t>nrME_Assigned</t>
        </is>
      </c>
      <c r="C207" s="2" t="inlineStr">
        <is>
          <t>'Memos'!$C$6:$C$305</t>
        </is>
      </c>
    </row>
    <row r="208">
      <c r="B208" s="14" t="inlineStr">
        <is>
          <t>nrME_Cadet</t>
        </is>
      </c>
      <c r="C208" s="2" t="inlineStr">
        <is>
          <t>'Memos'!$D$6:$D$305</t>
        </is>
      </c>
    </row>
    <row r="209">
      <c r="B209" s="14" t="inlineStr">
        <is>
          <t>nrME_Due</t>
        </is>
      </c>
      <c r="C209" s="2" t="inlineStr">
        <is>
          <t>'Memos'!$J$6:$J$305</t>
        </is>
      </c>
    </row>
    <row r="210">
      <c r="B210" s="14" t="inlineStr">
        <is>
          <t>nrME_PID</t>
        </is>
      </c>
      <c r="C210" s="2" t="inlineStr">
        <is>
          <t>'Memos'!$E$6:$E$305</t>
        </is>
      </c>
    </row>
    <row r="211">
      <c r="B211" s="14" t="inlineStr">
        <is>
          <t>nrME_Received</t>
        </is>
      </c>
      <c r="C211" s="2" t="inlineStr">
        <is>
          <t>'Memos'!$K$6:$K$305</t>
        </is>
      </c>
    </row>
    <row r="212">
      <c r="B212" s="14" t="inlineStr">
        <is>
          <t>nrME_Ref</t>
        </is>
      </c>
      <c r="C212" s="2" t="inlineStr">
        <is>
          <t>'Memos'!$F$6:$F$305</t>
        </is>
      </c>
    </row>
    <row r="213">
      <c r="B213" s="14" t="inlineStr">
        <is>
          <t>nrME_Report</t>
        </is>
      </c>
      <c r="C213" s="2" t="inlineStr">
        <is>
          <t>'Memos'!$M$6:$M$305</t>
        </is>
      </c>
    </row>
    <row r="214">
      <c r="B214" s="14" t="inlineStr">
        <is>
          <t>nrME_Status</t>
        </is>
      </c>
      <c r="C214" s="2" t="inlineStr">
        <is>
          <t>'Memos'!$L$6:$L$305</t>
        </is>
      </c>
    </row>
    <row r="215">
      <c r="B215" s="14" t="inlineStr">
        <is>
          <t>nrME_Subject</t>
        </is>
      </c>
      <c r="C215" s="2" t="inlineStr">
        <is>
          <t>'Memos'!$G$6:$G$305</t>
        </is>
      </c>
    </row>
    <row r="216">
      <c r="B216" s="14" t="inlineStr">
        <is>
          <t>nrMK_Credit</t>
        </is>
      </c>
      <c r="C216" s="2" t="inlineStr">
        <is>
          <t>'Makeup'!$L$6:$L$505</t>
        </is>
      </c>
    </row>
    <row r="217">
      <c r="B217" s="14" t="inlineStr">
        <is>
          <t>nrMK_Date</t>
        </is>
      </c>
      <c r="C217" s="2" t="inlineStr">
        <is>
          <t>'Makeup'!$C$6:$C$505</t>
        </is>
      </c>
    </row>
    <row r="218">
      <c r="B218" s="14" t="inlineStr">
        <is>
          <t>nrMK_Link</t>
        </is>
      </c>
      <c r="C218" s="2" t="inlineStr">
        <is>
          <t>'Makeup'!$I$6:$I$505</t>
        </is>
      </c>
    </row>
    <row r="219">
      <c r="B219" s="14" t="inlineStr">
        <is>
          <t>nrMK_Min</t>
        </is>
      </c>
      <c r="C219" s="2" t="inlineStr">
        <is>
          <t>'Makeup'!$G$6:$G$505</t>
        </is>
      </c>
    </row>
    <row r="220">
      <c r="B220" s="14" t="inlineStr">
        <is>
          <t>nrMK_PID</t>
        </is>
      </c>
      <c r="C220" s="2" t="inlineStr">
        <is>
          <t>'Makeup'!$E$6:$E$505</t>
        </is>
      </c>
    </row>
    <row r="221">
      <c r="B221" s="14" t="inlineStr">
        <is>
          <t>nrMK_RowCheck</t>
        </is>
      </c>
      <c r="C221" s="2" t="inlineStr">
        <is>
          <t>'Makeup'!$N$6:$N$505</t>
        </is>
      </c>
    </row>
    <row r="222">
      <c r="B222" s="14" t="inlineStr">
        <is>
          <t>nrMK_Sess</t>
        </is>
      </c>
      <c r="C222" s="2" t="inlineStr">
        <is>
          <t>'Makeup'!$H$6:$H$505</t>
        </is>
      </c>
    </row>
    <row r="223">
      <c r="B223" s="14" t="inlineStr">
        <is>
          <t>nrMK_Type</t>
        </is>
      </c>
      <c r="C223" s="2" t="inlineStr">
        <is>
          <t>'Makeup'!$F$6:$F$505</t>
        </is>
      </c>
    </row>
    <row r="224">
      <c r="B224" s="14" t="inlineStr">
        <is>
          <t>nrPRGitems</t>
        </is>
      </c>
      <c r="C224" s="2" t="inlineStr">
        <is>
          <t>'Audit'!$B$43:$B$60</t>
        </is>
      </c>
    </row>
    <row r="225">
      <c r="B225" s="14" t="inlineStr">
        <is>
          <t>nrPRGmet</t>
        </is>
      </c>
      <c r="C225" s="2" t="inlineStr">
        <is>
          <t>'Audit'!$F$43:$F$60</t>
        </is>
      </c>
    </row>
    <row r="226">
      <c r="B226" s="14" t="inlineStr">
        <is>
          <t>nrPTRubricEvents</t>
        </is>
      </c>
      <c r="C226" s="2" t="inlineStr">
        <is>
          <t>'Settings'!$B$43:$B$49</t>
        </is>
      </c>
    </row>
    <row r="227">
      <c r="B227" s="14" t="inlineStr">
        <is>
          <t>nrPTRubricPoints</t>
        </is>
      </c>
      <c r="C227" s="2" t="inlineStr">
        <is>
          <t>'Settings'!$D$43:$H$49</t>
        </is>
      </c>
    </row>
    <row r="228">
      <c r="B228" s="14" t="inlineStr">
        <is>
          <t>nrPT_BasePass</t>
        </is>
      </c>
      <c r="C228" s="2" t="inlineStr">
        <is>
          <t>'PT'!$K$6:$K$55</t>
        </is>
      </c>
    </row>
    <row r="229">
      <c r="B229" s="14" t="inlineStr">
        <is>
          <t>nrPT_FinalPass</t>
        </is>
      </c>
      <c r="C229" s="2" t="inlineStr">
        <is>
          <t>'PT'!$AB$6:$AB$55</t>
        </is>
      </c>
    </row>
    <row r="230">
      <c r="B230" s="14" t="inlineStr">
        <is>
          <t>nrPT_FinalPts</t>
        </is>
      </c>
      <c r="C230" s="2" t="inlineStr">
        <is>
          <t>'PT'!$AA$6:$AA$55</t>
        </is>
      </c>
    </row>
    <row r="231">
      <c r="B231" s="14" t="inlineStr">
        <is>
          <t>nrPT_Improve</t>
        </is>
      </c>
      <c r="C231" s="2" t="inlineStr">
        <is>
          <t>'PT'!$AC$6:$AC$55</t>
        </is>
      </c>
    </row>
    <row r="232">
      <c r="B232" s="14" t="inlineStr">
        <is>
          <t>nrSCH_Act</t>
        </is>
      </c>
      <c r="C232" s="2" t="inlineStr">
        <is>
          <t>'Schedule'!$G$6:$G$905</t>
        </is>
      </c>
    </row>
    <row r="233">
      <c r="B233" s="14" t="inlineStr">
        <is>
          <t>nrSCH_ChNum</t>
        </is>
      </c>
      <c r="C233" s="2" t="inlineStr">
        <is>
          <t>'Schedule'!$H$6:$H$905</t>
        </is>
      </c>
    </row>
    <row r="234">
      <c r="B234" s="14" t="inlineStr">
        <is>
          <t>nrSCH_Date</t>
        </is>
      </c>
      <c r="C234" s="2" t="inlineStr">
        <is>
          <t>'Schedule'!$B$6:$B$905</t>
        </is>
      </c>
    </row>
    <row r="235">
      <c r="B235" s="14" t="inlineStr">
        <is>
          <t>nrSCH_End</t>
        </is>
      </c>
      <c r="C235" s="2" t="inlineStr">
        <is>
          <t>'Schedule'!$E$6:$E$905</t>
        </is>
      </c>
    </row>
    <row r="236">
      <c r="B236" s="14" t="inlineStr">
        <is>
          <t>nrSCH_Hrs</t>
        </is>
      </c>
      <c r="C236" s="2" t="inlineStr">
        <is>
          <t>'Schedule'!$F$6:$F$905</t>
        </is>
      </c>
    </row>
    <row r="237">
      <c r="B237" s="14" t="inlineStr">
        <is>
          <t>nrSCH_Instr</t>
        </is>
      </c>
      <c r="C237" s="2" t="inlineStr">
        <is>
          <t>'Schedule'!$I$6:$I$905</t>
        </is>
      </c>
    </row>
    <row r="238">
      <c r="B238" s="14" t="inlineStr">
        <is>
          <t>nrSCH_InstrOK</t>
        </is>
      </c>
      <c r="C238" s="2" t="inlineStr">
        <is>
          <t>'Schedule'!$N$6:$N$905</t>
        </is>
      </c>
    </row>
    <row r="239">
      <c r="B239" s="14" t="inlineStr">
        <is>
          <t>nrSCH_Loc</t>
        </is>
      </c>
      <c r="C239" s="2" t="inlineStr">
        <is>
          <t>'Schedule'!$J$6:$J$905</t>
        </is>
      </c>
    </row>
    <row r="240">
      <c r="B240" s="14" t="inlineStr">
        <is>
          <t>nrSCH_Start</t>
        </is>
      </c>
      <c r="C240" s="2" t="inlineStr">
        <is>
          <t>'Schedule'!$D$6:$D$905</t>
        </is>
      </c>
    </row>
    <row r="241">
      <c r="B241" s="14" t="inlineStr">
        <is>
          <t>nrSCH_TimeCheck</t>
        </is>
      </c>
      <c r="C241" s="2" t="inlineStr">
        <is>
          <t>'Schedule'!$O$6:$O$905</t>
        </is>
      </c>
    </row>
    <row r="242">
      <c r="B242" s="14" t="inlineStr">
        <is>
          <t>nrSEstatus</t>
        </is>
      </c>
      <c r="C242" s="2" t="inlineStr">
        <is>
          <t>'StateExam'!$K$6:$K$55</t>
        </is>
      </c>
    </row>
    <row r="243">
      <c r="B243" s="14" t="inlineStr">
        <is>
          <t>nrSGclassavg</t>
        </is>
      </c>
      <c r="C243" s="2" t="inlineStr">
        <is>
          <t>'ScoresGrid'!$D$57:$AB$57</t>
        </is>
      </c>
    </row>
    <row r="244">
      <c r="B244" s="14" t="inlineStr">
        <is>
          <t>nrSK_Att</t>
        </is>
      </c>
      <c r="C244" s="2" t="inlineStr">
        <is>
          <t>'Skills'!$I$6:$I$605</t>
        </is>
      </c>
    </row>
    <row r="245">
      <c r="B245" s="14" t="inlineStr">
        <is>
          <t>nrSK_Cat</t>
        </is>
      </c>
      <c r="C245" s="2" t="inlineStr">
        <is>
          <t>'Skills'!$E$6:$E$605</t>
        </is>
      </c>
    </row>
    <row r="246">
      <c r="B246" s="14" t="inlineStr">
        <is>
          <t>nrSK_CoF</t>
        </is>
      </c>
      <c r="C246" s="2" t="inlineStr">
        <is>
          <t>'Skills'!$R$6:$R$605</t>
        </is>
      </c>
    </row>
    <row r="247">
      <c r="B247" s="14" t="inlineStr">
        <is>
          <t>nrSK_Dis</t>
        </is>
      </c>
      <c r="C247" s="2" t="inlineStr">
        <is>
          <t>'Skills'!$P$6:$P$605</t>
        </is>
      </c>
    </row>
    <row r="248">
      <c r="B248" s="14" t="inlineStr">
        <is>
          <t>nrSK_PID</t>
        </is>
      </c>
      <c r="C248" s="2" t="inlineStr">
        <is>
          <t>'Skills'!$D$6:$D$605</t>
        </is>
      </c>
    </row>
    <row r="249">
      <c r="B249" s="14" t="inlineStr">
        <is>
          <t>nrSK_Res</t>
        </is>
      </c>
      <c r="C249" s="2" t="inlineStr">
        <is>
          <t>'Skills'!$J$6:$J$605</t>
        </is>
      </c>
    </row>
    <row r="250">
      <c r="B250" s="14" t="inlineStr">
        <is>
          <t>nrSK_Score</t>
        </is>
      </c>
      <c r="C250" s="2" t="inlineStr">
        <is>
          <t>'Skills'!$K$6:$K$605</t>
        </is>
      </c>
    </row>
    <row r="251">
      <c r="B251" s="14" t="inlineStr">
        <is>
          <t>nrSK_Status</t>
        </is>
      </c>
      <c r="C251" s="2" t="inlineStr">
        <is>
          <t>'Skills'!$O$6:$O$605</t>
        </is>
      </c>
    </row>
    <row r="252">
      <c r="B252" s="14" t="inlineStr">
        <is>
          <t>nrSKbothCoF</t>
        </is>
      </c>
      <c r="C252" s="2" t="inlineStr">
        <is>
          <t>'sysSkills'!$P$6:$P$55</t>
        </is>
      </c>
    </row>
    <row r="253">
      <c r="B253" s="14" t="inlineStr">
        <is>
          <t>nrSKelig</t>
        </is>
      </c>
      <c r="C253" s="2" t="inlineStr">
        <is>
          <t>'sysSkills'!$K$6:$K$55</t>
        </is>
      </c>
    </row>
    <row r="254">
      <c r="B254" s="14" t="inlineStr">
        <is>
          <t>nrSKfailedout</t>
        </is>
      </c>
      <c r="C254" s="2" t="inlineStr">
        <is>
          <t>'sysSkills'!$J$6:$J$55</t>
        </is>
      </c>
    </row>
    <row r="255">
      <c r="B255" s="14" t="inlineStr">
        <is>
          <t>nrSKfirearmsAvg</t>
        </is>
      </c>
      <c r="C255" s="2" t="inlineStr">
        <is>
          <t>'sysSkills'!$L$6:$L$55</t>
        </is>
      </c>
    </row>
    <row r="256">
      <c r="B256" s="14" t="inlineStr">
        <is>
          <t>nrSUBname</t>
        </is>
      </c>
      <c r="C256" s="2" t="inlineStr">
        <is>
          <t>'ChapterMaster'!$B$56:$B$70</t>
        </is>
      </c>
    </row>
    <row r="257">
      <c r="B257" s="14" t="inlineStr">
        <is>
          <t>nrSUBparent</t>
        </is>
      </c>
      <c r="C257" s="2" t="inlineStr">
        <is>
          <t>'ChapterMaster'!$E$56:$E$70</t>
        </is>
      </c>
    </row>
    <row r="258">
      <c r="B258" s="14" t="inlineStr">
        <is>
          <t>nrSUBtarget</t>
        </is>
      </c>
      <c r="C258" s="2" t="inlineStr">
        <is>
          <t>'ChapterMaster'!$F$56:$F$70</t>
        </is>
      </c>
    </row>
    <row r="259">
      <c r="B259" s="14" t="inlineStr">
        <is>
          <t>nrScheduleItems</t>
        </is>
      </c>
      <c r="C259" s="2" t="inlineStr">
        <is>
          <t>'sysListsHelper'!$B$6:$B$89</t>
        </is>
      </c>
    </row>
    <row r="260">
      <c r="B260" s="14" t="inlineStr">
        <is>
          <t>nrSpellAvg</t>
        </is>
      </c>
      <c r="C260" s="2" t="inlineStr">
        <is>
          <t>'Spelling'!$P$6:$P$55</t>
        </is>
      </c>
    </row>
    <row r="261">
      <c r="B261" s="14" t="inlineStr">
        <is>
          <t>nrSpellClassAvg</t>
        </is>
      </c>
      <c r="C261" s="2" t="inlineStr">
        <is>
          <t>'Spelling'!$D$58:$O$58</t>
        </is>
      </c>
    </row>
    <row r="262">
      <c r="B262" s="14" t="inlineStr">
        <is>
          <t>nrSpellCounts</t>
        </is>
      </c>
      <c r="C262" s="2" t="inlineStr">
        <is>
          <t>'Spelling'!$D$57:$O$57</t>
        </is>
      </c>
    </row>
    <row r="263">
      <c r="B263" s="14" t="inlineStr">
        <is>
          <t>nrSpellFlag</t>
        </is>
      </c>
      <c r="C263" s="2" t="inlineStr">
        <is>
          <t>'Spelling'!$R$6:$R$55</t>
        </is>
      </c>
    </row>
    <row r="264">
      <c r="B264" s="14" t="inlineStr">
        <is>
          <t>nrSpellRowCheck</t>
        </is>
      </c>
      <c r="C264" s="2" t="inlineStr">
        <is>
          <t>'Spelling'!$S$6:$S$55</t>
        </is>
      </c>
    </row>
    <row r="265">
      <c r="B265" s="14" t="inlineStr">
        <is>
          <t>nrSpellTaken</t>
        </is>
      </c>
      <c r="C265" s="2" t="inlineStr">
        <is>
          <t>'Spelling'!$Q$6:$Q$55</t>
        </is>
      </c>
    </row>
    <row r="266">
      <c r="B266" s="14" t="inlineStr">
        <is>
          <t>nrSpellTestNums</t>
        </is>
      </c>
      <c r="C266" s="2" t="inlineStr">
        <is>
          <t>'Spelling'!$D$59:$O$59</t>
        </is>
      </c>
    </row>
    <row r="267">
      <c r="B267" s="14" t="inlineStr">
        <is>
          <t>nrSpellWords</t>
        </is>
      </c>
      <c r="C267" s="2" t="inlineStr">
        <is>
          <t>'SpellingMaster'!$C$6:$N$30</t>
        </is>
      </c>
    </row>
    <row r="268">
      <c r="B268" s="14" t="inlineStr">
        <is>
          <t>nrWRcomplete</t>
        </is>
      </c>
      <c r="C268" s="2" t="inlineStr">
        <is>
          <t>'Writing'!$AR$6:$AR$55</t>
        </is>
      </c>
    </row>
    <row r="269">
      <c r="B269" s="14" t="inlineStr">
        <is>
          <t>nrWRcurrent</t>
        </is>
      </c>
      <c r="C269" s="2" t="inlineStr">
        <is>
          <t>'Writing'!$AT$6:$AT$55</t>
        </is>
      </c>
    </row>
    <row r="270">
      <c r="B270" s="14" t="inlineStr">
        <is>
          <t>nrWRoverdue</t>
        </is>
      </c>
      <c r="C270" s="2" t="inlineStr">
        <is>
          <t>'Writing'!$AS$6:$AS$55</t>
        </is>
      </c>
    </row>
    <row r="271">
      <c r="B271" s="14" t="inlineStr">
        <is>
          <t>rngAgencyActive</t>
        </is>
      </c>
      <c r="C271" s="2" t="inlineStr">
        <is>
          <t>'Agencies'!$H$6:$H$50</t>
        </is>
      </c>
    </row>
    <row r="272">
      <c r="B272" s="14" t="inlineStr">
        <is>
          <t>rngAgencyEmails</t>
        </is>
      </c>
      <c r="C272" s="2" t="inlineStr">
        <is>
          <t>'Agencies'!$E$6:$E$50</t>
        </is>
      </c>
    </row>
    <row r="273">
      <c r="B273" s="14" t="inlineStr">
        <is>
          <t>rngAgencyIDs</t>
        </is>
      </c>
      <c r="C273" s="2" t="inlineStr">
        <is>
          <t>'Agencies'!$B$6:$B$50</t>
        </is>
      </c>
    </row>
    <row r="274">
      <c r="B274" s="14" t="inlineStr">
        <is>
          <t>rngAgencyNames</t>
        </is>
      </c>
      <c r="C274" s="2" t="inlineStr">
        <is>
          <t>'Agencies'!$C$6:$C$50</t>
        </is>
      </c>
    </row>
    <row r="275">
      <c r="B275" s="14" t="inlineStr">
        <is>
          <t>rngCadetNames</t>
        </is>
      </c>
      <c r="C275" s="2" t="inlineStr">
        <is>
          <t>'Cadets'!$F$6:$F$55</t>
        </is>
      </c>
    </row>
    <row r="276">
      <c r="B276" s="14" t="inlineStr">
        <is>
          <t>rngCadetPIDs</t>
        </is>
      </c>
      <c r="C276" s="2" t="inlineStr">
        <is>
          <t>'Cadets'!$B$6:$B$55</t>
        </is>
      </c>
    </row>
    <row r="277">
      <c r="B277" s="14" t="inlineStr">
        <is>
          <t>rngEMcode</t>
        </is>
      </c>
      <c r="C277" s="2" t="inlineStr">
        <is>
          <t>'ExamMaster'!$B$6:$B$30</t>
        </is>
      </c>
    </row>
    <row r="278">
      <c r="B278" s="14" t="inlineStr">
        <is>
          <t>rngEMname</t>
        </is>
      </c>
      <c r="C278" s="2" t="inlineStr">
        <is>
          <t>'ExamMaster'!$C$6:$C$30</t>
        </is>
      </c>
    </row>
    <row r="279">
      <c r="B279" s="14" t="inlineStr">
        <is>
          <t>rngEMpass</t>
        </is>
      </c>
      <c r="C279" s="2" t="inlineStr">
        <is>
          <t>'ExamMaster'!$E$6:$E$30</t>
        </is>
      </c>
    </row>
    <row r="280">
      <c r="B280" s="14" t="inlineStr">
        <is>
          <t>rngEMseq</t>
        </is>
      </c>
      <c r="C280" s="2" t="inlineStr">
        <is>
          <t>'ExamMaster'!$F$6:$F$30</t>
        </is>
      </c>
    </row>
    <row r="281">
      <c r="B281" s="14" t="inlineStr">
        <is>
          <t>rngEMtype</t>
        </is>
      </c>
      <c r="C281" s="2" t="inlineStr">
        <is>
          <t>'ExamMaster'!$D$6:$D$30</t>
        </is>
      </c>
    </row>
    <row r="282">
      <c r="B282" s="14" t="inlineStr">
        <is>
          <t>rngEPch</t>
        </is>
      </c>
      <c r="C282" s="2" t="inlineStr">
        <is>
          <t>'ExamPlan'!$H$6:$H$30</t>
        </is>
      </c>
    </row>
    <row r="283">
      <c r="B283" s="14" t="inlineStr">
        <is>
          <t>rngEPcode</t>
        </is>
      </c>
      <c r="C283" s="2" t="inlineStr">
        <is>
          <t>'ExamPlan'!$C$6:$C$30</t>
        </is>
      </c>
    </row>
    <row r="284">
      <c r="B284" s="14" t="inlineStr">
        <is>
          <t>rngEPdate</t>
        </is>
      </c>
      <c r="C284" s="2" t="inlineStr">
        <is>
          <t>'ExamPlan'!$I$6:$I$30</t>
        </is>
      </c>
    </row>
    <row r="285">
      <c r="B285" s="14" t="inlineStr">
        <is>
          <t>rngEPname</t>
        </is>
      </c>
      <c r="C285" s="2" t="inlineStr">
        <is>
          <t>'ExamPlan'!$D$6:$D$30</t>
        </is>
      </c>
    </row>
    <row r="286">
      <c r="B286" s="14" t="inlineStr">
        <is>
          <t>rngEPpass</t>
        </is>
      </c>
      <c r="C286" s="2" t="inlineStr">
        <is>
          <t>'ExamPlan'!$F$6:$F$30</t>
        </is>
      </c>
    </row>
    <row r="287">
      <c r="B287" s="14" t="inlineStr">
        <is>
          <t>rngEPseq</t>
        </is>
      </c>
      <c r="C287" s="2" t="inlineStr">
        <is>
          <t>'ExamPlan'!$G$6:$G$30</t>
        </is>
      </c>
    </row>
    <row r="288">
      <c r="B288" s="14" t="inlineStr">
        <is>
          <t>rngEPtype</t>
        </is>
      </c>
      <c r="C288" s="2" t="inlineStr">
        <is>
          <t>'ExamPlan'!$E$6:$E$30</t>
        </is>
      </c>
    </row>
    <row r="289">
      <c r="B289" s="14" t="inlineStr">
        <is>
          <t>rngEPuse</t>
        </is>
      </c>
      <c r="C289" s="2" t="inlineStr">
        <is>
          <t>'ExamPlan'!$B$6:$B$30</t>
        </is>
      </c>
    </row>
    <row r="290">
      <c r="B290" s="14" t="inlineStr">
        <is>
          <t>rngSM_cat</t>
        </is>
      </c>
      <c r="C290" s="2" t="inlineStr">
        <is>
          <t>'SkillsMaster'!$B$6:$B$15</t>
        </is>
      </c>
    </row>
    <row r="291">
      <c r="B291" s="14" t="inlineStr">
        <is>
          <t>rngSM_max</t>
        </is>
      </c>
      <c r="C291" s="2" t="inlineStr">
        <is>
          <t>'SkillsMaster'!$C$6:$C$15</t>
        </is>
      </c>
    </row>
    <row r="292">
      <c r="B292" s="14" t="inlineStr">
        <is>
          <t>rngSM_mode</t>
        </is>
      </c>
      <c r="C292" s="2" t="inlineStr">
        <is>
          <t>'SkillsMaster'!$D$6:$D$15</t>
        </is>
      </c>
    </row>
    <row r="293">
      <c r="B293" s="14" t="inlineStr">
        <is>
          <t>rngSM_pass</t>
        </is>
      </c>
      <c r="C293" s="2" t="inlineStr">
        <is>
          <t>'SkillsMaster'!$E$6:$E$15</t>
        </is>
      </c>
    </row>
    <row r="294">
      <c r="B294" s="14" t="inlineStr">
        <is>
          <t>rngWMassigned</t>
        </is>
      </c>
      <c r="C294" s="2" t="inlineStr">
        <is>
          <t>'WritingMaster'!$K$6:$K$45</t>
        </is>
      </c>
    </row>
    <row r="295">
      <c r="B295" s="14" t="inlineStr">
        <is>
          <t>rngWMdue</t>
        </is>
      </c>
      <c r="C295" s="2" t="inlineStr">
        <is>
          <t>'WritingMaster'!$L$6:$L$45</t>
        </is>
      </c>
    </row>
    <row r="296">
      <c r="B296" s="14" t="inlineStr">
        <is>
          <t>rngWMnum</t>
        </is>
      </c>
      <c r="C296" s="2" t="inlineStr">
        <is>
          <t>'WritingMaster'!$B$6:$B$45</t>
        </is>
      </c>
    </row>
    <row r="297">
      <c r="B297" s="14" t="inlineStr">
        <is>
          <t>rngWMprompt</t>
        </is>
      </c>
      <c r="C297" s="2" t="inlineStr">
        <is>
          <t>'WritingMaster'!$M$6:$M$45</t>
        </is>
      </c>
    </row>
    <row r="298">
      <c r="B298" s="14" t="inlineStr">
        <is>
          <t>rngWMtitle</t>
        </is>
      </c>
      <c r="C298"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2026-08-22T02:43:35Z</dcterms:created>
  <dcterms:modified xsi:type="dcterms:W3CDTF">2026-08-22T02:43:41Z</dcterms:modified>
</cp:coreProperties>
</file>