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925" documentId="11_0B1D56BE9CDCCE836B02CE7A5FB0D4A9BBFD1C62" xr6:coauthVersionLast="47" xr6:coauthVersionMax="47" xr10:uidLastSave="{E556F836-2998-4860-803C-D7DFB8F60BDB}"/>
  <bookViews>
    <workbookView xWindow="240" yWindow="105" windowWidth="14805" windowHeight="8010" firstSheet="5" activeTab="5" xr2:uid="{00000000-000D-0000-FFFF-FFFF00000000}"/>
  </bookViews>
  <sheets>
    <sheet name="Basic Functions" sheetId="1" r:id="rId1"/>
    <sheet name="Financial Function" sheetId="2" r:id="rId2"/>
    <sheet name="Database Functions" sheetId="3" r:id="rId3"/>
    <sheet name="Pivot Table" sheetId="4" r:id="rId4"/>
    <sheet name="Sheet1" sheetId="5" r:id="rId5"/>
    <sheet name="AI.ASK" sheetId="6" r:id="rId6"/>
  </sheets>
  <definedNames>
    <definedName name="Total">'Basic Functions'!$K$14:$K$15</definedName>
  </definedNames>
  <calcPr calcId="191028"/>
  <pivotCaches>
    <pivotCache cacheId="106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6" l="1" a="1"/>
  <c r="D15" i="6"/>
  <c r="C7" i="6" a="1"/>
  <c r="C7" i="6"/>
  <c r="C31" i="5" a="1"/>
  <c r="C31" i="5"/>
  <c r="C24" i="5"/>
  <c r="F5" i="5" a="1"/>
  <c r="F5" i="5"/>
  <c r="AP11" i="3"/>
  <c r="P11" i="3"/>
  <c r="H10" i="3"/>
  <c r="AJ12" i="3"/>
  <c r="AN12" i="3"/>
  <c r="AM12" i="3"/>
  <c r="AL12" i="3"/>
  <c r="AK12" i="3"/>
  <c r="X26" i="3"/>
  <c r="Y26" i="3"/>
  <c r="AB26" i="3"/>
  <c r="AA26" i="3"/>
  <c r="Z26" i="3"/>
  <c r="T32" i="3"/>
  <c r="P32" i="3"/>
  <c r="S32" i="3"/>
  <c r="R32" i="3"/>
  <c r="Q32" i="3"/>
  <c r="P27" i="3"/>
  <c r="T11" i="3"/>
  <c r="S11" i="3"/>
  <c r="R11" i="3"/>
  <c r="Q11" i="3"/>
  <c r="H25" i="3"/>
  <c r="K29" i="3"/>
  <c r="J29" i="3"/>
  <c r="I29" i="3"/>
  <c r="L29" i="3"/>
  <c r="H29" i="3"/>
  <c r="L10" i="3"/>
  <c r="K10" i="3"/>
  <c r="J10" i="3"/>
  <c r="I10" i="3"/>
  <c r="K17" i="1"/>
  <c r="F9" i="2"/>
  <c r="K6" i="2"/>
  <c r="K7" i="2"/>
  <c r="K8" i="2"/>
  <c r="K9" i="2"/>
  <c r="K10" i="2"/>
  <c r="C9" i="2"/>
  <c r="B9" i="2" a="1"/>
  <c r="B9" i="2"/>
  <c r="D9" i="2" s="1"/>
  <c r="K15" i="1"/>
  <c r="K14" i="1"/>
  <c r="D10" i="2" l="1"/>
  <c r="D11" i="2"/>
  <c r="D12" i="2"/>
  <c r="D13" i="2"/>
  <c r="D14" i="2"/>
  <c r="D15" i="2"/>
  <c r="D16" i="2"/>
  <c r="D17" i="2"/>
  <c r="D18" i="2"/>
  <c r="D19" i="2"/>
  <c r="D20" i="2"/>
  <c r="D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<sst xmlns="http://schemas.openxmlformats.org/spreadsheetml/2006/main" count="256" uniqueCount="133">
  <si>
    <t>Invoice</t>
  </si>
  <si>
    <t>Reference:</t>
  </si>
  <si>
    <t>XYZ LTD</t>
  </si>
  <si>
    <t>Invoice #</t>
  </si>
  <si>
    <t>123 Somewhere</t>
  </si>
  <si>
    <t>Date Issued</t>
  </si>
  <si>
    <t>Date Due</t>
  </si>
  <si>
    <t>Street</t>
  </si>
  <si>
    <t>City A</t>
  </si>
  <si>
    <t>Std 12345</t>
  </si>
  <si>
    <t>Descripton</t>
  </si>
  <si>
    <t>QTY</t>
  </si>
  <si>
    <t>Price</t>
  </si>
  <si>
    <t>Vat</t>
  </si>
  <si>
    <t>Total</t>
  </si>
  <si>
    <t>Social media Tempalte</t>
  </si>
  <si>
    <t>Deployment</t>
  </si>
  <si>
    <t>Sub Total</t>
  </si>
  <si>
    <t>TOTAL</t>
  </si>
  <si>
    <t>Annual interest rate</t>
  </si>
  <si>
    <t>Loan term ( in years)</t>
  </si>
  <si>
    <t>Payments per year</t>
  </si>
  <si>
    <t>interest Rate</t>
  </si>
  <si>
    <t>Length of the Loan in Years</t>
  </si>
  <si>
    <t>Loan Amount</t>
  </si>
  <si>
    <t>Monthly Payment</t>
  </si>
  <si>
    <t>Loan amount</t>
  </si>
  <si>
    <t>Period</t>
  </si>
  <si>
    <t>Payment</t>
  </si>
  <si>
    <t>Principal</t>
  </si>
  <si>
    <t>Financial Functions</t>
  </si>
  <si>
    <t>FV (Future Value)</t>
  </si>
  <si>
    <t>Investment Amount</t>
  </si>
  <si>
    <t>Annual Interest Rate</t>
  </si>
  <si>
    <t>Investment Period (Years</t>
  </si>
  <si>
    <t>Compounding Frequency </t>
  </si>
  <si>
    <t>Monthly</t>
  </si>
  <si>
    <t xml:space="preserve">After 10y, the investment will be  worth : </t>
  </si>
  <si>
    <t>PV (Present Value)</t>
  </si>
  <si>
    <t>Future Value</t>
  </si>
  <si>
    <t>Annual Discount Rate</t>
  </si>
  <si>
    <t>Time to Maturity ( in Years)</t>
  </si>
  <si>
    <t>Present value of that future payment</t>
  </si>
  <si>
    <t>PMT (Payment)</t>
  </si>
  <si>
    <t>Loan Term ( years)</t>
  </si>
  <si>
    <t xml:space="preserve"> Monthly mortgage payment</t>
  </si>
  <si>
    <t>RATE (Interest rate)</t>
  </si>
  <si>
    <t>Numner of Payments</t>
  </si>
  <si>
    <t>Payment Amount</t>
  </si>
  <si>
    <t>Present Value</t>
  </si>
  <si>
    <t>Monthly interest rate on this loan</t>
  </si>
  <si>
    <t>NPER (Number of Period)</t>
  </si>
  <si>
    <t>Number of Months to pay the Loan</t>
  </si>
  <si>
    <t>IRR (Internal Rate of Return)</t>
  </si>
  <si>
    <t>year 0 ( initial Investment)</t>
  </si>
  <si>
    <t>year 1</t>
  </si>
  <si>
    <t>year 2</t>
  </si>
  <si>
    <t>year 3</t>
  </si>
  <si>
    <t>year 4</t>
  </si>
  <si>
    <t>The interest Rate of the Return of the investment</t>
  </si>
  <si>
    <t>NPV (Net Present Value)</t>
  </si>
  <si>
    <t>Discount Rate</t>
  </si>
  <si>
    <t>Net present value (NPV) of the investment , assuming a discount rate of 10%</t>
  </si>
  <si>
    <t>XNPV (Net Present Value with Variable Dates)</t>
  </si>
  <si>
    <t>Date</t>
  </si>
  <si>
    <t>Cache FLow</t>
  </si>
  <si>
    <t>Net present value (NPV) using a discount rate of 10%</t>
  </si>
  <si>
    <t>XIRR (Internal Rate of Return with Variable Dates)</t>
  </si>
  <si>
    <t xml:space="preserve"> Internal rate of return (IRR) for this investment</t>
  </si>
  <si>
    <t>Level</t>
  </si>
  <si>
    <t>Name</t>
  </si>
  <si>
    <t>Amount</t>
  </si>
  <si>
    <t>Single Criteria</t>
  </si>
  <si>
    <t>Multiple Or Criteria</t>
  </si>
  <si>
    <t>Frank Anderson</t>
  </si>
  <si>
    <t>Criteria</t>
  </si>
  <si>
    <t>WildCard Criteria</t>
  </si>
  <si>
    <t xml:space="preserve">Get Data  </t>
  </si>
  <si>
    <t>Jack Jones</t>
  </si>
  <si>
    <t>DGET</t>
  </si>
  <si>
    <t>Jack Taylor</t>
  </si>
  <si>
    <t>Frank Miller</t>
  </si>
  <si>
    <t>B*</t>
  </si>
  <si>
    <t>Helen Taylor</t>
  </si>
  <si>
    <t>DSUM</t>
  </si>
  <si>
    <t>DMAX</t>
  </si>
  <si>
    <t>DMIN</t>
  </si>
  <si>
    <t>DAVG</t>
  </si>
  <si>
    <t>DCOUNT</t>
  </si>
  <si>
    <t>Grace Miller</t>
  </si>
  <si>
    <t>Helen Smith</t>
  </si>
  <si>
    <t>Ivy Anderson</t>
  </si>
  <si>
    <t>Grace Wilson</t>
  </si>
  <si>
    <t>Jack Williams</t>
  </si>
  <si>
    <t>Bob Moore</t>
  </si>
  <si>
    <t>Frank Taylor</t>
  </si>
  <si>
    <t>Eve Miller</t>
  </si>
  <si>
    <t>Alice Jones</t>
  </si>
  <si>
    <t>Multiple Or Criteria on # Field</t>
  </si>
  <si>
    <t>Eve Jones</t>
  </si>
  <si>
    <t>Multiple AND Criteria</t>
  </si>
  <si>
    <t>Multiple  Criteria</t>
  </si>
  <si>
    <t>Jack Smith</t>
  </si>
  <si>
    <t>Bob Jones</t>
  </si>
  <si>
    <t>Grace Brown</t>
  </si>
  <si>
    <t>&gt;=1/1/2024</t>
  </si>
  <si>
    <t>&lt;=1/15/2024</t>
  </si>
  <si>
    <t>&lt;&gt; Bob Jones</t>
  </si>
  <si>
    <t>Ivy Wilson</t>
  </si>
  <si>
    <t>Alice Taylor</t>
  </si>
  <si>
    <t>Eve Moore</t>
  </si>
  <si>
    <t>DAVERAGE</t>
  </si>
  <si>
    <t>Bob Anderson</t>
  </si>
  <si>
    <t>Jack Miller</t>
  </si>
  <si>
    <t>Grace Moore</t>
  </si>
  <si>
    <t>Sum of Amount</t>
  </si>
  <si>
    <t>Grand Total</t>
  </si>
  <si>
    <t>Revenue (in millions)</t>
  </si>
  <si>
    <t>Trend</t>
  </si>
  <si>
    <t>who's the ceo of Amazon</t>
  </si>
  <si>
    <t>= AI.ASK</t>
  </si>
  <si>
    <t>Question:  What Excel formula should I use to sum a list of values only if they are greater than 10</t>
  </si>
  <si>
    <t>= AI.FILL</t>
  </si>
  <si>
    <t>CITY</t>
  </si>
  <si>
    <t>Country</t>
  </si>
  <si>
    <t>Continent</t>
  </si>
  <si>
    <t>tokyo</t>
  </si>
  <si>
    <t>Japan</t>
  </si>
  <si>
    <t>Asia</t>
  </si>
  <si>
    <t>Madrid</t>
  </si>
  <si>
    <t>Paris</t>
  </si>
  <si>
    <t>NY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</si>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</sst>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22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48"/>
      <color theme="1"/>
      <name val="Batang"/>
    </font>
    <font>
      <b/>
      <sz val="11"/>
      <color theme="1"/>
      <name val="Aptos Narrow"/>
      <family val="2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48"/>
      <color theme="1"/>
      <name val="Aptos Narrow"/>
      <family val="2"/>
      <scheme val="minor"/>
    </font>
    <font>
      <b/>
      <sz val="11"/>
      <color rgb="FF000000"/>
      <name val="Var(--Colab-Code-Font-Family)"/>
      <charset val="1"/>
    </font>
    <font>
      <b/>
      <sz val="11"/>
      <color rgb="FF000000"/>
      <name val="Roboto"/>
      <charset val="1"/>
    </font>
    <font>
      <sz val="11"/>
      <color rgb="FF000000"/>
      <name val="Roboto"/>
      <charset val="1"/>
    </font>
    <font>
      <sz val="13.5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28"/>
      <color theme="1"/>
      <name val="Batang"/>
    </font>
    <font>
      <sz val="20"/>
      <color theme="1"/>
      <name val="Batang"/>
    </font>
    <font>
      <sz val="18"/>
      <color theme="1"/>
      <name val="Century"/>
    </font>
    <font>
      <sz val="12"/>
      <color rgb="FF000000"/>
      <name val="Batang"/>
    </font>
    <font>
      <sz val="12"/>
      <color theme="1"/>
      <name val="Batang"/>
    </font>
    <font>
      <sz val="16"/>
      <color rgb="FF000000"/>
      <name val="Century"/>
    </font>
    <font>
      <b/>
      <sz val="12"/>
      <color rgb="FF000000"/>
      <name val="Batang"/>
    </font>
    <font>
      <b/>
      <sz val="12"/>
      <color theme="1"/>
      <name val="Batang"/>
    </font>
    <font>
      <sz val="11"/>
      <color theme="1"/>
      <name val="Aptos Narrow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  <xf numFmtId="43" fontId="20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0" borderId="0" xfId="1"/>
    <xf numFmtId="6" fontId="4" fillId="0" borderId="0" xfId="1" applyNumberFormat="1"/>
    <xf numFmtId="9" fontId="4" fillId="0" borderId="0" xfId="1" applyNumberFormat="1"/>
    <xf numFmtId="0" fontId="1" fillId="3" borderId="0" xfId="2"/>
    <xf numFmtId="6" fontId="1" fillId="3" borderId="0" xfId="2" applyNumberFormat="1"/>
    <xf numFmtId="0" fontId="5" fillId="3" borderId="0" xfId="2" applyFont="1"/>
    <xf numFmtId="9" fontId="0" fillId="0" borderId="0" xfId="0" applyNumberFormat="1"/>
    <xf numFmtId="6" fontId="0" fillId="0" borderId="0" xfId="0" applyNumberFormat="1"/>
    <xf numFmtId="0" fontId="0" fillId="4" borderId="0" xfId="0" applyFill="1"/>
    <xf numFmtId="4" fontId="0" fillId="0" borderId="0" xfId="0" applyNumberFormat="1"/>
    <xf numFmtId="8" fontId="0" fillId="0" borderId="0" xfId="0" applyNumberFormat="1"/>
    <xf numFmtId="0" fontId="3" fillId="5" borderId="1" xfId="0" applyFont="1" applyFill="1" applyBorder="1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3" fontId="0" fillId="0" borderId="1" xfId="0" applyNumberFormat="1" applyBorder="1"/>
    <xf numFmtId="8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14" fontId="9" fillId="0" borderId="3" xfId="0" applyNumberFormat="1" applyFont="1" applyBorder="1" applyAlignment="1">
      <alignment wrapText="1"/>
    </xf>
    <xf numFmtId="164" fontId="9" fillId="0" borderId="4" xfId="0" applyNumberFormat="1" applyFont="1" applyBorder="1" applyAlignment="1">
      <alignment wrapText="1"/>
    </xf>
    <xf numFmtId="0" fontId="7" fillId="4" borderId="5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9" fillId="0" borderId="2" xfId="0" applyFont="1" applyBorder="1" applyAlignment="1">
      <alignment wrapText="1"/>
    </xf>
    <xf numFmtId="14" fontId="9" fillId="0" borderId="2" xfId="0" applyNumberFormat="1" applyFont="1" applyBorder="1" applyAlignment="1">
      <alignment wrapText="1"/>
    </xf>
    <xf numFmtId="0" fontId="9" fillId="0" borderId="8" xfId="0" applyFont="1" applyBorder="1" applyAlignment="1">
      <alignment wrapText="1"/>
    </xf>
    <xf numFmtId="164" fontId="9" fillId="0" borderId="9" xfId="0" applyNumberFormat="1" applyFont="1" applyBorder="1" applyAlignment="1">
      <alignment wrapText="1"/>
    </xf>
    <xf numFmtId="0" fontId="3" fillId="6" borderId="0" xfId="0" applyFont="1" applyFill="1" applyAlignment="1">
      <alignment horizontal="center"/>
    </xf>
    <xf numFmtId="0" fontId="3" fillId="7" borderId="0" xfId="0" applyFont="1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3" fillId="7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pivotButton="1"/>
    <xf numFmtId="2" fontId="3" fillId="7" borderId="0" xfId="0" applyNumberFormat="1" applyFont="1" applyFill="1"/>
    <xf numFmtId="0" fontId="11" fillId="0" borderId="0" xfId="0" applyFont="1"/>
    <xf numFmtId="0" fontId="10" fillId="0" borderId="0" xfId="0" applyFont="1"/>
    <xf numFmtId="0" fontId="13" fillId="0" borderId="0" xfId="0" applyFont="1" applyAlignment="1">
      <alignment horizontal="center" wrapText="1"/>
    </xf>
    <xf numFmtId="0" fontId="14" fillId="4" borderId="0" xfId="0" applyFont="1" applyFill="1"/>
    <xf numFmtId="0" fontId="13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left"/>
    </xf>
    <xf numFmtId="164" fontId="16" fillId="0" borderId="0" xfId="0" applyNumberFormat="1" applyFont="1"/>
    <xf numFmtId="9" fontId="16" fillId="0" borderId="0" xfId="0" applyNumberFormat="1" applyFont="1"/>
    <xf numFmtId="0" fontId="16" fillId="0" borderId="0" xfId="0" applyFont="1"/>
    <xf numFmtId="6" fontId="16" fillId="0" borderId="0" xfId="0" applyNumberFormat="1" applyFont="1" applyAlignment="1">
      <alignment horizontal="right"/>
    </xf>
    <xf numFmtId="9" fontId="16" fillId="0" borderId="0" xfId="0" applyNumberFormat="1" applyFont="1" applyAlignment="1">
      <alignment wrapText="1"/>
    </xf>
    <xf numFmtId="0" fontId="17" fillId="0" borderId="0" xfId="0" applyFont="1"/>
    <xf numFmtId="0" fontId="0" fillId="6" borderId="0" xfId="0" applyFill="1"/>
    <xf numFmtId="164" fontId="16" fillId="0" borderId="0" xfId="0" applyNumberFormat="1" applyFont="1" applyAlignment="1">
      <alignment wrapText="1"/>
    </xf>
    <xf numFmtId="0" fontId="18" fillId="2" borderId="0" xfId="0" applyFont="1" applyFill="1" applyAlignment="1">
      <alignment horizontal="left"/>
    </xf>
    <xf numFmtId="164" fontId="19" fillId="2" borderId="0" xfId="0" applyNumberFormat="1" applyFont="1" applyFill="1"/>
    <xf numFmtId="14" fontId="15" fillId="4" borderId="0" xfId="0" applyNumberFormat="1" applyFont="1" applyFill="1" applyAlignment="1">
      <alignment horizontal="left"/>
    </xf>
    <xf numFmtId="0" fontId="0" fillId="5" borderId="0" xfId="0" applyFill="1"/>
    <xf numFmtId="0" fontId="21" fillId="5" borderId="10" xfId="0" applyFont="1" applyFill="1" applyBorder="1" applyAlignment="1">
      <alignment horizontal="center"/>
    </xf>
    <xf numFmtId="0" fontId="21" fillId="5" borderId="11" xfId="0" applyFont="1" applyFill="1" applyBorder="1"/>
    <xf numFmtId="14" fontId="0" fillId="0" borderId="10" xfId="0" applyNumberFormat="1" applyBorder="1"/>
    <xf numFmtId="14" fontId="0" fillId="10" borderId="10" xfId="0" applyNumberFormat="1" applyFill="1" applyBorder="1"/>
    <xf numFmtId="2" fontId="0" fillId="0" borderId="11" xfId="3" applyNumberFormat="1" applyFont="1" applyBorder="1" applyAlignment="1">
      <alignment horizontal="center"/>
    </xf>
    <xf numFmtId="2" fontId="0" fillId="10" borderId="1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5" fillId="4" borderId="0" xfId="0" applyFont="1" applyFill="1" applyAlignment="1">
      <alignment horizontal="left"/>
    </xf>
    <xf numFmtId="0" fontId="12" fillId="5" borderId="0" xfId="0" applyFont="1" applyFill="1" applyAlignment="1">
      <alignment horizontal="center" wrapText="1"/>
    </xf>
    <xf numFmtId="0" fontId="14" fillId="4" borderId="0" xfId="0" applyFont="1" applyFill="1" applyAlignment="1">
      <alignment horizontal="center"/>
    </xf>
    <xf numFmtId="0" fontId="17" fillId="0" borderId="0" xfId="0" applyFont="1" applyAlignment="1">
      <alignment horizontal="left" wrapText="1"/>
    </xf>
    <xf numFmtId="0" fontId="15" fillId="9" borderId="0" xfId="0" applyFont="1" applyFill="1" applyAlignment="1">
      <alignment horizontal="left"/>
    </xf>
    <xf numFmtId="0" fontId="3" fillId="6" borderId="0" xfId="0" applyFont="1" applyFill="1" applyAlignment="1">
      <alignment horizontal="center"/>
    </xf>
    <xf numFmtId="49" fontId="0" fillId="11" borderId="0" xfId="0" applyNumberForma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/>
    <xf numFmtId="0" fontId="3" fillId="9" borderId="0" xfId="0" applyFont="1" applyFill="1" applyAlignment="1"/>
    <xf numFmtId="0" fontId="0" fillId="0" borderId="0" xfId="0" applyAlignment="1"/>
  </cellXfs>
  <cellStyles count="4">
    <cellStyle name="20% - Accent1" xfId="2" builtinId="30"/>
    <cellStyle name="Comma" xfId="3" builtinId="3"/>
    <cellStyle name="Explanatory Text" xfId="1" builtinId="5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charset val="1"/>
        <scheme val="none"/>
      </font>
      <numFmt numFmtId="164" formatCode="&quot;$&quot;#,##0.00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charset val="1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oboto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ar(--Colab-Code-Font-Family)"/>
        <charset val="1"/>
        <scheme val="none"/>
      </font>
      <fill>
        <patternFill patternType="solid">
          <fgColor indexed="64"/>
          <bgColor theme="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Trend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Sheet1!$C$5:$C$20</c:f>
              <c:numCache>
                <c:formatCode>m/d/yyyy</c:formatCode>
                <c:ptCount val="16"/>
                <c:pt idx="0">
                  <c:v>44926</c:v>
                </c:pt>
                <c:pt idx="1">
                  <c:v>44834</c:v>
                </c:pt>
                <c:pt idx="2">
                  <c:v>44742</c:v>
                </c:pt>
                <c:pt idx="3">
                  <c:v>44651</c:v>
                </c:pt>
                <c:pt idx="4">
                  <c:v>44561</c:v>
                </c:pt>
                <c:pt idx="5">
                  <c:v>44469</c:v>
                </c:pt>
                <c:pt idx="6">
                  <c:v>44377</c:v>
                </c:pt>
                <c:pt idx="7">
                  <c:v>44286</c:v>
                </c:pt>
                <c:pt idx="8">
                  <c:v>44196</c:v>
                </c:pt>
                <c:pt idx="9">
                  <c:v>44104</c:v>
                </c:pt>
                <c:pt idx="10">
                  <c:v>44012</c:v>
                </c:pt>
                <c:pt idx="11">
                  <c:v>43921</c:v>
                </c:pt>
                <c:pt idx="12">
                  <c:v>43830</c:v>
                </c:pt>
                <c:pt idx="13">
                  <c:v>43738</c:v>
                </c:pt>
                <c:pt idx="14">
                  <c:v>43646</c:v>
                </c:pt>
                <c:pt idx="15">
                  <c:v>43555</c:v>
                </c:pt>
              </c:numCache>
            </c:numRef>
          </c:cat>
          <c:val>
            <c:numRef>
              <c:f>Sheet1!$F$5:$F$20</c:f>
              <c:numCache>
                <c:formatCode>General</c:formatCode>
                <c:ptCount val="16"/>
                <c:pt idx="0">
                  <c:v>4774.2574730037613</c:v>
                </c:pt>
                <c:pt idx="1">
                  <c:v>4780.8243037603679</c:v>
                </c:pt>
                <c:pt idx="2">
                  <c:v>4787.3911345169745</c:v>
                </c:pt>
                <c:pt idx="3">
                  <c:v>4793.8865866784017</c:v>
                </c:pt>
                <c:pt idx="4">
                  <c:v>4800.3106602446469</c:v>
                </c:pt>
                <c:pt idx="5">
                  <c:v>4806.8774910012535</c:v>
                </c:pt>
                <c:pt idx="6">
                  <c:v>4813.4443217578601</c:v>
                </c:pt>
                <c:pt idx="7">
                  <c:v>4819.9397739192864</c:v>
                </c:pt>
                <c:pt idx="8">
                  <c:v>4826.3638474855325</c:v>
                </c:pt>
                <c:pt idx="9">
                  <c:v>4832.930678242139</c:v>
                </c:pt>
                <c:pt idx="10">
                  <c:v>4839.4975089987456</c:v>
                </c:pt>
                <c:pt idx="11">
                  <c:v>4845.992961160171</c:v>
                </c:pt>
                <c:pt idx="12">
                  <c:v>4852.4884133215974</c:v>
                </c:pt>
                <c:pt idx="13">
                  <c:v>4859.0552440782039</c:v>
                </c:pt>
                <c:pt idx="14">
                  <c:v>4865.6220748348114</c:v>
                </c:pt>
                <c:pt idx="15">
                  <c:v>4872.1175269962368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6-4CFE-A254-EF6C93712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829256"/>
        <c:axId val="907831304"/>
      </c:lineChart>
      <c:dateAx>
        <c:axId val="9078292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31304"/>
        <c:crosses val="autoZero"/>
        <c:auto val="1"/>
        <c:lblOffset val="100"/>
        <c:baseTimeUnit val="months"/>
      </c:dateAx>
      <c:valAx>
        <c:axId val="907831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82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Revenue (in millions)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Sheet1!$C$5:$C$20</c:f>
              <c:numCache>
                <c:formatCode>m/d/yyyy</c:formatCode>
                <c:ptCount val="16"/>
                <c:pt idx="0">
                  <c:v>44926</c:v>
                </c:pt>
                <c:pt idx="1">
                  <c:v>44834</c:v>
                </c:pt>
                <c:pt idx="2">
                  <c:v>44742</c:v>
                </c:pt>
                <c:pt idx="3">
                  <c:v>44651</c:v>
                </c:pt>
                <c:pt idx="4">
                  <c:v>44561</c:v>
                </c:pt>
                <c:pt idx="5">
                  <c:v>44469</c:v>
                </c:pt>
                <c:pt idx="6">
                  <c:v>44377</c:v>
                </c:pt>
                <c:pt idx="7">
                  <c:v>44286</c:v>
                </c:pt>
                <c:pt idx="8">
                  <c:v>44196</c:v>
                </c:pt>
                <c:pt idx="9">
                  <c:v>44104</c:v>
                </c:pt>
                <c:pt idx="10">
                  <c:v>44012</c:v>
                </c:pt>
                <c:pt idx="11">
                  <c:v>43921</c:v>
                </c:pt>
                <c:pt idx="12">
                  <c:v>43830</c:v>
                </c:pt>
                <c:pt idx="13">
                  <c:v>43738</c:v>
                </c:pt>
                <c:pt idx="14">
                  <c:v>43646</c:v>
                </c:pt>
                <c:pt idx="15">
                  <c:v>43555</c:v>
                </c:pt>
              </c:numCache>
            </c:numRef>
          </c:cat>
          <c:val>
            <c:numRef>
              <c:f>Sheet1!$D$5:$D$20</c:f>
              <c:numCache>
                <c:formatCode>0.00</c:formatCode>
                <c:ptCount val="16"/>
                <c:pt idx="0">
                  <c:v>4899</c:v>
                </c:pt>
                <c:pt idx="1">
                  <c:v>5123</c:v>
                </c:pt>
                <c:pt idx="2">
                  <c:v>6689</c:v>
                </c:pt>
                <c:pt idx="3">
                  <c:v>4199</c:v>
                </c:pt>
                <c:pt idx="4">
                  <c:v>3889</c:v>
                </c:pt>
                <c:pt idx="5">
                  <c:v>3946</c:v>
                </c:pt>
                <c:pt idx="6">
                  <c:v>6587</c:v>
                </c:pt>
                <c:pt idx="7">
                  <c:v>3789</c:v>
                </c:pt>
                <c:pt idx="8">
                  <c:v>3523</c:v>
                </c:pt>
                <c:pt idx="9">
                  <c:v>3999</c:v>
                </c:pt>
                <c:pt idx="10">
                  <c:v>5663</c:v>
                </c:pt>
                <c:pt idx="11">
                  <c:v>3789</c:v>
                </c:pt>
                <c:pt idx="12">
                  <c:v>4258</c:v>
                </c:pt>
                <c:pt idx="13">
                  <c:v>5548</c:v>
                </c:pt>
                <c:pt idx="14">
                  <c:v>6258</c:v>
                </c:pt>
                <c:pt idx="15">
                  <c:v>5012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6-4237-A618-A6243DF4A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056840"/>
        <c:axId val="2112050696"/>
      </c:lineChart>
      <c:dateAx>
        <c:axId val="2112056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050696"/>
        <c:crosses val="autoZero"/>
        <c:auto val="1"/>
        <c:lblOffset val="100"/>
        <c:baseTimeUnit val="months"/>
      </c:dateAx>
      <c:valAx>
        <c:axId val="211205069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05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19</xdr:row>
      <xdr:rowOff>133350</xdr:rowOff>
    </xdr:from>
    <xdr:to>
      <xdr:col>14</xdr:col>
      <xdr:colOff>476250</xdr:colOff>
      <xdr:row>34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2A191-42A1-A592-8F8A-281AD4513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5</xdr:row>
      <xdr:rowOff>38100</xdr:rowOff>
    </xdr:from>
    <xdr:to>
      <xdr:col>14</xdr:col>
      <xdr:colOff>476250</xdr:colOff>
      <xdr:row>19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D93409-363F-76FB-E735-7510A21C6F54}"/>
            </a:ext>
            <a:ext uri="{147F2762-F138-4A5C-976F-8EAC2B608ADB}">
              <a16:predDERef xmlns:a16="http://schemas.microsoft.com/office/drawing/2014/main" pred="{FF22A191-42A1-A592-8F8A-281AD4513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08.636449768521" createdVersion="8" refreshedVersion="8" minRefreshableVersion="3" recordCount="25" xr:uid="{25391AB6-478C-4DC2-A731-A445A26233DF}">
  <cacheSource type="worksheet">
    <worksheetSource name="Table"/>
  </cacheSource>
  <cacheFields count="5">
    <cacheField name="Level" numFmtId="0">
      <sharedItems containsSemiMixedTypes="0" containsString="0" containsNumber="1" containsInteger="1" minValue="1" maxValue="8" count="8">
        <n v="8"/>
        <n v="5"/>
        <n v="1"/>
        <n v="4"/>
        <n v="6"/>
        <n v="2"/>
        <n v="3"/>
        <n v="7"/>
      </sharedItems>
    </cacheField>
    <cacheField name="Date" numFmtId="14">
      <sharedItems containsSemiMixedTypes="0" containsNonDate="0" containsDate="1" containsString="0" minDate="2024-01-01T00:00:00" maxDate="2024-01-26T00:00:00"/>
    </cacheField>
    <cacheField name="Invoice" numFmtId="0">
      <sharedItems containsSemiMixedTypes="0" containsString="0" containsNumber="1" containsInteger="1" minValue="18716114" maxValue="967989523"/>
    </cacheField>
    <cacheField name="Name" numFmtId="0">
      <sharedItems count="24">
        <s v="Frank Anderson"/>
        <s v="Jack Jones"/>
        <s v="Jack Taylor"/>
        <s v="Frank Miller"/>
        <s v="Helen Taylor"/>
        <s v="Grace Miller"/>
        <s v="Helen Smith"/>
        <s v="Ivy Anderson"/>
        <s v="Grace Wilson"/>
        <s v="Jack Williams"/>
        <s v="Bob Moore"/>
        <s v="Frank Taylor"/>
        <s v="Eve Miller"/>
        <s v="Alice Jones"/>
        <s v="Eve Jones"/>
        <s v="Jack Smith"/>
        <s v="Bob Jones"/>
        <s v="Grace Brown"/>
        <s v="Ivy Wilson"/>
        <s v="Alice Taylor"/>
        <s v="Eve Moore"/>
        <s v="Bob Anderson"/>
        <s v="Jack Miller"/>
        <s v="Grace Moore"/>
      </sharedItems>
    </cacheField>
    <cacheField name="Amount" numFmtId="164">
      <sharedItems containsSemiMixedTypes="0" containsString="0" containsNumber="1" minValue="45.01" maxValue="988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d v="2024-01-01T00:00:00"/>
    <n v="765189668"/>
    <x v="0"/>
    <n v="702.22"/>
  </r>
  <r>
    <x v="1"/>
    <d v="2024-01-02T00:00:00"/>
    <n v="853432101"/>
    <x v="1"/>
    <n v="405.02"/>
  </r>
  <r>
    <x v="2"/>
    <d v="2024-01-03T00:00:00"/>
    <n v="151698941"/>
    <x v="2"/>
    <n v="988.25"/>
  </r>
  <r>
    <x v="3"/>
    <d v="2024-01-04T00:00:00"/>
    <n v="967989523"/>
    <x v="3"/>
    <n v="87.81"/>
  </r>
  <r>
    <x v="2"/>
    <d v="2024-01-05T00:00:00"/>
    <n v="358577717"/>
    <x v="4"/>
    <n v="45.01"/>
  </r>
  <r>
    <x v="4"/>
    <d v="2024-01-06T00:00:00"/>
    <n v="18716114"/>
    <x v="5"/>
    <n v="640.5"/>
  </r>
  <r>
    <x v="5"/>
    <d v="2024-01-07T00:00:00"/>
    <n v="635437308"/>
    <x v="6"/>
    <n v="537.64"/>
  </r>
  <r>
    <x v="6"/>
    <d v="2024-01-08T00:00:00"/>
    <n v="793212488"/>
    <x v="7"/>
    <n v="875.56"/>
  </r>
  <r>
    <x v="3"/>
    <d v="2024-01-09T00:00:00"/>
    <n v="619497954"/>
    <x v="8"/>
    <n v="738.76"/>
  </r>
  <r>
    <x v="0"/>
    <d v="2024-01-10T00:00:00"/>
    <n v="641484930"/>
    <x v="9"/>
    <n v="864.12"/>
  </r>
  <r>
    <x v="2"/>
    <d v="2024-01-11T00:00:00"/>
    <n v="438914912"/>
    <x v="10"/>
    <n v="811.73"/>
  </r>
  <r>
    <x v="6"/>
    <d v="2024-01-12T00:00:00"/>
    <n v="782025470"/>
    <x v="11"/>
    <n v="897.6"/>
  </r>
  <r>
    <x v="4"/>
    <d v="2024-01-13T00:00:00"/>
    <n v="605114208"/>
    <x v="12"/>
    <n v="982.99"/>
  </r>
  <r>
    <x v="2"/>
    <d v="2024-01-14T00:00:00"/>
    <n v="291384443"/>
    <x v="13"/>
    <n v="120.94"/>
  </r>
  <r>
    <x v="6"/>
    <d v="2024-01-15T00:00:00"/>
    <n v="843414502"/>
    <x v="14"/>
    <n v="513.15"/>
  </r>
  <r>
    <x v="0"/>
    <d v="2024-01-16T00:00:00"/>
    <n v="581657153"/>
    <x v="15"/>
    <n v="477.56"/>
  </r>
  <r>
    <x v="3"/>
    <d v="2024-01-17T00:00:00"/>
    <n v="52395752"/>
    <x v="16"/>
    <n v="159.13999999999999"/>
  </r>
  <r>
    <x v="4"/>
    <d v="2024-01-18T00:00:00"/>
    <n v="113158733"/>
    <x v="17"/>
    <n v="284.14999999999998"/>
  </r>
  <r>
    <x v="6"/>
    <d v="2024-01-19T00:00:00"/>
    <n v="728833880"/>
    <x v="18"/>
    <n v="120.01"/>
  </r>
  <r>
    <x v="0"/>
    <d v="2024-01-20T00:00:00"/>
    <n v="666166436"/>
    <x v="19"/>
    <n v="73.819999999999993"/>
  </r>
  <r>
    <x v="7"/>
    <d v="2024-01-21T00:00:00"/>
    <n v="110148284"/>
    <x v="20"/>
    <n v="856.97"/>
  </r>
  <r>
    <x v="4"/>
    <d v="2024-01-22T00:00:00"/>
    <n v="829697490"/>
    <x v="21"/>
    <n v="961.05"/>
  </r>
  <r>
    <x v="3"/>
    <d v="2024-01-23T00:00:00"/>
    <n v="113554516"/>
    <x v="22"/>
    <n v="865.02"/>
  </r>
  <r>
    <x v="7"/>
    <d v="2024-01-24T00:00:00"/>
    <n v="57999123"/>
    <x v="23"/>
    <n v="666.5"/>
  </r>
  <r>
    <x v="4"/>
    <d v="2024-01-25T00:00:00"/>
    <n v="220410520"/>
    <x v="11"/>
    <n v="255.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3EE0A-69CD-479A-A58A-D4C2F6FA7D3C}" name="PivotTable1" cacheId="10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29:AG55" firstHeaderRow="1" firstDataRow="2" firstDataCol="1"/>
  <pivotFields count="5">
    <pivotField axis="axisCol" compact="0" outline="0" showAll="0">
      <items count="9">
        <item x="2"/>
        <item x="5"/>
        <item x="6"/>
        <item x="3"/>
        <item x="1"/>
        <item x="4"/>
        <item x="7"/>
        <item x="0"/>
        <item t="default"/>
      </items>
    </pivotField>
    <pivotField compact="0" numFmtId="14" outline="0" showAll="0"/>
    <pivotField compact="0" outline="0" showAll="0"/>
    <pivotField axis="axisRow" compact="0" outline="0" showAll="0">
      <items count="25">
        <item x="13"/>
        <item x="19"/>
        <item x="21"/>
        <item x="16"/>
        <item x="10"/>
        <item x="14"/>
        <item x="12"/>
        <item x="20"/>
        <item x="0"/>
        <item x="3"/>
        <item x="11"/>
        <item x="17"/>
        <item x="5"/>
        <item x="23"/>
        <item x="8"/>
        <item x="6"/>
        <item x="4"/>
        <item x="7"/>
        <item x="18"/>
        <item x="1"/>
        <item x="22"/>
        <item x="15"/>
        <item x="2"/>
        <item x="9"/>
        <item t="default"/>
      </items>
    </pivotField>
    <pivotField dataField="1" compact="0" numFmtId="164" outline="0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E6F47-405A-4331-8031-91E6C8BE5BD4}" name="PivotTable2" cacheId="10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J28" firstHeaderRow="1" firstDataRow="2" firstDataCol="1"/>
  <pivotFields count="5">
    <pivotField axis="axisCol" compact="0" outline="0" showAll="0">
      <items count="9">
        <item x="2"/>
        <item x="5"/>
        <item x="6"/>
        <item x="3"/>
        <item x="1"/>
        <item x="4"/>
        <item x="7"/>
        <item x="0"/>
        <item t="default"/>
      </items>
    </pivotField>
    <pivotField compact="0" numFmtId="14" outline="0" showAll="0"/>
    <pivotField compact="0" outline="0" showAll="0"/>
    <pivotField axis="axisRow" compact="0" outline="0" showAll="0">
      <items count="25">
        <item x="13"/>
        <item x="19"/>
        <item x="21"/>
        <item x="16"/>
        <item x="10"/>
        <item x="14"/>
        <item x="12"/>
        <item x="20"/>
        <item x="0"/>
        <item x="3"/>
        <item x="11"/>
        <item x="17"/>
        <item x="5"/>
        <item x="23"/>
        <item x="8"/>
        <item x="6"/>
        <item x="4"/>
        <item x="7"/>
        <item x="18"/>
        <item x="1"/>
        <item x="22"/>
        <item x="15"/>
        <item x="2"/>
        <item x="9"/>
        <item t="default"/>
      </items>
    </pivotField>
    <pivotField dataField="1" compact="0" numFmtId="164" outline="0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753708-FF1E-4CBA-92CE-C69B967983AB}" name="Table" displayName="Table" ref="B4:F29" totalsRowShown="0" headerRowDxfId="8" headerRowBorderDxfId="6" tableBorderDxfId="7" totalsRowBorderDxfId="5">
  <autoFilter ref="B4:F29" xr:uid="{78753708-FF1E-4CBA-92CE-C69B967983AB}"/>
  <tableColumns count="5">
    <tableColumn id="1" xr3:uid="{02DFADC7-40C9-4BC8-9A5C-AE354046A446}" name="Level" dataDxfId="4"/>
    <tableColumn id="2" xr3:uid="{6A03028F-A881-44EE-AE82-9EC60063019A}" name="Date" dataDxfId="3"/>
    <tableColumn id="3" xr3:uid="{A5EBCA9D-1379-459B-8860-8EC4979D988D}" name="Invoice" dataDxfId="2"/>
    <tableColumn id="4" xr3:uid="{5E99F7D1-9A7A-41D7-A800-59CD4D85B6A9}" name="Name" dataDxfId="1"/>
    <tableColumn id="5" xr3:uid="{0AA2F658-1279-4261-9A71-CECC2CCDA4A2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EF74DE-A7AE-4D8A-9552-39567AD8E0D9}">
  <we:reference id="WA200005271" version="2.5.5.0" store="en-US" storeType="omex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  <a:ext xmlns:a="http://schemas.openxmlformats.org/drawingml/2006/main" uri="{0858819E-0033-43BF-8937-05EC82904868}">
      <we:backgroundApp state="0" runtimeId="Taskpane.Url"/>
    </a:ext>
  </we:extLst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9"/>
  <sheetViews>
    <sheetView topLeftCell="D1" workbookViewId="0">
      <selection activeCell="K14" sqref="K14:K15"/>
    </sheetView>
  </sheetViews>
  <sheetFormatPr defaultRowHeight="15"/>
  <cols>
    <col min="5" max="5" width="16.42578125" customWidth="1"/>
    <col min="6" max="6" width="12.7109375" customWidth="1"/>
    <col min="7" max="7" width="20.140625" customWidth="1"/>
    <col min="8" max="8" width="18.5703125" customWidth="1"/>
    <col min="11" max="11" width="23.85546875" customWidth="1"/>
  </cols>
  <sheetData>
    <row r="3" spans="3:13" ht="63.75">
      <c r="C3" s="1" t="s">
        <v>0</v>
      </c>
      <c r="F3" s="71" t="s">
        <v>1</v>
      </c>
      <c r="G3" s="71"/>
      <c r="H3" s="71"/>
    </row>
    <row r="5" spans="3:13">
      <c r="E5" s="69" t="s">
        <v>2</v>
      </c>
      <c r="F5" s="69"/>
      <c r="G5" s="69"/>
      <c r="I5" s="68" t="s">
        <v>3</v>
      </c>
      <c r="J5" s="68"/>
      <c r="K5" s="69">
        <v>12345</v>
      </c>
      <c r="L5" s="69"/>
      <c r="M5" s="69"/>
    </row>
    <row r="6" spans="3:13">
      <c r="E6" s="69" t="s">
        <v>4</v>
      </c>
      <c r="F6" s="69"/>
      <c r="G6" s="69"/>
      <c r="I6" s="68" t="s">
        <v>5</v>
      </c>
      <c r="J6" s="68"/>
      <c r="K6" s="70">
        <v>45614</v>
      </c>
      <c r="L6" s="69"/>
      <c r="M6" s="69"/>
    </row>
    <row r="7" spans="3:13">
      <c r="E7" s="69" t="s">
        <v>2</v>
      </c>
      <c r="F7" s="69"/>
      <c r="G7" s="69"/>
      <c r="I7" s="68" t="s">
        <v>6</v>
      </c>
      <c r="J7" s="68"/>
      <c r="K7" s="70">
        <v>45656</v>
      </c>
      <c r="L7" s="69"/>
      <c r="M7" s="69"/>
    </row>
    <row r="8" spans="3:13">
      <c r="E8" s="69" t="s">
        <v>7</v>
      </c>
      <c r="F8" s="69"/>
      <c r="G8" s="69"/>
    </row>
    <row r="9" spans="3:13">
      <c r="E9" s="69" t="s">
        <v>8</v>
      </c>
      <c r="F9" s="69"/>
      <c r="G9" s="69"/>
    </row>
    <row r="10" spans="3:13">
      <c r="E10" s="69" t="s">
        <v>9</v>
      </c>
      <c r="F10" s="69"/>
      <c r="G10" s="69"/>
    </row>
    <row r="13" spans="3:13">
      <c r="G13" s="2" t="s">
        <v>10</v>
      </c>
      <c r="H13" s="2" t="s">
        <v>11</v>
      </c>
      <c r="I13" s="2" t="s">
        <v>12</v>
      </c>
      <c r="J13" s="3" t="s">
        <v>13</v>
      </c>
      <c r="K13" s="2" t="s">
        <v>14</v>
      </c>
    </row>
    <row r="14" spans="3:13">
      <c r="G14" s="4" t="s">
        <v>15</v>
      </c>
      <c r="H14" s="4">
        <v>3</v>
      </c>
      <c r="I14" s="5">
        <v>50</v>
      </c>
      <c r="J14" s="6">
        <v>0.1</v>
      </c>
      <c r="K14" s="5">
        <f>H14*I14*($J$14+1)</f>
        <v>165</v>
      </c>
    </row>
    <row r="15" spans="3:13">
      <c r="G15" s="4" t="s">
        <v>16</v>
      </c>
      <c r="H15" s="4">
        <v>1</v>
      </c>
      <c r="I15" s="5">
        <v>35</v>
      </c>
      <c r="J15" s="4"/>
      <c r="K15" s="5">
        <f>H15*I15*($J$14+1)</f>
        <v>38.5</v>
      </c>
    </row>
    <row r="17" spans="9:11">
      <c r="I17" s="9" t="s">
        <v>17</v>
      </c>
      <c r="J17" s="7"/>
      <c r="K17" s="8">
        <f>SUM(Total)</f>
        <v>203.5</v>
      </c>
    </row>
    <row r="18" spans="9:11">
      <c r="I18" s="9" t="s">
        <v>13</v>
      </c>
      <c r="J18" s="7"/>
      <c r="K18" s="8"/>
    </row>
    <row r="19" spans="9:11">
      <c r="I19" s="9" t="s">
        <v>18</v>
      </c>
      <c r="J19" s="7"/>
      <c r="K19" s="8"/>
    </row>
  </sheetData>
  <mergeCells count="13">
    <mergeCell ref="F3:H3"/>
    <mergeCell ref="E10:G10"/>
    <mergeCell ref="E5:G5"/>
    <mergeCell ref="E6:G6"/>
    <mergeCell ref="E7:G7"/>
    <mergeCell ref="E8:G8"/>
    <mergeCell ref="E9:G9"/>
    <mergeCell ref="I5:J5"/>
    <mergeCell ref="I6:J6"/>
    <mergeCell ref="I7:J7"/>
    <mergeCell ref="K5:M5"/>
    <mergeCell ref="K6:M6"/>
    <mergeCell ref="K7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E962-DE6A-4083-9E06-017425DB22AB}">
  <dimension ref="B3:K125"/>
  <sheetViews>
    <sheetView workbookViewId="0">
      <selection activeCell="H125" sqref="H125"/>
    </sheetView>
  </sheetViews>
  <sheetFormatPr defaultRowHeight="15"/>
  <cols>
    <col min="3" max="3" width="14.42578125" customWidth="1"/>
    <col min="4" max="4" width="37" customWidth="1"/>
    <col min="5" max="5" width="2.85546875" customWidth="1"/>
    <col min="6" max="6" width="12.7109375" customWidth="1"/>
    <col min="7" max="7" width="19.42578125" customWidth="1"/>
    <col min="8" max="8" width="15" bestFit="1" customWidth="1"/>
    <col min="9" max="9" width="24.28515625" bestFit="1" customWidth="1"/>
    <col min="10" max="10" width="12.42578125" bestFit="1" customWidth="1"/>
    <col min="11" max="11" width="18" customWidth="1"/>
  </cols>
  <sheetData>
    <row r="3" spans="2:11">
      <c r="B3" s="12" t="s">
        <v>19</v>
      </c>
      <c r="C3" s="12"/>
      <c r="D3" s="10">
        <v>7.0000000000000007E-2</v>
      </c>
    </row>
    <row r="4" spans="2:11">
      <c r="B4" s="12" t="s">
        <v>20</v>
      </c>
      <c r="C4" s="12"/>
      <c r="D4">
        <v>1</v>
      </c>
    </row>
    <row r="5" spans="2:11">
      <c r="B5" s="12" t="s">
        <v>21</v>
      </c>
      <c r="C5" s="12"/>
      <c r="D5">
        <v>12</v>
      </c>
      <c r="H5" s="15" t="s">
        <v>22</v>
      </c>
      <c r="I5" s="15" t="s">
        <v>23</v>
      </c>
      <c r="J5" s="15" t="s">
        <v>24</v>
      </c>
      <c r="K5" s="15" t="s">
        <v>25</v>
      </c>
    </row>
    <row r="6" spans="2:11">
      <c r="B6" s="12" t="s">
        <v>26</v>
      </c>
      <c r="C6" s="12"/>
      <c r="D6" s="11">
        <v>20000</v>
      </c>
      <c r="H6" s="17">
        <v>6.4699999999999994E-2</v>
      </c>
      <c r="I6" s="16">
        <v>30</v>
      </c>
      <c r="J6" s="21">
        <v>450000</v>
      </c>
      <c r="K6" s="20">
        <f>PMT(H6/12, I6*12,J6)</f>
        <v>-2835.4336356802478</v>
      </c>
    </row>
    <row r="7" spans="2:11">
      <c r="H7" s="18">
        <v>7.0000000000000007E-2</v>
      </c>
      <c r="I7" s="16">
        <v>30</v>
      </c>
      <c r="J7" s="19">
        <v>548000</v>
      </c>
      <c r="K7" s="20">
        <f t="shared" ref="K7:K10" si="0">PMT(H7/12, I7*12,J7)</f>
        <v>-3645.8576735819238</v>
      </c>
    </row>
    <row r="8" spans="2:11">
      <c r="B8" s="12" t="s">
        <v>27</v>
      </c>
      <c r="C8" s="12" t="s">
        <v>28</v>
      </c>
      <c r="D8" s="12" t="s">
        <v>29</v>
      </c>
      <c r="H8" s="17">
        <v>6.4199999999999993E-2</v>
      </c>
      <c r="I8" s="16">
        <v>15</v>
      </c>
      <c r="J8" s="19">
        <v>349000</v>
      </c>
      <c r="K8" s="20">
        <f t="shared" si="0"/>
        <v>-3024.8370574176315</v>
      </c>
    </row>
    <row r="9" spans="2:11">
      <c r="B9" cm="1">
        <f t="array" ref="B9:B20">_xlfn.SEQUENCE(12,1,1,1)</f>
        <v>1</v>
      </c>
      <c r="C9" s="13">
        <f>PPMT(D3/12, 1, D4*D5, D6)</f>
        <v>-1613.8682552960943</v>
      </c>
      <c r="D9" s="14">
        <f>PPMT($D$3/$D$5, B9, $D$4*$D$5,$D$6)</f>
        <v>-1613.8682552960943</v>
      </c>
      <c r="F9">
        <f>D4*D5</f>
        <v>12</v>
      </c>
      <c r="H9" s="17">
        <v>7.4499999999999997E-2</v>
      </c>
      <c r="I9" s="16">
        <v>25</v>
      </c>
      <c r="J9" s="19">
        <v>459000</v>
      </c>
      <c r="K9" s="20">
        <f t="shared" si="0"/>
        <v>-3377.0555275628108</v>
      </c>
    </row>
    <row r="10" spans="2:11">
      <c r="B10">
        <v>2</v>
      </c>
      <c r="D10" s="14">
        <f t="shared" ref="D10:D20" si="1">PPMT($D$3/$D$5, B10, $D$4*$D$5,$D$6)</f>
        <v>-1623.2824867853215</v>
      </c>
      <c r="H10" s="17">
        <v>6.1499999999999999E-2</v>
      </c>
      <c r="I10" s="16">
        <v>15</v>
      </c>
      <c r="J10" s="19">
        <v>1232000</v>
      </c>
      <c r="K10" s="20">
        <f t="shared" si="0"/>
        <v>-10496.420561469822</v>
      </c>
    </row>
    <row r="11" spans="2:11">
      <c r="B11">
        <v>3</v>
      </c>
      <c r="D11" s="14">
        <f t="shared" si="1"/>
        <v>-1632.7516346249024</v>
      </c>
    </row>
    <row r="12" spans="2:11">
      <c r="B12">
        <v>4</v>
      </c>
      <c r="D12" s="14">
        <f t="shared" si="1"/>
        <v>-1642.2760191602144</v>
      </c>
    </row>
    <row r="13" spans="2:11">
      <c r="B13">
        <v>5</v>
      </c>
      <c r="D13" s="14">
        <f t="shared" si="1"/>
        <v>-1651.8559626053157</v>
      </c>
    </row>
    <row r="14" spans="2:11">
      <c r="B14">
        <v>6</v>
      </c>
      <c r="D14" s="14">
        <f t="shared" si="1"/>
        <v>-1661.4917890538468</v>
      </c>
    </row>
    <row r="15" spans="2:11">
      <c r="B15">
        <v>7</v>
      </c>
      <c r="D15" s="14">
        <f t="shared" si="1"/>
        <v>-1671.1838244899943</v>
      </c>
    </row>
    <row r="16" spans="2:11">
      <c r="B16">
        <v>8</v>
      </c>
      <c r="D16" s="14">
        <f t="shared" si="1"/>
        <v>-1680.9323967995192</v>
      </c>
    </row>
    <row r="17" spans="2:8">
      <c r="B17">
        <v>9</v>
      </c>
      <c r="D17" s="14">
        <f t="shared" si="1"/>
        <v>-1690.7378357808495</v>
      </c>
    </row>
    <row r="18" spans="2:8">
      <c r="B18">
        <v>10</v>
      </c>
      <c r="D18" s="14">
        <f t="shared" si="1"/>
        <v>-1700.6004731562382</v>
      </c>
    </row>
    <row r="19" spans="2:8">
      <c r="B19">
        <v>11</v>
      </c>
      <c r="D19" s="14">
        <f t="shared" si="1"/>
        <v>-1710.5206425829826</v>
      </c>
    </row>
    <row r="20" spans="2:8">
      <c r="B20">
        <v>12</v>
      </c>
      <c r="D20" s="14">
        <f t="shared" si="1"/>
        <v>-1720.498679664717</v>
      </c>
    </row>
    <row r="22" spans="2:8">
      <c r="D22" s="14">
        <f>SUM(D9:D20)</f>
        <v>-19999.999999999996</v>
      </c>
    </row>
    <row r="27" spans="2:8">
      <c r="B27" s="44"/>
    </row>
    <row r="28" spans="2:8" ht="29.25" customHeight="1">
      <c r="B28" s="73" t="s">
        <v>30</v>
      </c>
      <c r="C28" s="73"/>
      <c r="D28" s="73"/>
      <c r="E28" s="73"/>
      <c r="F28" s="73"/>
    </row>
    <row r="30" spans="2:8" ht="24" customHeight="1">
      <c r="C30" s="47" t="s">
        <v>31</v>
      </c>
      <c r="D30" s="12"/>
      <c r="E30" s="48"/>
      <c r="F30" s="48"/>
      <c r="G30" s="46"/>
      <c r="H30" s="46"/>
    </row>
    <row r="32" spans="2:8" ht="15.75">
      <c r="F32" s="72" t="s">
        <v>32</v>
      </c>
      <c r="G32" s="72"/>
      <c r="H32" s="50">
        <v>10000</v>
      </c>
    </row>
    <row r="33" spans="3:8" ht="15.75">
      <c r="F33" s="72" t="s">
        <v>33</v>
      </c>
      <c r="G33" s="72"/>
      <c r="H33" s="51">
        <v>0.05</v>
      </c>
    </row>
    <row r="34" spans="3:8" ht="15.75">
      <c r="F34" s="49" t="s">
        <v>34</v>
      </c>
      <c r="G34" s="49"/>
      <c r="H34" s="52">
        <v>10</v>
      </c>
    </row>
    <row r="35" spans="3:8" ht="15.75">
      <c r="F35" s="49" t="s">
        <v>35</v>
      </c>
      <c r="G35" s="49"/>
      <c r="H35" s="53" t="s">
        <v>36</v>
      </c>
    </row>
    <row r="36" spans="3:8" ht="19.5" customHeight="1"/>
    <row r="38" spans="3:8" ht="25.5" customHeight="1">
      <c r="C38" s="55" t="s">
        <v>37</v>
      </c>
      <c r="G38" s="45"/>
      <c r="H38" s="56"/>
    </row>
    <row r="39" spans="3:8" s="3" customFormat="1" ht="7.5" customHeight="1"/>
    <row r="43" spans="3:8" ht="22.5">
      <c r="C43" s="74" t="s">
        <v>38</v>
      </c>
      <c r="D43" s="74"/>
    </row>
    <row r="44" spans="3:8" ht="15.75">
      <c r="F44" s="49" t="s">
        <v>39</v>
      </c>
      <c r="G44" s="49"/>
      <c r="H44" s="50">
        <v>50000</v>
      </c>
    </row>
    <row r="45" spans="3:8" ht="15.75">
      <c r="F45" s="49" t="s">
        <v>40</v>
      </c>
      <c r="G45" s="49"/>
      <c r="H45" s="54">
        <v>0.08</v>
      </c>
    </row>
    <row r="46" spans="3:8" ht="15.75">
      <c r="F46" s="49" t="s">
        <v>41</v>
      </c>
      <c r="G46" s="49"/>
      <c r="H46" s="52">
        <v>5</v>
      </c>
    </row>
    <row r="49" spans="3:8" ht="24" customHeight="1">
      <c r="C49" s="55" t="s">
        <v>42</v>
      </c>
      <c r="H49" s="56"/>
    </row>
    <row r="51" spans="3:8" s="3" customFormat="1" ht="6.75" customHeight="1"/>
    <row r="53" spans="3:8" ht="27.75" customHeight="1">
      <c r="C53" s="74" t="s">
        <v>43</v>
      </c>
      <c r="D53" s="74"/>
    </row>
    <row r="54" spans="3:8" ht="15.75">
      <c r="F54" s="49" t="s">
        <v>24</v>
      </c>
      <c r="G54" s="49"/>
      <c r="H54" s="50">
        <v>200000</v>
      </c>
    </row>
    <row r="55" spans="3:8" ht="15.75">
      <c r="F55" s="49" t="s">
        <v>33</v>
      </c>
      <c r="G55" s="49"/>
      <c r="H55" s="54">
        <v>0.06</v>
      </c>
    </row>
    <row r="56" spans="3:8" ht="15.75">
      <c r="F56" s="49" t="s">
        <v>44</v>
      </c>
      <c r="G56" s="49"/>
      <c r="H56" s="52">
        <v>30</v>
      </c>
    </row>
    <row r="59" spans="3:8" ht="20.25">
      <c r="C59" s="55" t="s">
        <v>45</v>
      </c>
      <c r="H59" s="56"/>
    </row>
    <row r="61" spans="3:8" s="3" customFormat="1" ht="9" customHeight="1"/>
    <row r="63" spans="3:8" ht="22.5">
      <c r="C63" s="74" t="s">
        <v>46</v>
      </c>
      <c r="D63" s="74"/>
    </row>
    <row r="64" spans="3:8" ht="15.75">
      <c r="F64" s="49" t="s">
        <v>47</v>
      </c>
      <c r="G64" s="49"/>
      <c r="H64" s="52">
        <v>60</v>
      </c>
    </row>
    <row r="65" spans="3:8" ht="15.75">
      <c r="F65" s="49" t="s">
        <v>48</v>
      </c>
      <c r="G65" s="49"/>
      <c r="H65" s="57">
        <v>-1000</v>
      </c>
    </row>
    <row r="66" spans="3:8" ht="15.75">
      <c r="F66" s="49" t="s">
        <v>49</v>
      </c>
      <c r="G66" s="49"/>
      <c r="H66" s="50">
        <v>50000</v>
      </c>
    </row>
    <row r="69" spans="3:8" ht="20.25">
      <c r="C69" s="55" t="s">
        <v>50</v>
      </c>
      <c r="H69" s="56"/>
    </row>
    <row r="70" spans="3:8" s="3" customFormat="1" ht="6" customHeight="1"/>
    <row r="73" spans="3:8" ht="22.5">
      <c r="C73" s="74" t="s">
        <v>51</v>
      </c>
      <c r="D73" s="74"/>
    </row>
    <row r="74" spans="3:8" ht="15.75">
      <c r="F74" s="49" t="s">
        <v>33</v>
      </c>
      <c r="G74" s="49"/>
      <c r="H74" s="51">
        <v>7.0000000000000007E-2</v>
      </c>
    </row>
    <row r="75" spans="3:8" ht="15.75">
      <c r="F75" s="49" t="s">
        <v>48</v>
      </c>
      <c r="G75" s="49"/>
      <c r="H75" s="57">
        <v>-1000</v>
      </c>
    </row>
    <row r="76" spans="3:8" ht="15.75">
      <c r="F76" s="49" t="s">
        <v>49</v>
      </c>
      <c r="G76" s="49"/>
      <c r="H76" s="50">
        <v>100000</v>
      </c>
    </row>
    <row r="79" spans="3:8" ht="20.25">
      <c r="C79" s="55" t="s">
        <v>52</v>
      </c>
      <c r="H79" s="56"/>
    </row>
    <row r="81" spans="3:8" s="3" customFormat="1" ht="6.75" customHeight="1"/>
    <row r="83" spans="3:8" ht="22.5">
      <c r="C83" s="74" t="s">
        <v>53</v>
      </c>
      <c r="D83" s="74"/>
    </row>
    <row r="84" spans="3:8" ht="15.75">
      <c r="F84" s="49" t="s">
        <v>54</v>
      </c>
      <c r="G84" s="49"/>
      <c r="H84" s="50">
        <v>-10000</v>
      </c>
    </row>
    <row r="85" spans="3:8" ht="15.75">
      <c r="F85" s="49" t="s">
        <v>55</v>
      </c>
      <c r="G85" s="49"/>
      <c r="H85" s="57">
        <v>2000</v>
      </c>
    </row>
    <row r="86" spans="3:8" ht="15.75">
      <c r="F86" s="49" t="s">
        <v>56</v>
      </c>
      <c r="G86" s="49"/>
      <c r="H86" s="50">
        <v>3000</v>
      </c>
    </row>
    <row r="87" spans="3:8" ht="15.75">
      <c r="F87" s="49" t="s">
        <v>57</v>
      </c>
      <c r="H87" s="50">
        <v>4000</v>
      </c>
    </row>
    <row r="88" spans="3:8" ht="15.75">
      <c r="F88" s="49" t="s">
        <v>58</v>
      </c>
      <c r="H88" s="50">
        <v>5000</v>
      </c>
    </row>
    <row r="89" spans="3:8" ht="20.25">
      <c r="C89" s="55" t="s">
        <v>59</v>
      </c>
      <c r="H89" s="56"/>
    </row>
    <row r="90" spans="3:8" s="3" customFormat="1" ht="9.75" customHeight="1"/>
    <row r="92" spans="3:8" ht="22.5">
      <c r="C92" s="74" t="s">
        <v>60</v>
      </c>
      <c r="D92" s="74"/>
    </row>
    <row r="94" spans="3:8" ht="15.75">
      <c r="F94" s="72" t="s">
        <v>61</v>
      </c>
      <c r="G94" s="72"/>
      <c r="H94" s="54">
        <v>0.1</v>
      </c>
    </row>
    <row r="95" spans="3:8" ht="15.75">
      <c r="F95" s="49" t="s">
        <v>54</v>
      </c>
      <c r="G95" s="49"/>
      <c r="H95" s="50">
        <v>-10000</v>
      </c>
    </row>
    <row r="96" spans="3:8" ht="15.75">
      <c r="F96" s="49" t="s">
        <v>55</v>
      </c>
      <c r="G96" s="49"/>
      <c r="H96" s="57">
        <v>2000</v>
      </c>
    </row>
    <row r="97" spans="3:8" ht="15.75">
      <c r="F97" s="49" t="s">
        <v>56</v>
      </c>
      <c r="G97" s="49"/>
      <c r="H97" s="50">
        <v>3000</v>
      </c>
    </row>
    <row r="98" spans="3:8" ht="15.75">
      <c r="F98" s="49" t="s">
        <v>57</v>
      </c>
      <c r="H98" s="50">
        <v>4000</v>
      </c>
    </row>
    <row r="99" spans="3:8" ht="15.75">
      <c r="F99" s="49" t="s">
        <v>58</v>
      </c>
      <c r="H99" s="50">
        <v>5000</v>
      </c>
    </row>
    <row r="100" spans="3:8" ht="20.25" customHeight="1">
      <c r="C100" s="75" t="s">
        <v>62</v>
      </c>
      <c r="D100" s="75"/>
      <c r="E100" s="75"/>
      <c r="F100" s="75"/>
      <c r="H100" s="56"/>
    </row>
    <row r="101" spans="3:8" ht="20.25" customHeight="1">
      <c r="C101" s="75"/>
      <c r="D101" s="75"/>
      <c r="E101" s="75"/>
      <c r="F101" s="75"/>
      <c r="H101" s="56"/>
    </row>
    <row r="102" spans="3:8" s="3" customFormat="1" ht="7.5" customHeight="1"/>
    <row r="104" spans="3:8" ht="22.5">
      <c r="C104" s="47" t="s">
        <v>63</v>
      </c>
      <c r="D104" s="47"/>
    </row>
    <row r="105" spans="3:8" ht="15.75">
      <c r="F105" s="76" t="s">
        <v>61</v>
      </c>
      <c r="G105" s="76"/>
      <c r="H105" s="54">
        <v>0.1</v>
      </c>
    </row>
    <row r="106" spans="3:8" ht="15.75">
      <c r="G106" s="58" t="s">
        <v>64</v>
      </c>
      <c r="H106" s="59" t="s">
        <v>65</v>
      </c>
    </row>
    <row r="107" spans="3:8" ht="15.75">
      <c r="G107" s="60">
        <v>45658</v>
      </c>
      <c r="H107" s="50">
        <v>-10000</v>
      </c>
    </row>
    <row r="108" spans="3:8" ht="15.75">
      <c r="G108" s="60">
        <v>45809</v>
      </c>
      <c r="H108" s="50">
        <v>2000</v>
      </c>
    </row>
    <row r="109" spans="3:8" ht="15.75">
      <c r="G109" s="60">
        <v>46023</v>
      </c>
      <c r="H109" s="50">
        <v>3000</v>
      </c>
    </row>
    <row r="110" spans="3:8" ht="15.75">
      <c r="G110" s="60">
        <v>46174</v>
      </c>
      <c r="H110" s="50">
        <v>4000</v>
      </c>
    </row>
    <row r="111" spans="3:8" ht="15.75">
      <c r="G111" s="60">
        <v>46388</v>
      </c>
      <c r="H111" s="50">
        <v>5000</v>
      </c>
    </row>
    <row r="112" spans="3:8" ht="15" customHeight="1">
      <c r="C112" s="75" t="s">
        <v>66</v>
      </c>
      <c r="D112" s="75"/>
      <c r="E112" s="75"/>
      <c r="F112" s="75"/>
    </row>
    <row r="113" spans="3:8" ht="21.75" customHeight="1">
      <c r="C113" s="75"/>
      <c r="D113" s="75"/>
      <c r="E113" s="75"/>
      <c r="F113" s="75"/>
      <c r="H113" s="56"/>
    </row>
    <row r="114" spans="3:8" s="61" customFormat="1" ht="7.5" customHeight="1"/>
    <row r="116" spans="3:8" ht="22.5">
      <c r="C116" s="47" t="s">
        <v>67</v>
      </c>
      <c r="D116" s="47"/>
    </row>
    <row r="117" spans="3:8">
      <c r="F117" s="82"/>
      <c r="G117" s="82"/>
    </row>
    <row r="118" spans="3:8" ht="15.75">
      <c r="G118" s="58" t="s">
        <v>64</v>
      </c>
      <c r="H118" s="59" t="s">
        <v>65</v>
      </c>
    </row>
    <row r="119" spans="3:8" ht="15.75">
      <c r="G119" s="60">
        <v>45658</v>
      </c>
      <c r="H119" s="50">
        <v>-10000</v>
      </c>
    </row>
    <row r="120" spans="3:8" ht="15.75">
      <c r="G120" s="60">
        <v>45809</v>
      </c>
      <c r="H120" s="50">
        <v>2000</v>
      </c>
    </row>
    <row r="121" spans="3:8" ht="15.75">
      <c r="G121" s="60">
        <v>46023</v>
      </c>
      <c r="H121" s="50">
        <v>3000</v>
      </c>
    </row>
    <row r="122" spans="3:8" ht="15.75">
      <c r="G122" s="60">
        <v>46174</v>
      </c>
      <c r="H122" s="50">
        <v>4000</v>
      </c>
    </row>
    <row r="123" spans="3:8" ht="15.75">
      <c r="G123" s="60">
        <v>46388</v>
      </c>
      <c r="H123" s="50">
        <v>5000</v>
      </c>
    </row>
    <row r="124" spans="3:8">
      <c r="C124" s="75" t="s">
        <v>68</v>
      </c>
      <c r="D124" s="75"/>
      <c r="E124" s="75"/>
      <c r="F124" s="75"/>
    </row>
    <row r="125" spans="3:8" ht="21.75" customHeight="1">
      <c r="C125" s="75"/>
      <c r="D125" s="75"/>
      <c r="E125" s="75"/>
      <c r="F125" s="75"/>
      <c r="H125" s="56"/>
    </row>
  </sheetData>
  <mergeCells count="15">
    <mergeCell ref="C100:F101"/>
    <mergeCell ref="F105:G105"/>
    <mergeCell ref="C112:F113"/>
    <mergeCell ref="F117:G117"/>
    <mergeCell ref="C124:F125"/>
    <mergeCell ref="F32:G32"/>
    <mergeCell ref="F33:G33"/>
    <mergeCell ref="B28:F28"/>
    <mergeCell ref="F94:G94"/>
    <mergeCell ref="C83:D83"/>
    <mergeCell ref="C92:D92"/>
    <mergeCell ref="C43:D43"/>
    <mergeCell ref="C53:D53"/>
    <mergeCell ref="C63:D63"/>
    <mergeCell ref="C73:D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90E6-3707-470C-92B2-B2D728867BF2}">
  <dimension ref="B4:AR55"/>
  <sheetViews>
    <sheetView workbookViewId="0">
      <pane xSplit="6" topLeftCell="AP1" activePane="topRight" state="frozen"/>
      <selection pane="topRight" activeCell="B5" sqref="B5:B29"/>
    </sheetView>
  </sheetViews>
  <sheetFormatPr defaultRowHeight="15"/>
  <cols>
    <col min="2" max="2" width="14.140625" customWidth="1"/>
    <col min="3" max="3" width="14.42578125" customWidth="1"/>
    <col min="4" max="4" width="12.28515625" customWidth="1"/>
    <col min="5" max="5" width="16.7109375" customWidth="1"/>
    <col min="6" max="6" width="13.42578125" customWidth="1"/>
    <col min="8" max="8" width="20.5703125" customWidth="1"/>
    <col min="9" max="9" width="11.140625" bestFit="1" customWidth="1"/>
    <col min="10" max="10" width="12.28515625" bestFit="1" customWidth="1"/>
    <col min="11" max="11" width="11.42578125" customWidth="1"/>
    <col min="12" max="14" width="9.28515625" bestFit="1" customWidth="1"/>
    <col min="17" max="17" width="11.140625" bestFit="1" customWidth="1"/>
    <col min="18" max="18" width="12.28515625" bestFit="1" customWidth="1"/>
    <col min="19" max="19" width="15.85546875" customWidth="1"/>
    <col min="24" max="24" width="14.7109375" customWidth="1"/>
    <col min="25" max="25" width="9" customWidth="1"/>
    <col min="26" max="26" width="7.140625" customWidth="1"/>
    <col min="27" max="28" width="8.28515625" customWidth="1"/>
    <col min="29" max="29" width="7.140625" bestFit="1" customWidth="1"/>
    <col min="30" max="30" width="7.140625" customWidth="1"/>
    <col min="31" max="32" width="8.28515625" customWidth="1"/>
    <col min="33" max="33" width="11.42578125" bestFit="1" customWidth="1"/>
    <col min="34" max="34" width="10.85546875" bestFit="1" customWidth="1"/>
    <col min="35" max="36" width="12" bestFit="1" customWidth="1"/>
    <col min="37" max="37" width="10.85546875" bestFit="1" customWidth="1"/>
    <col min="38" max="38" width="12" bestFit="1" customWidth="1"/>
    <col min="39" max="39" width="13.85546875" customWidth="1"/>
    <col min="40" max="40" width="12" bestFit="1" customWidth="1"/>
    <col min="41" max="41" width="19.7109375" bestFit="1" customWidth="1"/>
    <col min="42" max="42" width="19.28515625" bestFit="1" customWidth="1"/>
  </cols>
  <sheetData>
    <row r="4" spans="2:44" ht="16.5">
      <c r="B4" s="28" t="s">
        <v>69</v>
      </c>
      <c r="C4" s="28" t="s">
        <v>64</v>
      </c>
      <c r="D4" s="29" t="s">
        <v>0</v>
      </c>
      <c r="E4" s="29" t="s">
        <v>70</v>
      </c>
      <c r="F4" s="30" t="s">
        <v>71</v>
      </c>
      <c r="H4" s="3" t="s">
        <v>72</v>
      </c>
      <c r="P4" s="69" t="s">
        <v>73</v>
      </c>
      <c r="Q4" s="69"/>
      <c r="R4" s="69"/>
    </row>
    <row r="5" spans="2:44">
      <c r="B5" s="25">
        <v>8</v>
      </c>
      <c r="C5" s="26">
        <v>45292</v>
      </c>
      <c r="D5" s="23">
        <v>765189668</v>
      </c>
      <c r="E5" s="23" t="s">
        <v>74</v>
      </c>
      <c r="F5" s="27">
        <v>702.22</v>
      </c>
      <c r="H5" s="35" t="s">
        <v>75</v>
      </c>
      <c r="P5" s="35" t="s">
        <v>75</v>
      </c>
      <c r="AJ5" s="69" t="s">
        <v>76</v>
      </c>
      <c r="AK5" s="69"/>
      <c r="AL5" s="69"/>
      <c r="AP5" s="69" t="s">
        <v>77</v>
      </c>
      <c r="AQ5" s="69"/>
      <c r="AR5" s="69"/>
    </row>
    <row r="6" spans="2:44">
      <c r="B6" s="25">
        <v>5</v>
      </c>
      <c r="C6" s="26">
        <v>45293</v>
      </c>
      <c r="D6" s="23">
        <v>853432101</v>
      </c>
      <c r="E6" s="23" t="s">
        <v>78</v>
      </c>
      <c r="F6" s="27">
        <v>405.02</v>
      </c>
      <c r="H6" s="36" t="s">
        <v>69</v>
      </c>
      <c r="P6" s="36" t="s">
        <v>69</v>
      </c>
      <c r="AJ6" s="35" t="s">
        <v>75</v>
      </c>
      <c r="AP6" s="35" t="s">
        <v>79</v>
      </c>
    </row>
    <row r="7" spans="2:44">
      <c r="B7" s="25">
        <v>1</v>
      </c>
      <c r="C7" s="26">
        <v>45294</v>
      </c>
      <c r="D7" s="23">
        <v>151698941</v>
      </c>
      <c r="E7" s="23" t="s">
        <v>80</v>
      </c>
      <c r="F7" s="27">
        <v>988.25</v>
      </c>
      <c r="H7">
        <v>1</v>
      </c>
      <c r="P7">
        <v>1</v>
      </c>
      <c r="AJ7" s="36" t="s">
        <v>70</v>
      </c>
      <c r="AP7" s="36" t="s">
        <v>0</v>
      </c>
    </row>
    <row r="8" spans="2:44">
      <c r="B8" s="25">
        <v>4</v>
      </c>
      <c r="C8" s="26">
        <v>45295</v>
      </c>
      <c r="D8" s="23">
        <v>967989523</v>
      </c>
      <c r="E8" s="23" t="s">
        <v>81</v>
      </c>
      <c r="F8" s="27">
        <v>87.81</v>
      </c>
      <c r="P8">
        <v>2</v>
      </c>
      <c r="AJ8" t="s">
        <v>82</v>
      </c>
      <c r="AP8">
        <v>843414502</v>
      </c>
    </row>
    <row r="9" spans="2:44">
      <c r="B9" s="25">
        <v>1</v>
      </c>
      <c r="C9" s="26">
        <v>45296</v>
      </c>
      <c r="D9" s="23">
        <v>358577717</v>
      </c>
      <c r="E9" s="23" t="s">
        <v>83</v>
      </c>
      <c r="F9" s="27">
        <v>45.01</v>
      </c>
      <c r="H9" s="35" t="s">
        <v>84</v>
      </c>
      <c r="I9" s="35" t="s">
        <v>85</v>
      </c>
      <c r="J9" s="35" t="s">
        <v>86</v>
      </c>
      <c r="K9" s="35" t="s">
        <v>87</v>
      </c>
      <c r="L9" s="35" t="s">
        <v>88</v>
      </c>
    </row>
    <row r="10" spans="2:44">
      <c r="B10" s="25">
        <v>6</v>
      </c>
      <c r="C10" s="26">
        <v>45297</v>
      </c>
      <c r="D10" s="23">
        <v>18716114</v>
      </c>
      <c r="E10" s="23" t="s">
        <v>89</v>
      </c>
      <c r="F10" s="27">
        <v>640.5</v>
      </c>
      <c r="H10" s="36">
        <f>DSUM(Table[#All], "Amount", $H$6:$H$7)</f>
        <v>1965.93</v>
      </c>
      <c r="I10" s="36">
        <f>DMAX(Table[#All], "Amount", $H$6:$H$7)</f>
        <v>988.25</v>
      </c>
      <c r="J10" s="36">
        <f>DMIN(Table[#All], "Amount", $H$6:$H$7)</f>
        <v>45.01</v>
      </c>
      <c r="K10" s="36">
        <f>DAVERAGE(Table[#All], "Amount", $H$6:$H$7)</f>
        <v>491.48250000000002</v>
      </c>
      <c r="L10" s="36">
        <f>DCOUNT(Table[#All], "Amount", $H$6:$H$7)</f>
        <v>4</v>
      </c>
      <c r="P10" s="35" t="s">
        <v>84</v>
      </c>
      <c r="Q10" s="35" t="s">
        <v>85</v>
      </c>
      <c r="R10" s="35" t="s">
        <v>86</v>
      </c>
      <c r="S10" s="35" t="s">
        <v>87</v>
      </c>
      <c r="T10" s="35" t="s">
        <v>88</v>
      </c>
      <c r="AP10" s="35" t="s">
        <v>79</v>
      </c>
    </row>
    <row r="11" spans="2:44">
      <c r="B11" s="25">
        <v>2</v>
      </c>
      <c r="C11" s="26">
        <v>45298</v>
      </c>
      <c r="D11" s="23">
        <v>635437308</v>
      </c>
      <c r="E11" s="23" t="s">
        <v>90</v>
      </c>
      <c r="F11" s="27">
        <v>537.64</v>
      </c>
      <c r="M11" s="37"/>
      <c r="N11" s="37"/>
      <c r="P11" s="36">
        <f>DSUM(Table[#All], "Amount", $P$6:$P$8)</f>
        <v>2503.5700000000002</v>
      </c>
      <c r="Q11" s="36">
        <f>DMAX(Table[#All], "Amount", $P$6:$P$8)</f>
        <v>988.25</v>
      </c>
      <c r="R11" s="36">
        <f>DMIN(Table[#All], "Amount", $P$6:$P$8)</f>
        <v>45.01</v>
      </c>
      <c r="S11" s="36">
        <f>DAVERAGE(Table[#All], "Amount", $P$6:$P$8)</f>
        <v>500.71400000000006</v>
      </c>
      <c r="T11" s="36">
        <f>DCOUNT(Table[#All], "Amount", $P$6:$P$8)</f>
        <v>5</v>
      </c>
      <c r="AJ11" s="35" t="s">
        <v>84</v>
      </c>
      <c r="AK11" s="35" t="s">
        <v>85</v>
      </c>
      <c r="AL11" s="35" t="s">
        <v>86</v>
      </c>
      <c r="AM11" s="35" t="s">
        <v>87</v>
      </c>
      <c r="AN11" s="35" t="s">
        <v>88</v>
      </c>
      <c r="AP11" s="36">
        <f>DGET(Table[#All], 5, $AP$7:$AP$8)</f>
        <v>513.15</v>
      </c>
    </row>
    <row r="12" spans="2:44">
      <c r="B12" s="25">
        <v>3</v>
      </c>
      <c r="C12" s="26">
        <v>45299</v>
      </c>
      <c r="D12" s="23">
        <v>793212488</v>
      </c>
      <c r="E12" s="23" t="s">
        <v>91</v>
      </c>
      <c r="F12" s="27">
        <v>875.56</v>
      </c>
      <c r="M12" s="38"/>
      <c r="N12" s="38"/>
      <c r="AJ12" s="36">
        <f>DSUM(Table[#All], 5, $AJ$7:$AJ$8)</f>
        <v>1931.92</v>
      </c>
      <c r="AK12" s="36">
        <f>DMAX(Table[#All], 5,$AJ$7:$AJ$8)</f>
        <v>961.05</v>
      </c>
      <c r="AL12" s="36">
        <f>DMIN(Table[#All], "Amount", $AJ$7:$AJ$8)</f>
        <v>159.13999999999999</v>
      </c>
      <c r="AM12" s="43">
        <f>DAVERAGE(Table[#All], 5, $AJ$7:$AJ$8)</f>
        <v>643.97333333333336</v>
      </c>
      <c r="AN12" s="36">
        <f>DCOUNT(Table[#All], 5, $AJ$7:$AJ$8)</f>
        <v>3</v>
      </c>
    </row>
    <row r="13" spans="2:44" ht="19.5" customHeight="1">
      <c r="B13" s="25">
        <v>4</v>
      </c>
      <c r="C13" s="26">
        <v>45300</v>
      </c>
      <c r="D13" s="23">
        <v>619497954</v>
      </c>
      <c r="E13" s="23" t="s">
        <v>92</v>
      </c>
      <c r="F13" s="27">
        <v>738.76</v>
      </c>
    </row>
    <row r="14" spans="2:44">
      <c r="B14" s="25">
        <v>8</v>
      </c>
      <c r="C14" s="26">
        <v>45301</v>
      </c>
      <c r="D14" s="23">
        <v>641484930</v>
      </c>
      <c r="E14" s="23" t="s">
        <v>93</v>
      </c>
      <c r="F14" s="27">
        <v>864.12</v>
      </c>
    </row>
    <row r="15" spans="2:44">
      <c r="B15" s="25">
        <v>1</v>
      </c>
      <c r="C15" s="26">
        <v>45302</v>
      </c>
      <c r="D15" s="23">
        <v>438914912</v>
      </c>
      <c r="E15" s="23" t="s">
        <v>94</v>
      </c>
      <c r="F15" s="27">
        <v>811.73</v>
      </c>
    </row>
    <row r="16" spans="2:44">
      <c r="B16" s="25">
        <v>3</v>
      </c>
      <c r="C16" s="26">
        <v>45303</v>
      </c>
      <c r="D16" s="23">
        <v>782025470</v>
      </c>
      <c r="E16" s="23" t="s">
        <v>95</v>
      </c>
      <c r="F16" s="27">
        <v>897.6</v>
      </c>
    </row>
    <row r="17" spans="2:33">
      <c r="B17" s="25">
        <v>6</v>
      </c>
      <c r="C17" s="26">
        <v>45304</v>
      </c>
      <c r="D17" s="23">
        <v>605114208</v>
      </c>
      <c r="E17" s="23" t="s">
        <v>96</v>
      </c>
      <c r="F17" s="27">
        <v>982.99</v>
      </c>
    </row>
    <row r="18" spans="2:33">
      <c r="B18" s="25">
        <v>1</v>
      </c>
      <c r="C18" s="26">
        <v>45305</v>
      </c>
      <c r="D18" s="23">
        <v>291384443</v>
      </c>
      <c r="E18" s="23" t="s">
        <v>97</v>
      </c>
      <c r="F18" s="27">
        <v>120.94</v>
      </c>
      <c r="X18" s="69" t="s">
        <v>98</v>
      </c>
      <c r="Y18" s="69"/>
      <c r="Z18" s="69"/>
    </row>
    <row r="19" spans="2:33">
      <c r="B19" s="25">
        <v>3</v>
      </c>
      <c r="C19" s="26">
        <v>45306</v>
      </c>
      <c r="D19" s="23">
        <v>843414502</v>
      </c>
      <c r="E19" s="23" t="s">
        <v>99</v>
      </c>
      <c r="F19" s="27">
        <v>513.15</v>
      </c>
      <c r="H19" s="69" t="s">
        <v>100</v>
      </c>
      <c r="I19" s="69"/>
      <c r="J19" s="69"/>
      <c r="P19" s="69" t="s">
        <v>101</v>
      </c>
      <c r="Q19" s="69"/>
      <c r="R19" s="69"/>
      <c r="X19" s="77" t="s">
        <v>75</v>
      </c>
      <c r="Y19" s="77"/>
    </row>
    <row r="20" spans="2:33">
      <c r="B20" s="25">
        <v>8</v>
      </c>
      <c r="C20" s="26">
        <v>45307</v>
      </c>
      <c r="D20" s="23">
        <v>581657153</v>
      </c>
      <c r="E20" s="23" t="s">
        <v>102</v>
      </c>
      <c r="F20" s="27">
        <v>477.56</v>
      </c>
      <c r="H20" s="77" t="s">
        <v>75</v>
      </c>
      <c r="I20" s="77"/>
      <c r="J20" s="77"/>
      <c r="P20" s="77" t="s">
        <v>75</v>
      </c>
      <c r="Q20" s="77"/>
      <c r="R20" s="77"/>
      <c r="X20" s="36" t="s">
        <v>69</v>
      </c>
      <c r="Y20" s="39" t="s">
        <v>70</v>
      </c>
    </row>
    <row r="21" spans="2:33">
      <c r="B21" s="25">
        <v>4</v>
      </c>
      <c r="C21" s="26">
        <v>45308</v>
      </c>
      <c r="D21" s="23">
        <v>52395752</v>
      </c>
      <c r="E21" s="23" t="s">
        <v>103</v>
      </c>
      <c r="F21" s="27">
        <v>159.13999999999999</v>
      </c>
      <c r="H21" s="36" t="s">
        <v>69</v>
      </c>
      <c r="I21" s="36" t="s">
        <v>64</v>
      </c>
      <c r="J21" s="36" t="s">
        <v>64</v>
      </c>
      <c r="P21" s="36" t="s">
        <v>69</v>
      </c>
      <c r="Q21" s="36" t="s">
        <v>64</v>
      </c>
      <c r="R21" s="36" t="s">
        <v>64</v>
      </c>
      <c r="X21" s="40">
        <v>1</v>
      </c>
      <c r="Y21" s="40"/>
    </row>
    <row r="22" spans="2:33">
      <c r="B22" s="25">
        <v>6</v>
      </c>
      <c r="C22" s="26">
        <v>45309</v>
      </c>
      <c r="D22" s="23">
        <v>113158733</v>
      </c>
      <c r="E22" s="23" t="s">
        <v>104</v>
      </c>
      <c r="F22" s="27">
        <v>284.14999999999998</v>
      </c>
      <c r="H22" s="22">
        <v>1</v>
      </c>
      <c r="I22" t="s">
        <v>105</v>
      </c>
      <c r="J22" t="s">
        <v>106</v>
      </c>
      <c r="P22">
        <v>1</v>
      </c>
      <c r="Q22" t="s">
        <v>105</v>
      </c>
      <c r="R22" t="s">
        <v>106</v>
      </c>
      <c r="X22" s="40"/>
      <c r="Y22" s="41" t="s">
        <v>107</v>
      </c>
      <c r="Z22" s="22"/>
    </row>
    <row r="23" spans="2:33">
      <c r="B23" s="25">
        <v>3</v>
      </c>
      <c r="C23" s="26">
        <v>45310</v>
      </c>
      <c r="D23" s="23">
        <v>728833880</v>
      </c>
      <c r="E23" s="23" t="s">
        <v>108</v>
      </c>
      <c r="F23" s="27">
        <v>120.01</v>
      </c>
      <c r="P23">
        <v>2</v>
      </c>
      <c r="Q23" t="s">
        <v>105</v>
      </c>
      <c r="R23" t="s">
        <v>106</v>
      </c>
    </row>
    <row r="24" spans="2:33">
      <c r="B24" s="25">
        <v>8</v>
      </c>
      <c r="C24" s="26">
        <v>45311</v>
      </c>
      <c r="D24" s="23">
        <v>666166436</v>
      </c>
      <c r="E24" s="23" t="s">
        <v>109</v>
      </c>
      <c r="F24" s="27">
        <v>73.819999999999993</v>
      </c>
      <c r="H24" s="35" t="s">
        <v>84</v>
      </c>
    </row>
    <row r="25" spans="2:33">
      <c r="B25" s="25">
        <v>7</v>
      </c>
      <c r="C25" s="26">
        <v>45312</v>
      </c>
      <c r="D25" s="23">
        <v>110148284</v>
      </c>
      <c r="E25" s="23" t="s">
        <v>110</v>
      </c>
      <c r="F25" s="27">
        <v>856.97</v>
      </c>
      <c r="H25" s="36">
        <f>DSUM(Table[#All], "Amount", $H$21:$J$22)</f>
        <v>1965.93</v>
      </c>
      <c r="X25" s="35" t="s">
        <v>84</v>
      </c>
      <c r="Y25" s="35" t="s">
        <v>88</v>
      </c>
      <c r="Z25" s="35" t="s">
        <v>86</v>
      </c>
      <c r="AA25" s="35" t="s">
        <v>85</v>
      </c>
      <c r="AB25" s="35" t="s">
        <v>111</v>
      </c>
    </row>
    <row r="26" spans="2:33" ht="19.5" customHeight="1">
      <c r="B26" s="25">
        <v>6</v>
      </c>
      <c r="C26" s="26">
        <v>45313</v>
      </c>
      <c r="D26" s="23">
        <v>829697490</v>
      </c>
      <c r="E26" s="23" t="s">
        <v>112</v>
      </c>
      <c r="F26" s="27">
        <v>961.05</v>
      </c>
      <c r="P26" s="35" t="s">
        <v>84</v>
      </c>
      <c r="X26" s="36">
        <f>DSUM(Table[#All], "Amount", $X$20:$Y$22)</f>
        <v>13931.13</v>
      </c>
      <c r="Y26" s="36">
        <f>DCOUNT(Table[#All], "Amount", $X$20:$Y$22)</f>
        <v>25</v>
      </c>
      <c r="Z26" s="36">
        <f>DMIN(Table[#All], "Amount", $X$20:$Y$22)</f>
        <v>45.01</v>
      </c>
      <c r="AA26" s="36">
        <f>DMAX(Table[#All], "Amount", $X$20:$Y$22)</f>
        <v>988.25</v>
      </c>
      <c r="AB26" s="36">
        <f>DAVERAGE(Table[#All], "Amount", $X$20:$Y$22)</f>
        <v>557.24519999999995</v>
      </c>
    </row>
    <row r="27" spans="2:33">
      <c r="B27" s="25">
        <v>4</v>
      </c>
      <c r="C27" s="26">
        <v>45314</v>
      </c>
      <c r="D27" s="23">
        <v>113554516</v>
      </c>
      <c r="E27" s="23" t="s">
        <v>113</v>
      </c>
      <c r="F27" s="27">
        <v>865.02</v>
      </c>
      <c r="P27" s="36">
        <f>DSUM(Table[#All], "Amount", $P$21:$R$23)</f>
        <v>2503.5700000000002</v>
      </c>
    </row>
    <row r="28" spans="2:33">
      <c r="B28" s="25">
        <v>7</v>
      </c>
      <c r="C28" s="26">
        <v>45315</v>
      </c>
      <c r="D28" s="23">
        <v>57999123</v>
      </c>
      <c r="E28" s="23" t="s">
        <v>114</v>
      </c>
      <c r="F28" s="27">
        <v>666.5</v>
      </c>
      <c r="H28" s="35" t="s">
        <v>84</v>
      </c>
      <c r="I28" s="35" t="s">
        <v>85</v>
      </c>
      <c r="J28" s="35" t="s">
        <v>86</v>
      </c>
      <c r="K28" s="35" t="s">
        <v>87</v>
      </c>
      <c r="L28" s="35" t="s">
        <v>88</v>
      </c>
    </row>
    <row r="29" spans="2:33">
      <c r="B29" s="31">
        <v>6</v>
      </c>
      <c r="C29" s="32">
        <v>45316</v>
      </c>
      <c r="D29" s="33">
        <v>220410520</v>
      </c>
      <c r="E29" s="33" t="s">
        <v>95</v>
      </c>
      <c r="F29" s="34">
        <v>255.61</v>
      </c>
      <c r="H29" s="36">
        <f>DSUM(Table[#All], "Amount", $H$21:$J$22)</f>
        <v>1965.93</v>
      </c>
      <c r="I29" s="36">
        <f>DMAX(Table[#All], "Amount", $H$21:$J$22)</f>
        <v>988.25</v>
      </c>
      <c r="J29" s="36">
        <f>DMIN(Table[#All], "Amount", $H$21:$J$22)</f>
        <v>45.01</v>
      </c>
      <c r="K29" s="36">
        <f>DAVERAGE(Table[#All], "Amount", $H$21:$J$22)</f>
        <v>491.48250000000002</v>
      </c>
      <c r="L29" s="36">
        <f>DCOUNT(Table[#All], "Amount", $H$21:$J$22)</f>
        <v>4</v>
      </c>
      <c r="X29" s="42" t="s">
        <v>115</v>
      </c>
      <c r="Y29" s="42" t="s">
        <v>69</v>
      </c>
    </row>
    <row r="30" spans="2:33">
      <c r="X30" s="42" t="s">
        <v>70</v>
      </c>
      <c r="Y30">
        <v>1</v>
      </c>
      <c r="Z30">
        <v>2</v>
      </c>
      <c r="AA30">
        <v>3</v>
      </c>
      <c r="AB30">
        <v>4</v>
      </c>
      <c r="AC30">
        <v>5</v>
      </c>
      <c r="AD30">
        <v>6</v>
      </c>
      <c r="AE30">
        <v>7</v>
      </c>
      <c r="AF30">
        <v>8</v>
      </c>
      <c r="AG30" t="s">
        <v>116</v>
      </c>
    </row>
    <row r="31" spans="2:33">
      <c r="C31" s="24"/>
      <c r="P31" s="35" t="s">
        <v>84</v>
      </c>
      <c r="Q31" s="35" t="s">
        <v>85</v>
      </c>
      <c r="R31" s="35" t="s">
        <v>86</v>
      </c>
      <c r="S31" s="35" t="s">
        <v>87</v>
      </c>
      <c r="T31" s="35" t="s">
        <v>88</v>
      </c>
      <c r="X31" t="s">
        <v>97</v>
      </c>
      <c r="Y31">
        <v>120.94</v>
      </c>
      <c r="AG31">
        <v>120.94</v>
      </c>
    </row>
    <row r="32" spans="2:33">
      <c r="P32" s="36">
        <f>DSUM(Table[#All], "Amount", $P$21:$R$23)</f>
        <v>2503.5700000000002</v>
      </c>
      <c r="Q32" s="36">
        <f>DMAX(Table[#All], "Amount", $P$21:$R$23)</f>
        <v>988.25</v>
      </c>
      <c r="R32" s="36">
        <f>DMIN(Table[#All], "Amount", $P$21:$R$23)</f>
        <v>45.01</v>
      </c>
      <c r="S32" s="36">
        <f>DAVERAGE(Table[#All], "Amount", $P$21:$R$23)</f>
        <v>500.71400000000006</v>
      </c>
      <c r="T32" s="36">
        <f>DCOUNT(Table[#All], "Amount", $P$21:$R$23)</f>
        <v>5</v>
      </c>
      <c r="X32" t="s">
        <v>109</v>
      </c>
      <c r="AF32">
        <v>73.819999999999993</v>
      </c>
      <c r="AG32">
        <v>73.819999999999993</v>
      </c>
    </row>
    <row r="33" spans="24:33">
      <c r="X33" t="s">
        <v>112</v>
      </c>
      <c r="AD33">
        <v>961.05</v>
      </c>
      <c r="AG33">
        <v>961.05</v>
      </c>
    </row>
    <row r="34" spans="24:33">
      <c r="X34" t="s">
        <v>103</v>
      </c>
      <c r="AB34">
        <v>159.13999999999999</v>
      </c>
      <c r="AG34">
        <v>159.13999999999999</v>
      </c>
    </row>
    <row r="35" spans="24:33">
      <c r="X35" t="s">
        <v>94</v>
      </c>
      <c r="Y35">
        <v>811.73</v>
      </c>
      <c r="AG35">
        <v>811.73</v>
      </c>
    </row>
    <row r="36" spans="24:33">
      <c r="X36" t="s">
        <v>99</v>
      </c>
      <c r="AA36">
        <v>513.15</v>
      </c>
      <c r="AG36">
        <v>513.15</v>
      </c>
    </row>
    <row r="37" spans="24:33">
      <c r="X37" t="s">
        <v>96</v>
      </c>
      <c r="AD37">
        <v>982.99</v>
      </c>
      <c r="AG37">
        <v>982.99</v>
      </c>
    </row>
    <row r="38" spans="24:33">
      <c r="X38" t="s">
        <v>110</v>
      </c>
      <c r="AE38">
        <v>856.97</v>
      </c>
      <c r="AG38">
        <v>856.97</v>
      </c>
    </row>
    <row r="39" spans="24:33">
      <c r="X39" t="s">
        <v>74</v>
      </c>
      <c r="AF39">
        <v>702.22</v>
      </c>
      <c r="AG39">
        <v>702.22</v>
      </c>
    </row>
    <row r="40" spans="24:33">
      <c r="X40" t="s">
        <v>81</v>
      </c>
      <c r="AB40">
        <v>87.81</v>
      </c>
      <c r="AG40">
        <v>87.81</v>
      </c>
    </row>
    <row r="41" spans="24:33">
      <c r="X41" t="s">
        <v>95</v>
      </c>
      <c r="AA41">
        <v>897.6</v>
      </c>
      <c r="AD41">
        <v>255.61</v>
      </c>
      <c r="AG41">
        <v>1153.21</v>
      </c>
    </row>
    <row r="42" spans="24:33">
      <c r="X42" t="s">
        <v>104</v>
      </c>
      <c r="AD42">
        <v>284.14999999999998</v>
      </c>
      <c r="AG42">
        <v>284.14999999999998</v>
      </c>
    </row>
    <row r="43" spans="24:33">
      <c r="X43" t="s">
        <v>89</v>
      </c>
      <c r="AD43">
        <v>640.5</v>
      </c>
      <c r="AG43">
        <v>640.5</v>
      </c>
    </row>
    <row r="44" spans="24:33">
      <c r="X44" t="s">
        <v>114</v>
      </c>
      <c r="AE44">
        <v>666.5</v>
      </c>
      <c r="AG44">
        <v>666.5</v>
      </c>
    </row>
    <row r="45" spans="24:33">
      <c r="X45" t="s">
        <v>92</v>
      </c>
      <c r="AB45">
        <v>738.76</v>
      </c>
      <c r="AG45">
        <v>738.76</v>
      </c>
    </row>
    <row r="46" spans="24:33">
      <c r="X46" t="s">
        <v>90</v>
      </c>
      <c r="Z46">
        <v>537.64</v>
      </c>
      <c r="AG46">
        <v>537.64</v>
      </c>
    </row>
    <row r="47" spans="24:33">
      <c r="X47" t="s">
        <v>83</v>
      </c>
      <c r="Y47">
        <v>45.01</v>
      </c>
      <c r="AG47">
        <v>45.01</v>
      </c>
    </row>
    <row r="48" spans="24:33">
      <c r="X48" t="s">
        <v>91</v>
      </c>
      <c r="AA48">
        <v>875.56</v>
      </c>
      <c r="AG48">
        <v>875.56</v>
      </c>
    </row>
    <row r="49" spans="24:33">
      <c r="X49" t="s">
        <v>108</v>
      </c>
      <c r="AA49">
        <v>120.01</v>
      </c>
      <c r="AG49">
        <v>120.01</v>
      </c>
    </row>
    <row r="50" spans="24:33">
      <c r="X50" t="s">
        <v>78</v>
      </c>
      <c r="AC50">
        <v>405.02</v>
      </c>
      <c r="AG50">
        <v>405.02</v>
      </c>
    </row>
    <row r="51" spans="24:33">
      <c r="X51" t="s">
        <v>113</v>
      </c>
      <c r="AB51">
        <v>865.02</v>
      </c>
      <c r="AG51">
        <v>865.02</v>
      </c>
    </row>
    <row r="52" spans="24:33">
      <c r="X52" t="s">
        <v>102</v>
      </c>
      <c r="AF52">
        <v>477.56</v>
      </c>
      <c r="AG52">
        <v>477.56</v>
      </c>
    </row>
    <row r="53" spans="24:33">
      <c r="X53" t="s">
        <v>80</v>
      </c>
      <c r="Y53">
        <v>988.25</v>
      </c>
      <c r="AG53">
        <v>988.25</v>
      </c>
    </row>
    <row r="54" spans="24:33">
      <c r="X54" t="s">
        <v>93</v>
      </c>
      <c r="AF54">
        <v>864.12</v>
      </c>
      <c r="AG54">
        <v>864.12</v>
      </c>
    </row>
    <row r="55" spans="24:33">
      <c r="X55" t="s">
        <v>116</v>
      </c>
      <c r="Y55">
        <v>1965.93</v>
      </c>
      <c r="Z55">
        <v>537.64</v>
      </c>
      <c r="AA55">
        <v>2406.3200000000002</v>
      </c>
      <c r="AB55">
        <v>1850.73</v>
      </c>
      <c r="AC55">
        <v>405.02</v>
      </c>
      <c r="AD55">
        <v>3124.3</v>
      </c>
      <c r="AE55">
        <v>1523.47</v>
      </c>
      <c r="AF55">
        <v>2117.7199999999998</v>
      </c>
      <c r="AG55">
        <v>13931.130000000001</v>
      </c>
    </row>
  </sheetData>
  <mergeCells count="9">
    <mergeCell ref="AP5:AR5"/>
    <mergeCell ref="X18:Z18"/>
    <mergeCell ref="X19:Y19"/>
    <mergeCell ref="AJ5:AL5"/>
    <mergeCell ref="P4:R4"/>
    <mergeCell ref="H20:J20"/>
    <mergeCell ref="H19:J19"/>
    <mergeCell ref="P19:R19"/>
    <mergeCell ref="P20:R20"/>
  </mergeCell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AFF7-04FC-4305-A1A9-62FBCBF0BBE1}">
  <dimension ref="A2:J28"/>
  <sheetViews>
    <sheetView topLeftCell="A3" workbookViewId="0">
      <selection activeCell="F14" sqref="F14"/>
    </sheetView>
  </sheetViews>
  <sheetFormatPr defaultRowHeight="15"/>
  <cols>
    <col min="1" max="1" width="14.7109375" bestFit="1" customWidth="1"/>
    <col min="2" max="2" width="9" bestFit="1" customWidth="1"/>
    <col min="3" max="3" width="7.140625" bestFit="1" customWidth="1"/>
    <col min="4" max="5" width="8.28515625" bestFit="1" customWidth="1"/>
    <col min="6" max="7" width="7.140625" bestFit="1" customWidth="1"/>
    <col min="8" max="9" width="8.28515625" bestFit="1" customWidth="1"/>
    <col min="10" max="10" width="11.42578125" bestFit="1" customWidth="1"/>
    <col min="11" max="11" width="7.140625" bestFit="1" customWidth="1"/>
    <col min="12" max="13" width="8.28515625" bestFit="1" customWidth="1"/>
    <col min="14" max="15" width="7.140625" bestFit="1" customWidth="1"/>
    <col min="16" max="17" width="8.28515625" bestFit="1" customWidth="1"/>
    <col min="18" max="18" width="17.42578125" bestFit="1" customWidth="1"/>
    <col min="19" max="19" width="19.7109375" bestFit="1" customWidth="1"/>
    <col min="20" max="21" width="8.28515625" bestFit="1" customWidth="1"/>
    <col min="22" max="23" width="7.140625" bestFit="1" customWidth="1"/>
    <col min="24" max="25" width="8.28515625" bestFit="1" customWidth="1"/>
    <col min="26" max="26" width="20.85546875" bestFit="1" customWidth="1"/>
    <col min="27" max="27" width="17.42578125" bestFit="1" customWidth="1"/>
    <col min="28" max="28" width="19.7109375" bestFit="1" customWidth="1"/>
  </cols>
  <sheetData>
    <row r="2" spans="1:10">
      <c r="A2" s="42" t="s">
        <v>115</v>
      </c>
      <c r="B2" s="42" t="s">
        <v>69</v>
      </c>
    </row>
    <row r="3" spans="1:10">
      <c r="A3" s="42" t="s">
        <v>70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 t="s">
        <v>116</v>
      </c>
    </row>
    <row r="4" spans="1:10">
      <c r="A4" t="s">
        <v>97</v>
      </c>
      <c r="B4">
        <v>120.94</v>
      </c>
      <c r="J4">
        <v>120.94</v>
      </c>
    </row>
    <row r="5" spans="1:10">
      <c r="A5" t="s">
        <v>109</v>
      </c>
      <c r="I5">
        <v>73.819999999999993</v>
      </c>
      <c r="J5">
        <v>73.819999999999993</v>
      </c>
    </row>
    <row r="6" spans="1:10">
      <c r="A6" t="s">
        <v>112</v>
      </c>
      <c r="G6">
        <v>961.05</v>
      </c>
      <c r="J6">
        <v>961.05</v>
      </c>
    </row>
    <row r="7" spans="1:10">
      <c r="A7" t="s">
        <v>103</v>
      </c>
      <c r="E7">
        <v>159.13999999999999</v>
      </c>
      <c r="J7">
        <v>159.13999999999999</v>
      </c>
    </row>
    <row r="8" spans="1:10">
      <c r="A8" t="s">
        <v>94</v>
      </c>
      <c r="B8">
        <v>811.73</v>
      </c>
      <c r="J8">
        <v>811.73</v>
      </c>
    </row>
    <row r="9" spans="1:10">
      <c r="A9" t="s">
        <v>99</v>
      </c>
      <c r="D9">
        <v>513.15</v>
      </c>
      <c r="J9">
        <v>513.15</v>
      </c>
    </row>
    <row r="10" spans="1:10">
      <c r="A10" t="s">
        <v>96</v>
      </c>
      <c r="G10">
        <v>982.99</v>
      </c>
      <c r="J10">
        <v>982.99</v>
      </c>
    </row>
    <row r="11" spans="1:10">
      <c r="A11" t="s">
        <v>110</v>
      </c>
      <c r="H11">
        <v>856.97</v>
      </c>
      <c r="J11">
        <v>856.97</v>
      </c>
    </row>
    <row r="12" spans="1:10">
      <c r="A12" t="s">
        <v>74</v>
      </c>
      <c r="I12">
        <v>702.22</v>
      </c>
      <c r="J12">
        <v>702.22</v>
      </c>
    </row>
    <row r="13" spans="1:10">
      <c r="A13" t="s">
        <v>81</v>
      </c>
      <c r="E13">
        <v>87.81</v>
      </c>
      <c r="J13">
        <v>87.81</v>
      </c>
    </row>
    <row r="14" spans="1:10">
      <c r="A14" t="s">
        <v>95</v>
      </c>
      <c r="D14">
        <v>897.6</v>
      </c>
      <c r="G14">
        <v>255.61</v>
      </c>
      <c r="J14">
        <v>1153.21</v>
      </c>
    </row>
    <row r="15" spans="1:10">
      <c r="A15" t="s">
        <v>104</v>
      </c>
      <c r="G15">
        <v>284.14999999999998</v>
      </c>
      <c r="J15">
        <v>284.14999999999998</v>
      </c>
    </row>
    <row r="16" spans="1:10">
      <c r="A16" t="s">
        <v>89</v>
      </c>
      <c r="G16">
        <v>640.5</v>
      </c>
      <c r="J16">
        <v>640.5</v>
      </c>
    </row>
    <row r="17" spans="1:10">
      <c r="A17" t="s">
        <v>114</v>
      </c>
      <c r="H17">
        <v>666.5</v>
      </c>
      <c r="J17">
        <v>666.5</v>
      </c>
    </row>
    <row r="18" spans="1:10">
      <c r="A18" t="s">
        <v>92</v>
      </c>
      <c r="E18">
        <v>738.76</v>
      </c>
      <c r="J18">
        <v>738.76</v>
      </c>
    </row>
    <row r="19" spans="1:10">
      <c r="A19" t="s">
        <v>90</v>
      </c>
      <c r="C19">
        <v>537.64</v>
      </c>
      <c r="J19">
        <v>537.64</v>
      </c>
    </row>
    <row r="20" spans="1:10">
      <c r="A20" t="s">
        <v>83</v>
      </c>
      <c r="B20">
        <v>45.01</v>
      </c>
      <c r="J20">
        <v>45.01</v>
      </c>
    </row>
    <row r="21" spans="1:10">
      <c r="A21" t="s">
        <v>91</v>
      </c>
      <c r="D21">
        <v>875.56</v>
      </c>
      <c r="J21">
        <v>875.56</v>
      </c>
    </row>
    <row r="22" spans="1:10">
      <c r="A22" t="s">
        <v>108</v>
      </c>
      <c r="D22">
        <v>120.01</v>
      </c>
      <c r="J22">
        <v>120.01</v>
      </c>
    </row>
    <row r="23" spans="1:10">
      <c r="A23" t="s">
        <v>78</v>
      </c>
      <c r="F23">
        <v>405.02</v>
      </c>
      <c r="J23">
        <v>405.02</v>
      </c>
    </row>
    <row r="24" spans="1:10">
      <c r="A24" t="s">
        <v>113</v>
      </c>
      <c r="E24">
        <v>865.02</v>
      </c>
      <c r="J24">
        <v>865.02</v>
      </c>
    </row>
    <row r="25" spans="1:10">
      <c r="A25" t="s">
        <v>102</v>
      </c>
      <c r="I25">
        <v>477.56</v>
      </c>
      <c r="J25">
        <v>477.56</v>
      </c>
    </row>
    <row r="26" spans="1:10">
      <c r="A26" t="s">
        <v>80</v>
      </c>
      <c r="B26">
        <v>988.25</v>
      </c>
      <c r="J26">
        <v>988.25</v>
      </c>
    </row>
    <row r="27" spans="1:10">
      <c r="A27" t="s">
        <v>93</v>
      </c>
      <c r="I27">
        <v>864.12</v>
      </c>
      <c r="J27">
        <v>864.12</v>
      </c>
    </row>
    <row r="28" spans="1:10">
      <c r="A28" t="s">
        <v>116</v>
      </c>
      <c r="B28">
        <v>1965.93</v>
      </c>
      <c r="C28">
        <v>537.64</v>
      </c>
      <c r="D28">
        <v>2406.3200000000002</v>
      </c>
      <c r="E28">
        <v>1850.73</v>
      </c>
      <c r="F28">
        <v>405.02</v>
      </c>
      <c r="G28">
        <v>3124.3</v>
      </c>
      <c r="H28">
        <v>1523.47</v>
      </c>
      <c r="I28">
        <v>2117.7199999999998</v>
      </c>
      <c r="J28">
        <v>13931.130000000001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2C54-08AC-43F8-8AF6-EB3968AA8213}">
  <dimension ref="C4:F31"/>
  <sheetViews>
    <sheetView topLeftCell="A16" workbookViewId="0">
      <selection activeCell="D25" sqref="D25"/>
    </sheetView>
  </sheetViews>
  <sheetFormatPr defaultRowHeight="15"/>
  <cols>
    <col min="3" max="3" width="19.7109375" customWidth="1"/>
    <col min="4" max="4" width="21.5703125" customWidth="1"/>
  </cols>
  <sheetData>
    <row r="4" spans="3:6" ht="15.75">
      <c r="C4" s="62" t="s">
        <v>64</v>
      </c>
      <c r="D4" s="63" t="s">
        <v>117</v>
      </c>
      <c r="E4" s="63"/>
      <c r="F4" s="63" t="s">
        <v>118</v>
      </c>
    </row>
    <row r="5" spans="3:6">
      <c r="C5" s="64">
        <v>44926</v>
      </c>
      <c r="D5" s="66">
        <v>4899</v>
      </c>
      <c r="F5" cm="1">
        <f t="array" ref="F5:F20">TREND(D5:D20,C5:C20)</f>
        <v>4774.2574730037613</v>
      </c>
    </row>
    <row r="6" spans="3:6">
      <c r="C6" s="65">
        <v>44834</v>
      </c>
      <c r="D6" s="67">
        <v>5123</v>
      </c>
      <c r="F6">
        <v>4780.8243037603679</v>
      </c>
    </row>
    <row r="7" spans="3:6">
      <c r="C7" s="64">
        <v>44742</v>
      </c>
      <c r="D7" s="66">
        <v>6689</v>
      </c>
      <c r="F7">
        <v>4787.3911345169745</v>
      </c>
    </row>
    <row r="8" spans="3:6">
      <c r="C8" s="65">
        <v>44651</v>
      </c>
      <c r="D8" s="67">
        <v>4199</v>
      </c>
      <c r="F8">
        <v>4793.8865866784017</v>
      </c>
    </row>
    <row r="9" spans="3:6">
      <c r="C9" s="64">
        <v>44561</v>
      </c>
      <c r="D9" s="66">
        <v>3889</v>
      </c>
      <c r="F9">
        <v>4800.3106602446469</v>
      </c>
    </row>
    <row r="10" spans="3:6">
      <c r="C10" s="65">
        <v>44469</v>
      </c>
      <c r="D10" s="67">
        <v>3946</v>
      </c>
      <c r="F10">
        <v>4806.8774910012535</v>
      </c>
    </row>
    <row r="11" spans="3:6">
      <c r="C11" s="64">
        <v>44377</v>
      </c>
      <c r="D11" s="66">
        <v>6587</v>
      </c>
      <c r="F11">
        <v>4813.4443217578601</v>
      </c>
    </row>
    <row r="12" spans="3:6">
      <c r="C12" s="65">
        <v>44286</v>
      </c>
      <c r="D12" s="67">
        <v>3789</v>
      </c>
      <c r="F12">
        <v>4819.9397739192864</v>
      </c>
    </row>
    <row r="13" spans="3:6">
      <c r="C13" s="64">
        <v>44196</v>
      </c>
      <c r="D13" s="66">
        <v>3523</v>
      </c>
      <c r="F13">
        <v>4826.3638474855325</v>
      </c>
    </row>
    <row r="14" spans="3:6">
      <c r="C14" s="65">
        <v>44104</v>
      </c>
      <c r="D14" s="67">
        <v>3999</v>
      </c>
      <c r="F14">
        <v>4832.930678242139</v>
      </c>
    </row>
    <row r="15" spans="3:6">
      <c r="C15" s="64">
        <v>44012</v>
      </c>
      <c r="D15" s="66">
        <v>5663</v>
      </c>
      <c r="F15">
        <v>4839.4975089987456</v>
      </c>
    </row>
    <row r="16" spans="3:6">
      <c r="C16" s="65">
        <v>43921</v>
      </c>
      <c r="D16" s="67">
        <v>3789</v>
      </c>
      <c r="F16">
        <v>4845.992961160171</v>
      </c>
    </row>
    <row r="17" spans="3:6">
      <c r="C17" s="64">
        <v>43830</v>
      </c>
      <c r="D17" s="66">
        <v>4258</v>
      </c>
      <c r="F17">
        <v>4852.4884133215974</v>
      </c>
    </row>
    <row r="18" spans="3:6">
      <c r="C18" s="65">
        <v>43738</v>
      </c>
      <c r="D18" s="67">
        <v>5548</v>
      </c>
      <c r="F18">
        <v>4859.0552440782039</v>
      </c>
    </row>
    <row r="19" spans="3:6">
      <c r="C19" s="64">
        <v>43646</v>
      </c>
      <c r="D19" s="66">
        <v>6258</v>
      </c>
      <c r="F19">
        <v>4865.6220748348114</v>
      </c>
    </row>
    <row r="20" spans="3:6">
      <c r="C20" s="65">
        <v>43555</v>
      </c>
      <c r="D20" s="67">
        <v>5012</v>
      </c>
      <c r="F20">
        <v>4872.1175269962368</v>
      </c>
    </row>
    <row r="24" spans="3:6">
      <c r="C24" t="e">
        <f>_xlfn.FORECAST.ETS(C28, C$5:C20, D$5:D20, 4)</f>
        <v>#N/A</v>
      </c>
    </row>
    <row r="30" spans="3:6">
      <c r="C30" t="s">
        <v>119</v>
      </c>
    </row>
    <row r="31" spans="3:6">
      <c r="C31" t="str" cm="1">
        <f t="array" ref="C31">_xldudf_AI_ASK(C30)</f>
        <v>As of October 2023, the CEO of Amazon is Andy Jassy. He took over the role from Jeff Bezos in July 2021.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E769-7A84-4F33-8324-311FD1BBD3C8}">
  <dimension ref="C5:K18"/>
  <sheetViews>
    <sheetView tabSelected="1" workbookViewId="0">
      <selection activeCell="D15" sqref="D15"/>
    </sheetView>
  </sheetViews>
  <sheetFormatPr defaultRowHeight="15"/>
  <sheetData>
    <row r="5" spans="3:11">
      <c r="C5" s="78" t="s">
        <v>120</v>
      </c>
      <c r="D5" s="78"/>
      <c r="E5" s="78"/>
      <c r="F5" s="78"/>
      <c r="G5" s="78"/>
      <c r="H5" s="78"/>
      <c r="I5" s="78"/>
    </row>
    <row r="6" spans="3:11">
      <c r="C6" s="79" t="s">
        <v>121</v>
      </c>
      <c r="D6" s="79"/>
      <c r="E6" s="79"/>
      <c r="F6" s="79"/>
      <c r="G6" s="79"/>
      <c r="H6" s="79"/>
      <c r="I6" s="79"/>
      <c r="J6" s="79"/>
      <c r="K6" s="79"/>
    </row>
    <row r="7" spans="3:11">
      <c r="C7" t="str" cm="1">
        <f t="array" ref="C7">_xldudf_AI_ASK(C6)</f>
        <v>You can use the `SUMIF` function in Excel to sum a list of values that are greater than 10. The formula would look like this:
```excel
=SUMIF(range, "&gt;10")
```
Here, `range` is the range of cells that you want to evaluate. For example, if your values are in cells A1 to A10, the formula would be:
```excel
=SUMIF(A1:A10, "&gt;10")
```
This formula will sum all the values in the range A1:A10 that are greater than 10.</v>
      </c>
    </row>
    <row r="12" spans="3:11">
      <c r="C12" s="78" t="s">
        <v>122</v>
      </c>
      <c r="D12" s="78"/>
      <c r="E12" s="78"/>
      <c r="F12" s="78"/>
      <c r="G12" s="78"/>
      <c r="H12" s="78"/>
      <c r="I12" s="78"/>
    </row>
    <row r="13" spans="3:11">
      <c r="C13" s="81" t="s">
        <v>123</v>
      </c>
      <c r="D13" s="81" t="s">
        <v>124</v>
      </c>
      <c r="E13" s="81" t="s">
        <v>125</v>
      </c>
      <c r="F13" s="80"/>
      <c r="G13" s="80"/>
      <c r="H13" s="80"/>
      <c r="I13" s="80"/>
      <c r="J13" s="80"/>
      <c r="K13" s="80"/>
    </row>
    <row r="14" spans="3:11">
      <c r="C14" t="s">
        <v>126</v>
      </c>
      <c r="D14" t="s">
        <v>127</v>
      </c>
      <c r="E14" t="s">
        <v>128</v>
      </c>
    </row>
    <row r="15" spans="3:11">
      <c r="C15" t="s">
        <v>129</v>
      </c>
      <c r="D15" t="str" cm="1">
        <f t="array" ref="D15">_xldudf_AI_FILL(C13:E14,C15:C18)</f>
        <v>ERROR: Invalid Open AI model!</v>
      </c>
    </row>
    <row r="16" spans="3:11">
      <c r="C16" t="s">
        <v>130</v>
      </c>
    </row>
    <row r="17" spans="3:3">
      <c r="C17" t="s">
        <v>131</v>
      </c>
    </row>
    <row r="18" spans="3:3">
      <c r="C18" t="s">
        <v>132</v>
      </c>
    </row>
  </sheetData>
  <mergeCells count="3">
    <mergeCell ref="C5:I5"/>
    <mergeCell ref="C6:K6"/>
    <mergeCell ref="C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Samir Amri</cp:lastModifiedBy>
  <cp:revision/>
  <dcterms:created xsi:type="dcterms:W3CDTF">2024-11-13T11:45:25Z</dcterms:created>
  <dcterms:modified xsi:type="dcterms:W3CDTF">2024-11-13T12:25:13Z</dcterms:modified>
  <cp:category/>
  <cp:contentStatus/>
</cp:coreProperties>
</file>