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1e19c5ddb3f857/Documents/UC Berkeley/Thesis/Station Data/"/>
    </mc:Choice>
  </mc:AlternateContent>
  <xr:revisionPtr revIDLastSave="1805" documentId="8_{93E9D40E-BAE5-4E81-B828-6C1E48EB7FA7}" xr6:coauthVersionLast="47" xr6:coauthVersionMax="47" xr10:uidLastSave="{07271426-9898-4F19-B8D8-0EA7C0E7D475}"/>
  <bookViews>
    <workbookView xWindow="-108" yWindow="-108" windowWidth="23256" windowHeight="12576" xr2:uid="{808BDF99-31D7-4B21-8AB3-F1D6A4BA6C8E}"/>
  </bookViews>
  <sheets>
    <sheet name="Instructions" sheetId="4" r:id="rId1"/>
    <sheet name="Route Overall Score" sheetId="1" r:id="rId2"/>
    <sheet name="Route Directness" sheetId="3" r:id="rId3"/>
    <sheet name="Perceived Safet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2" l="1"/>
  <c r="P8" i="2"/>
  <c r="D18" i="1"/>
  <c r="D19" i="1"/>
  <c r="P17" i="2"/>
  <c r="O12" i="2"/>
  <c r="O11" i="2"/>
  <c r="O20" i="2"/>
  <c r="O13" i="2" l="1"/>
  <c r="M13" i="1"/>
  <c r="C14" i="1" s="1"/>
  <c r="C7" i="1"/>
  <c r="B14" i="1" l="1"/>
  <c r="L14" i="1"/>
  <c r="K14" i="1"/>
  <c r="J14" i="1"/>
  <c r="I14" i="1"/>
  <c r="H14" i="1"/>
  <c r="G14" i="1"/>
  <c r="F14" i="1"/>
  <c r="E14" i="1"/>
  <c r="D14" i="1"/>
  <c r="B10" i="3"/>
  <c r="C8" i="1" s="1"/>
  <c r="J4" i="3"/>
  <c r="K4" i="3"/>
  <c r="L4" i="3"/>
  <c r="I4" i="3"/>
  <c r="D4" i="3"/>
  <c r="E4" i="3"/>
  <c r="F4" i="3"/>
  <c r="G4" i="3"/>
  <c r="H4" i="3"/>
  <c r="C4" i="3"/>
  <c r="F39" i="2"/>
  <c r="G39" i="2"/>
  <c r="H39" i="2"/>
  <c r="I39" i="2"/>
  <c r="J39" i="2"/>
  <c r="E39" i="2"/>
  <c r="F34" i="2"/>
  <c r="F37" i="2" s="1"/>
  <c r="G34" i="2"/>
  <c r="G37" i="2" s="1"/>
  <c r="H34" i="2"/>
  <c r="H37" i="2" s="1"/>
  <c r="I34" i="2"/>
  <c r="I37" i="2" s="1"/>
  <c r="J34" i="2"/>
  <c r="J37" i="2" s="1"/>
  <c r="E34" i="2"/>
  <c r="E37" i="2" s="1"/>
  <c r="F29" i="2"/>
  <c r="F32" i="2" s="1"/>
  <c r="G29" i="2"/>
  <c r="G32" i="2" s="1"/>
  <c r="H29" i="2"/>
  <c r="H32" i="2" s="1"/>
  <c r="I29" i="2"/>
  <c r="I32" i="2" s="1"/>
  <c r="J29" i="2"/>
  <c r="J32" i="2" s="1"/>
  <c r="E29" i="2"/>
  <c r="E32" i="2" s="1"/>
  <c r="H45" i="2"/>
  <c r="F15" i="1" s="1"/>
  <c r="L16" i="2"/>
  <c r="M16" i="2"/>
  <c r="N16" i="2"/>
  <c r="K16" i="2"/>
  <c r="P14" i="2" s="1"/>
  <c r="O8" i="2"/>
  <c r="P24" i="2" s="1"/>
  <c r="O9" i="2"/>
  <c r="B8" i="1" l="1"/>
  <c r="B14" i="3"/>
  <c r="D8" i="1" s="1"/>
  <c r="F16" i="1"/>
  <c r="P38" i="2"/>
  <c r="D45" i="2"/>
  <c r="B15" i="1" s="1"/>
  <c r="B16" i="1" s="1"/>
  <c r="O10" i="2"/>
  <c r="N45" i="2"/>
  <c r="L15" i="1" s="1"/>
  <c r="L16" i="1" s="1"/>
  <c r="O21" i="2"/>
  <c r="P21" i="2" s="1"/>
  <c r="K45" i="2"/>
  <c r="I15" i="1" s="1"/>
  <c r="I16" i="1" s="1"/>
  <c r="O23" i="2"/>
  <c r="O26" i="2"/>
  <c r="G45" i="2"/>
  <c r="E15" i="1" s="1"/>
  <c r="E16" i="1" s="1"/>
  <c r="P18" i="2"/>
  <c r="I45" i="2" s="1"/>
  <c r="G15" i="1" s="1"/>
  <c r="G16" i="1" s="1"/>
  <c r="P13" i="2"/>
  <c r="F45" i="2" s="1"/>
  <c r="D15" i="1" s="1"/>
  <c r="D16" i="1" s="1"/>
  <c r="B9" i="1"/>
  <c r="M4" i="3"/>
  <c r="O37" i="2"/>
  <c r="O32" i="2"/>
  <c r="P27" i="2" s="1"/>
  <c r="O22" i="2"/>
  <c r="P25" i="2" l="1"/>
  <c r="L45" i="2" s="1"/>
  <c r="J15" i="1" s="1"/>
  <c r="J16" i="1" s="1"/>
  <c r="B7" i="1"/>
  <c r="B13" i="3"/>
  <c r="B15" i="3" s="1"/>
  <c r="M45" i="2"/>
  <c r="K15" i="1" s="1"/>
  <c r="K16" i="1" s="1"/>
  <c r="J45" i="2"/>
  <c r="H15" i="1" s="1"/>
  <c r="H16" i="1" s="1"/>
  <c r="P11" i="2"/>
  <c r="E45" i="2" s="1"/>
  <c r="C15" i="1" s="1"/>
  <c r="C16" i="1" s="1"/>
  <c r="B5" i="1" l="1"/>
  <c r="D20" i="1" s="1"/>
  <c r="M16" i="1"/>
  <c r="B11" i="1" s="1"/>
  <c r="D7" i="1"/>
  <c r="D22" i="1" l="1"/>
  <c r="D21" i="1"/>
</calcChain>
</file>

<file path=xl/sharedStrings.xml><?xml version="1.0" encoding="utf-8"?>
<sst xmlns="http://schemas.openxmlformats.org/spreadsheetml/2006/main" count="205" uniqueCount="149">
  <si>
    <t>Sidewalk Segment</t>
  </si>
  <si>
    <t>Distance</t>
  </si>
  <si>
    <t>Total Width</t>
  </si>
  <si>
    <t>Units</t>
  </si>
  <si>
    <t>ft</t>
  </si>
  <si>
    <t xml:space="preserve">Clear Width </t>
  </si>
  <si>
    <t>Straight Line Distance</t>
  </si>
  <si>
    <t>Physical Property</t>
  </si>
  <si>
    <t>Score</t>
  </si>
  <si>
    <t>Attribute</t>
  </si>
  <si>
    <t>Weight</t>
  </si>
  <si>
    <t>Sidewalk Width</t>
  </si>
  <si>
    <t>Crosswalk Length</t>
  </si>
  <si>
    <t>Traffic Signals</t>
  </si>
  <si>
    <t>Speed Limit</t>
  </si>
  <si>
    <t>Lighting Quality</t>
  </si>
  <si>
    <t>Disability Inclusivity</t>
  </si>
  <si>
    <t>Land Use</t>
  </si>
  <si>
    <t>Cleanliness</t>
  </si>
  <si>
    <t>Vegetation</t>
  </si>
  <si>
    <t>Foot Traffic</t>
  </si>
  <si>
    <t>Attribute Score</t>
  </si>
  <si>
    <t>Longest Continuous CW</t>
  </si>
  <si>
    <t>Sidewalk Distance</t>
  </si>
  <si>
    <t>Crosswalk Distance</t>
  </si>
  <si>
    <t>Crosswalk Segment</t>
  </si>
  <si>
    <t>Signalization Type</t>
  </si>
  <si>
    <t>#</t>
  </si>
  <si>
    <t>Parallel &amp; Intersecting</t>
  </si>
  <si>
    <t>mph</t>
  </si>
  <si>
    <t>Variable</t>
  </si>
  <si>
    <t>One-way cross thru lanes</t>
  </si>
  <si>
    <t>Average Luminance</t>
  </si>
  <si>
    <t>lx</t>
  </si>
  <si>
    <t>Minimum Luminance</t>
  </si>
  <si>
    <t>Land Use Type</t>
  </si>
  <si>
    <t>Sidewalk Condition</t>
  </si>
  <si>
    <t>Curb Ramps &amp; Crosswalks</t>
  </si>
  <si>
    <t>Elevation Changes</t>
  </si>
  <si>
    <t>Y/N</t>
  </si>
  <si>
    <t>Y</t>
  </si>
  <si>
    <t>Vegetation Encroachment</t>
  </si>
  <si>
    <t>Buffer Arrangement</t>
  </si>
  <si>
    <t>Vegetation Level</t>
  </si>
  <si>
    <t>Notes</t>
  </si>
  <si>
    <t>Disability inclusivity based on the standard walking route, not wheelchair-accessible route.</t>
  </si>
  <si>
    <t>According to ANSI/IES RP-8</t>
  </si>
  <si>
    <t>Pedestrians observed</t>
  </si>
  <si>
    <t>Sidewalk Area</t>
  </si>
  <si>
    <t>ft^2</t>
  </si>
  <si>
    <t>Accessible Route Length</t>
  </si>
  <si>
    <t>Walking Route Length</t>
  </si>
  <si>
    <t>Total</t>
  </si>
  <si>
    <t>Linear Distance</t>
  </si>
  <si>
    <t xml:space="preserve">Pedestrian </t>
  </si>
  <si>
    <t>Mobility Weights</t>
  </si>
  <si>
    <t>Disabled Pedestrian</t>
  </si>
  <si>
    <t>Ratio</t>
  </si>
  <si>
    <t>Value</t>
  </si>
  <si>
    <t>Inverse RDI</t>
  </si>
  <si>
    <t>Directness</t>
  </si>
  <si>
    <t>Distance (ft)</t>
  </si>
  <si>
    <t>Walking Route</t>
  </si>
  <si>
    <t>Accessible Route</t>
  </si>
  <si>
    <t>Weights</t>
  </si>
  <si>
    <t>Perceived Safety</t>
  </si>
  <si>
    <t>Utility</t>
  </si>
  <si>
    <t>Adjusted Weight</t>
  </si>
  <si>
    <t>Route Type</t>
  </si>
  <si>
    <t>Does this route link to a center of gravity/POI?</t>
  </si>
  <si>
    <t>For each individual access route:</t>
  </si>
  <si>
    <t>DO NOT MODIFY VALUES ON THIS SHEET UNLESS HIGHLIGHTED YELLOW</t>
  </si>
  <si>
    <t>Total or Average</t>
  </si>
  <si>
    <t>Station Name</t>
  </si>
  <si>
    <t>Route #</t>
  </si>
  <si>
    <t>Date Visited</t>
  </si>
  <si>
    <t>Weighted Average</t>
  </si>
  <si>
    <t>Please input only integers for those variables who have limits noted here.</t>
  </si>
  <si>
    <t>Leave unused columns blank. Insert extra columns if necessary.</t>
  </si>
  <si>
    <t>0-5, integer</t>
  </si>
  <si>
    <t>0-3, integer</t>
  </si>
  <si>
    <r>
      <t>C</t>
    </r>
    <r>
      <rPr>
        <i/>
        <vertAlign val="subscript"/>
        <sz val="11"/>
        <color theme="1"/>
        <rFont val="Aptos Narrow"/>
        <family val="2"/>
        <scheme val="minor"/>
      </rPr>
      <t>min</t>
    </r>
  </si>
  <si>
    <r>
      <t>T</t>
    </r>
    <r>
      <rPr>
        <i/>
        <vertAlign val="subscript"/>
        <sz val="11"/>
        <color theme="1"/>
        <rFont val="Aptos Narrow"/>
        <family val="2"/>
        <scheme val="minor"/>
      </rPr>
      <t>min</t>
    </r>
  </si>
  <si>
    <r>
      <t>W</t>
    </r>
    <r>
      <rPr>
        <i/>
        <vertAlign val="subscript"/>
        <sz val="11"/>
        <color theme="1"/>
        <rFont val="Aptos Narrow"/>
        <family val="2"/>
        <scheme val="minor"/>
      </rPr>
      <t>max</t>
    </r>
  </si>
  <si>
    <r>
      <t>N</t>
    </r>
    <r>
      <rPr>
        <i/>
        <vertAlign val="subscript"/>
        <sz val="11"/>
        <color theme="1"/>
        <rFont val="Aptos Narrow"/>
        <family val="2"/>
        <scheme val="minor"/>
      </rPr>
      <t>LC,m</t>
    </r>
  </si>
  <si>
    <r>
      <t>N</t>
    </r>
    <r>
      <rPr>
        <i/>
        <vertAlign val="subscript"/>
        <sz val="11"/>
        <color theme="1"/>
        <rFont val="Aptos Narrow"/>
        <family val="2"/>
        <scheme val="minor"/>
      </rPr>
      <t>CW</t>
    </r>
  </si>
  <si>
    <r>
      <t>sig</t>
    </r>
    <r>
      <rPr>
        <i/>
        <vertAlign val="subscript"/>
        <sz val="11"/>
        <color theme="1"/>
        <rFont val="Aptos Narrow"/>
        <family val="2"/>
        <scheme val="minor"/>
      </rPr>
      <t>m</t>
    </r>
  </si>
  <si>
    <r>
      <t>V</t>
    </r>
    <r>
      <rPr>
        <i/>
        <vertAlign val="subscript"/>
        <sz val="11"/>
        <color theme="1"/>
        <rFont val="Aptos Narrow"/>
        <family val="2"/>
        <scheme val="minor"/>
      </rPr>
      <t>max</t>
    </r>
  </si>
  <si>
    <r>
      <t>E</t>
    </r>
    <r>
      <rPr>
        <i/>
        <vertAlign val="subscript"/>
        <sz val="11"/>
        <color theme="1"/>
        <rFont val="Aptos Narrow"/>
        <family val="2"/>
        <scheme val="minor"/>
      </rPr>
      <t>avg</t>
    </r>
  </si>
  <si>
    <r>
      <t>E</t>
    </r>
    <r>
      <rPr>
        <i/>
        <vertAlign val="subscript"/>
        <sz val="11"/>
        <color theme="1"/>
        <rFont val="Aptos Narrow"/>
        <family val="2"/>
        <scheme val="minor"/>
      </rPr>
      <t>vmin</t>
    </r>
  </si>
  <si>
    <r>
      <t>E</t>
    </r>
    <r>
      <rPr>
        <i/>
        <vertAlign val="subscript"/>
        <sz val="11"/>
        <color theme="1"/>
        <rFont val="Aptos Narrow"/>
        <family val="2"/>
        <scheme val="minor"/>
      </rPr>
      <t>avg</t>
    </r>
    <r>
      <rPr>
        <i/>
        <sz val="11"/>
        <color theme="1"/>
        <rFont val="Aptos Narrow"/>
        <family val="2"/>
        <scheme val="minor"/>
      </rPr>
      <t>/E</t>
    </r>
    <r>
      <rPr>
        <i/>
        <vertAlign val="subscript"/>
        <sz val="11"/>
        <color theme="1"/>
        <rFont val="Aptos Narrow"/>
        <family val="2"/>
        <scheme val="minor"/>
      </rPr>
      <t>vmin</t>
    </r>
  </si>
  <si>
    <r>
      <t>d</t>
    </r>
    <r>
      <rPr>
        <i/>
        <vertAlign val="subscript"/>
        <sz val="11"/>
        <color theme="1"/>
        <rFont val="Aptos Narrow"/>
        <family val="2"/>
        <scheme val="minor"/>
      </rPr>
      <t>k</t>
    </r>
  </si>
  <si>
    <r>
      <t>d</t>
    </r>
    <r>
      <rPr>
        <i/>
        <vertAlign val="subscript"/>
        <sz val="11"/>
        <color theme="1"/>
        <rFont val="Aptos Narrow"/>
        <family val="2"/>
        <scheme val="minor"/>
      </rPr>
      <t>m</t>
    </r>
  </si>
  <si>
    <t>Uniformity Ratio</t>
  </si>
  <si>
    <r>
      <t>cond</t>
    </r>
    <r>
      <rPr>
        <i/>
        <vertAlign val="subscript"/>
        <sz val="11"/>
        <color theme="1"/>
        <rFont val="Aptos Narrow"/>
        <family val="2"/>
        <scheme val="minor"/>
      </rPr>
      <t>k</t>
    </r>
  </si>
  <si>
    <r>
      <t>curb</t>
    </r>
    <r>
      <rPr>
        <i/>
        <vertAlign val="subscript"/>
        <sz val="11"/>
        <color theme="1"/>
        <rFont val="Aptos Narrow"/>
        <family val="2"/>
        <scheme val="minor"/>
      </rPr>
      <t>m</t>
    </r>
  </si>
  <si>
    <r>
      <t>elev</t>
    </r>
    <r>
      <rPr>
        <i/>
        <vertAlign val="subscript"/>
        <sz val="11"/>
        <color theme="1"/>
        <rFont val="Aptos Narrow"/>
        <family val="2"/>
        <scheme val="minor"/>
      </rPr>
      <t>k</t>
    </r>
  </si>
  <si>
    <r>
      <t>L</t>
    </r>
    <r>
      <rPr>
        <i/>
        <vertAlign val="subscript"/>
        <sz val="11"/>
        <color theme="1"/>
        <rFont val="Aptos Narrow"/>
        <family val="2"/>
        <scheme val="minor"/>
      </rPr>
      <t>k</t>
    </r>
  </si>
  <si>
    <t>p</t>
  </si>
  <si>
    <t>0-6, integer</t>
  </si>
  <si>
    <t>-</t>
  </si>
  <si>
    <t>0-4, integer</t>
  </si>
  <si>
    <r>
      <t>B</t>
    </r>
    <r>
      <rPr>
        <i/>
        <vertAlign val="subscript"/>
        <sz val="11"/>
        <color theme="1"/>
        <rFont val="Aptos Narrow"/>
        <family val="2"/>
        <scheme val="minor"/>
      </rPr>
      <t>1,k</t>
    </r>
  </si>
  <si>
    <r>
      <t>B</t>
    </r>
    <r>
      <rPr>
        <i/>
        <vertAlign val="subscript"/>
        <sz val="11"/>
        <color theme="1"/>
        <rFont val="Aptos Narrow"/>
        <family val="2"/>
        <scheme val="minor"/>
      </rPr>
      <t>R,1,k</t>
    </r>
  </si>
  <si>
    <r>
      <t>V</t>
    </r>
    <r>
      <rPr>
        <i/>
        <vertAlign val="subscript"/>
        <sz val="11"/>
        <color theme="1"/>
        <rFont val="Aptos Narrow"/>
        <family val="2"/>
        <scheme val="minor"/>
      </rPr>
      <t>1,k</t>
    </r>
  </si>
  <si>
    <r>
      <t>E</t>
    </r>
    <r>
      <rPr>
        <i/>
        <vertAlign val="subscript"/>
        <sz val="11"/>
        <color theme="1"/>
        <rFont val="Aptos Narrow"/>
        <family val="2"/>
        <scheme val="minor"/>
      </rPr>
      <t>1,k</t>
    </r>
  </si>
  <si>
    <r>
      <t>B</t>
    </r>
    <r>
      <rPr>
        <i/>
        <vertAlign val="subscript"/>
        <sz val="11"/>
        <color theme="1"/>
        <rFont val="Aptos Narrow"/>
        <family val="2"/>
        <scheme val="minor"/>
      </rPr>
      <t>2,k</t>
    </r>
  </si>
  <si>
    <r>
      <t>B</t>
    </r>
    <r>
      <rPr>
        <i/>
        <vertAlign val="subscript"/>
        <sz val="11"/>
        <color theme="1"/>
        <rFont val="Aptos Narrow"/>
        <family val="2"/>
        <scheme val="minor"/>
      </rPr>
      <t>R,2,k</t>
    </r>
  </si>
  <si>
    <r>
      <t>V</t>
    </r>
    <r>
      <rPr>
        <i/>
        <vertAlign val="subscript"/>
        <sz val="11"/>
        <color theme="1"/>
        <rFont val="Aptos Narrow"/>
        <family val="2"/>
        <scheme val="minor"/>
      </rPr>
      <t>2,k</t>
    </r>
  </si>
  <si>
    <r>
      <t>E</t>
    </r>
    <r>
      <rPr>
        <i/>
        <vertAlign val="subscript"/>
        <sz val="11"/>
        <color theme="1"/>
        <rFont val="Aptos Narrow"/>
        <family val="2"/>
        <scheme val="minor"/>
      </rPr>
      <t>2,k</t>
    </r>
  </si>
  <si>
    <t>ped</t>
  </si>
  <si>
    <t>A</t>
  </si>
  <si>
    <t>Based on normal walking route. If a segment cuts through a parking lot, please enter it as a crosswalk.</t>
  </si>
  <si>
    <t>Editable values do not have upper or lower limits unless noted in the "Units" column. The spreadsheet will automatically apply limits to the attribute scores where appropriate.</t>
  </si>
  <si>
    <t>Speed in parking lots/driveways  = 10 mph.</t>
  </si>
  <si>
    <r>
      <t>d</t>
    </r>
    <r>
      <rPr>
        <i/>
        <vertAlign val="subscript"/>
        <sz val="11"/>
        <color theme="1"/>
        <rFont val="Aptos Narrow"/>
        <family val="2"/>
        <scheme val="minor"/>
      </rPr>
      <t>walk</t>
    </r>
  </si>
  <si>
    <t>Walking Distance</t>
  </si>
  <si>
    <t>Pcs of Litter per 100 ft</t>
  </si>
  <si>
    <t>Pieces of Litter</t>
  </si>
  <si>
    <t>#/100ft</t>
  </si>
  <si>
    <t>Enter the total number of pieces of litter found along the route.</t>
  </si>
  <si>
    <t>DO NOT MODIFY VALUES ON THIS SHEET UNLESS HIGHLIGHTED YELLOW OR PINK</t>
  </si>
  <si>
    <t>Pink values may require site visit, difficult to measure remotely</t>
  </si>
  <si>
    <t>Route Number</t>
  </si>
  <si>
    <t>Route Name</t>
  </si>
  <si>
    <t>Description</t>
  </si>
  <si>
    <t>Name</t>
  </si>
  <si>
    <t>Side 1 Buffer Width</t>
  </si>
  <si>
    <t>Max Side 1 Buffer Width</t>
  </si>
  <si>
    <t>RB, BB, RR</t>
  </si>
  <si>
    <t>By inputting "buffer arrangement" (RB, BB, or RR), spreadsheet will automatically adjust required conditions for segments with adjacent roads (R) and/or buildings (B). Buffer sides are arbitrary but should be kept consistent. Please input buffer arrangement even if path lacks buffers, and set width = 0. Street parking, bike lanes, and bus stops count as buffers.</t>
  </si>
  <si>
    <t>Side 2 Buffer Width</t>
  </si>
  <si>
    <t>Max Side 2 Buffer Width</t>
  </si>
  <si>
    <t>PAQS-D (Directness Component)</t>
  </si>
  <si>
    <t>PAQS-S (Perceived Safety Component)</t>
  </si>
  <si>
    <t>PAQS-C (Overall/Composite)</t>
  </si>
  <si>
    <t>This is the PAQS calculation tool for individual access routes. Please follow the instructions below to ensure accurate calculation.</t>
  </si>
  <si>
    <t>Steps</t>
  </si>
  <si>
    <t>Instructions</t>
  </si>
  <si>
    <t>If necessary, refer to "var_descriptions.xlsx" for detailed descriptions of each of the characteristics.</t>
  </si>
  <si>
    <t>Start with the "Perceived Safety" page.  To calculate PAQS-S, the perceived safety component, this metric relies on 11 attributes which each depend on one or more physical/environmental characteristics.  Enter these values for each of the segments into the yellow and pink cells. Do not modify any other cells. The imbedded formulas will automatically calculate PAQS-S.</t>
  </si>
  <si>
    <t>Next, move to the "Route Directness" page to calculate PAQS-D, the directness component.  Record the straight-line (as the crow flies) distance between origin and destination of the route on this page.</t>
  </si>
  <si>
    <t>If the chosen route is not wheelchair/ADA accessible, please map out an accessible alternative route and enter its distance on this page.</t>
  </si>
  <si>
    <t>Observe the final PAQS scores for the route on the "Route Overall Score" page. PAQS-C, the composite score, is the average of PAQS-S and PAQS-D.</t>
  </si>
  <si>
    <t>Determine a pedestrian route from a transit station entrance to a destination on the perimeter of the station polygon (such as an intersection or a road) OR a nearby point of interest (mall, transit hub, civic center, etc.).  Refer to the associated research paper for route selection details.</t>
  </si>
  <si>
    <t>If the route serves a point of interest, type "Y" in Cell D23 on the "Route Overall Score" page. Otherwise, type "N". This value is only used in the calculation of stationwide PAQS.</t>
  </si>
  <si>
    <t>You may enter a route name and number on that page for your own organization purposes.</t>
  </si>
  <si>
    <t>Note: you will need to make a copy of this spreadsheet for every route you choose to analyze.</t>
  </si>
  <si>
    <t>Subdivide the walking route into approximately homogeneous sidewalk and crosswalk segments on the "Perceived Safety" page. This spreadsheet allows for 6 sidewalk segments and 4 crosswalk segments, but more columns may be added as necessary.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</si>
</sst>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9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8" borderId="1" xfId="0" applyNumberFormat="1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0" fillId="0" borderId="49" xfId="0" applyBorder="1" applyAlignment="1">
      <alignment vertical="center"/>
    </xf>
    <xf numFmtId="0" fontId="1" fillId="0" borderId="3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3" borderId="1" xfId="0" applyFill="1" applyBorder="1"/>
    <xf numFmtId="0" fontId="0" fillId="2" borderId="3" xfId="0" applyFill="1" applyBorder="1" applyAlignment="1">
      <alignment horizontal="left" vertical="center"/>
    </xf>
    <xf numFmtId="0" fontId="0" fillId="7" borderId="19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43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0" fillId="5" borderId="3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1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28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/>
    <xf numFmtId="164" fontId="0" fillId="10" borderId="1" xfId="0" applyNumberFormat="1" applyFill="1" applyBorder="1" applyAlignment="1">
      <alignment horizontal="right"/>
    </xf>
    <xf numFmtId="0" fontId="0" fillId="10" borderId="1" xfId="0" applyFill="1" applyBorder="1"/>
    <xf numFmtId="164" fontId="0" fillId="10" borderId="1" xfId="0" applyNumberFormat="1" applyFill="1" applyBorder="1"/>
    <xf numFmtId="0" fontId="0" fillId="10" borderId="5" xfId="0" applyFill="1" applyBorder="1"/>
    <xf numFmtId="164" fontId="0" fillId="10" borderId="5" xfId="0" applyNumberFormat="1" applyFill="1" applyBorder="1"/>
    <xf numFmtId="0" fontId="0" fillId="9" borderId="1" xfId="0" applyFill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4" fontId="0" fillId="4" borderId="41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2" borderId="4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4" borderId="38" xfId="0" applyNumberForma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9AD9-E533-4705-9772-CFDFCF842C17}">
  <dimension ref="A1:B12"/>
  <sheetViews>
    <sheetView tabSelected="1" workbookViewId="0">
      <selection activeCell="B7" sqref="B7"/>
    </sheetView>
  </sheetViews>
  <sheetFormatPr defaultRowHeight="14.4" x14ac:dyDescent="0.3"/>
  <cols>
    <col min="1" max="1" width="5.77734375" customWidth="1"/>
    <col min="2" max="2" width="80.109375" customWidth="1"/>
  </cols>
  <sheetData>
    <row r="1" spans="1:2" x14ac:dyDescent="0.3">
      <c r="A1" s="1" t="s">
        <v>136</v>
      </c>
      <c r="B1" s="1"/>
    </row>
    <row r="2" spans="1:2" x14ac:dyDescent="0.3">
      <c r="A2" s="1" t="s">
        <v>137</v>
      </c>
      <c r="B2" s="1" t="s">
        <v>138</v>
      </c>
    </row>
    <row r="3" spans="1:2" ht="43.2" x14ac:dyDescent="0.3">
      <c r="A3" s="174">
        <v>1</v>
      </c>
      <c r="B3" s="175" t="s">
        <v>144</v>
      </c>
    </row>
    <row r="4" spans="1:2" ht="28.8" x14ac:dyDescent="0.3">
      <c r="A4" s="174">
        <v>2</v>
      </c>
      <c r="B4" s="175" t="s">
        <v>145</v>
      </c>
    </row>
    <row r="5" spans="1:2" x14ac:dyDescent="0.3">
      <c r="A5" s="174">
        <v>3</v>
      </c>
      <c r="B5" s="175" t="s">
        <v>146</v>
      </c>
    </row>
    <row r="6" spans="1:2" ht="43.2" x14ac:dyDescent="0.3">
      <c r="A6" s="174">
        <v>4</v>
      </c>
      <c r="B6" s="175" t="s">
        <v>148</v>
      </c>
    </row>
    <row r="7" spans="1:2" ht="57.6" x14ac:dyDescent="0.3">
      <c r="A7" s="174">
        <v>5</v>
      </c>
      <c r="B7" s="175" t="s">
        <v>140</v>
      </c>
    </row>
    <row r="8" spans="1:2" ht="15" customHeight="1" x14ac:dyDescent="0.3">
      <c r="A8" s="174">
        <v>6</v>
      </c>
      <c r="B8" s="175" t="s">
        <v>139</v>
      </c>
    </row>
    <row r="9" spans="1:2" ht="29.4" customHeight="1" x14ac:dyDescent="0.3">
      <c r="A9" s="174">
        <v>7</v>
      </c>
      <c r="B9" s="175" t="s">
        <v>141</v>
      </c>
    </row>
    <row r="10" spans="1:2" ht="28.8" x14ac:dyDescent="0.3">
      <c r="A10" s="174">
        <v>8</v>
      </c>
      <c r="B10" s="175" t="s">
        <v>142</v>
      </c>
    </row>
    <row r="11" spans="1:2" ht="28.8" x14ac:dyDescent="0.3">
      <c r="A11" s="174">
        <v>9</v>
      </c>
      <c r="B11" s="175" t="s">
        <v>143</v>
      </c>
    </row>
    <row r="12" spans="1:2" x14ac:dyDescent="0.3">
      <c r="A12" s="174">
        <v>10</v>
      </c>
      <c r="B12" s="176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2A13-6380-4018-AB21-24585A365D3E}">
  <dimension ref="A1:M23"/>
  <sheetViews>
    <sheetView topLeftCell="A5" workbookViewId="0">
      <selection activeCell="G21" sqref="G21"/>
    </sheetView>
  </sheetViews>
  <sheetFormatPr defaultRowHeight="14.4" x14ac:dyDescent="0.3"/>
  <cols>
    <col min="1" max="1" width="14.5546875" customWidth="1"/>
    <col min="2" max="12" width="11.6640625" customWidth="1"/>
  </cols>
  <sheetData>
    <row r="1" spans="1:13" x14ac:dyDescent="0.3">
      <c r="A1" s="97" t="s">
        <v>73</v>
      </c>
      <c r="B1" s="97"/>
      <c r="C1" s="91" t="s">
        <v>74</v>
      </c>
      <c r="D1" s="91" t="s">
        <v>124</v>
      </c>
      <c r="E1" s="104" t="s">
        <v>125</v>
      </c>
      <c r="F1" s="105"/>
      <c r="G1" s="106"/>
      <c r="H1" s="91" t="s">
        <v>75</v>
      </c>
    </row>
    <row r="2" spans="1:13" ht="30" customHeight="1" x14ac:dyDescent="0.3">
      <c r="A2" s="98"/>
      <c r="B2" s="98"/>
      <c r="C2" s="81">
        <v>0</v>
      </c>
      <c r="D2" s="90" t="s">
        <v>126</v>
      </c>
      <c r="E2" s="101"/>
      <c r="F2" s="102"/>
      <c r="G2" s="103"/>
      <c r="H2" s="89"/>
    </row>
    <row r="3" spans="1:13" x14ac:dyDescent="0.3">
      <c r="A3" s="109" t="s">
        <v>71</v>
      </c>
      <c r="B3" s="109"/>
      <c r="C3" s="109"/>
      <c r="D3" s="109"/>
      <c r="E3" s="109"/>
    </row>
    <row r="5" spans="1:13" x14ac:dyDescent="0.3">
      <c r="A5" s="95" t="s">
        <v>60</v>
      </c>
      <c r="B5" s="96">
        <f>'Route Directness'!B15*100</f>
        <v>0</v>
      </c>
    </row>
    <row r="6" spans="1:13" x14ac:dyDescent="0.3">
      <c r="A6" s="23" t="s">
        <v>68</v>
      </c>
      <c r="B6" s="23" t="s">
        <v>61</v>
      </c>
      <c r="C6" s="23" t="s">
        <v>64</v>
      </c>
      <c r="D6" s="23" t="s">
        <v>59</v>
      </c>
    </row>
    <row r="7" spans="1:13" x14ac:dyDescent="0.3">
      <c r="A7" s="23" t="s">
        <v>62</v>
      </c>
      <c r="B7" s="1">
        <f>'Route Directness'!M4</f>
        <v>0</v>
      </c>
      <c r="C7" s="2">
        <f>'Route Directness'!B9</f>
        <v>0.86599999999999999</v>
      </c>
      <c r="D7" s="20">
        <f>'Route Directness'!B13</f>
        <v>0</v>
      </c>
    </row>
    <row r="8" spans="1:13" x14ac:dyDescent="0.3">
      <c r="A8" s="23" t="s">
        <v>63</v>
      </c>
      <c r="B8" s="1">
        <f>'Route Directness'!M5</f>
        <v>0</v>
      </c>
      <c r="C8" s="2">
        <f>'Route Directness'!B10</f>
        <v>0.13400000000000001</v>
      </c>
      <c r="D8" s="20">
        <f>'Route Directness'!B14</f>
        <v>0</v>
      </c>
    </row>
    <row r="9" spans="1:13" x14ac:dyDescent="0.3">
      <c r="A9" s="23" t="s">
        <v>53</v>
      </c>
      <c r="B9" s="1">
        <f>'Route Directness'!M6</f>
        <v>0</v>
      </c>
      <c r="C9" s="110"/>
      <c r="D9" s="111"/>
    </row>
    <row r="11" spans="1:13" x14ac:dyDescent="0.3">
      <c r="A11" s="93" t="s">
        <v>65</v>
      </c>
      <c r="B11" s="94">
        <f>M16</f>
        <v>26.301241239227188</v>
      </c>
    </row>
    <row r="12" spans="1:13" ht="28.8" x14ac:dyDescent="0.3">
      <c r="A12" s="24" t="s">
        <v>9</v>
      </c>
      <c r="B12" s="25" t="s">
        <v>1</v>
      </c>
      <c r="C12" s="25" t="s">
        <v>11</v>
      </c>
      <c r="D12" s="25" t="s">
        <v>12</v>
      </c>
      <c r="E12" s="25" t="s">
        <v>13</v>
      </c>
      <c r="F12" s="25" t="s">
        <v>14</v>
      </c>
      <c r="G12" s="25" t="s">
        <v>15</v>
      </c>
      <c r="H12" s="25" t="s">
        <v>16</v>
      </c>
      <c r="I12" s="25" t="s">
        <v>17</v>
      </c>
      <c r="J12" s="25" t="s">
        <v>18</v>
      </c>
      <c r="K12" s="25" t="s">
        <v>19</v>
      </c>
      <c r="L12" s="25" t="s">
        <v>20</v>
      </c>
      <c r="M12" s="25" t="s">
        <v>52</v>
      </c>
    </row>
    <row r="13" spans="1:13" x14ac:dyDescent="0.3">
      <c r="A13" s="24" t="s">
        <v>10</v>
      </c>
      <c r="B13" s="22">
        <v>6.967741935483871</v>
      </c>
      <c r="C13" s="22">
        <v>5.4891304347826084</v>
      </c>
      <c r="D13" s="22">
        <v>5.5</v>
      </c>
      <c r="E13" s="22">
        <v>7.21505376344086</v>
      </c>
      <c r="F13" s="22">
        <v>6.7826086956521738</v>
      </c>
      <c r="G13" s="22">
        <v>8.3260869565217384</v>
      </c>
      <c r="H13" s="22">
        <v>4.89247311827957</v>
      </c>
      <c r="I13" s="22">
        <v>7.064516129032258</v>
      </c>
      <c r="J13" s="22">
        <v>7.7391304347826084</v>
      </c>
      <c r="K13" s="22">
        <v>5.43010752688172</v>
      </c>
      <c r="L13" s="22">
        <v>7.78494623655914</v>
      </c>
      <c r="M13" s="21">
        <f>SUM(B13:L13)</f>
        <v>73.191795231416535</v>
      </c>
    </row>
    <row r="14" spans="1:13" x14ac:dyDescent="0.3">
      <c r="A14" s="24" t="s">
        <v>67</v>
      </c>
      <c r="B14" s="22">
        <f>(B13/$M13)*100</f>
        <v>9.5198401862577438</v>
      </c>
      <c r="C14" s="22">
        <f t="shared" ref="C14:L14" si="0">(C13/$M13)*100</f>
        <v>7.4996526829642214</v>
      </c>
      <c r="D14" s="22">
        <f t="shared" si="0"/>
        <v>7.5145034803562289</v>
      </c>
      <c r="E14" s="22">
        <f t="shared" si="0"/>
        <v>9.8577357484243002</v>
      </c>
      <c r="F14" s="22">
        <f t="shared" si="0"/>
        <v>9.2668975726132157</v>
      </c>
      <c r="G14" s="22">
        <f t="shared" si="0"/>
        <v>11.3757108022784</v>
      </c>
      <c r="H14" s="22">
        <f t="shared" si="0"/>
        <v>6.6844556863383868</v>
      </c>
      <c r="I14" s="22">
        <f t="shared" si="0"/>
        <v>9.6520601888446578</v>
      </c>
      <c r="J14" s="22">
        <f t="shared" si="0"/>
        <v>10.573767743109951</v>
      </c>
      <c r="K14" s="22">
        <f t="shared" si="0"/>
        <v>7.41901125626568</v>
      </c>
      <c r="L14" s="22">
        <f t="shared" si="0"/>
        <v>10.636364652547234</v>
      </c>
      <c r="M14" s="99"/>
    </row>
    <row r="15" spans="1:13" x14ac:dyDescent="0.3">
      <c r="A15" s="24" t="s">
        <v>8</v>
      </c>
      <c r="B15" s="19">
        <f>'Perceived Safety'!D45</f>
        <v>1</v>
      </c>
      <c r="C15" s="19">
        <f>'Perceived Safety'!E45</f>
        <v>0</v>
      </c>
      <c r="D15" s="19">
        <f>'Perceived Safety'!F45</f>
        <v>1</v>
      </c>
      <c r="E15" s="19">
        <f>'Perceived Safety'!G45</f>
        <v>0</v>
      </c>
      <c r="F15" s="19">
        <f>'Perceived Safety'!H45</f>
        <v>1</v>
      </c>
      <c r="G15" s="19">
        <f>'Perceived Safety'!I45</f>
        <v>0</v>
      </c>
      <c r="H15" s="19">
        <f>'Perceived Safety'!J45</f>
        <v>0</v>
      </c>
      <c r="I15" s="19">
        <f>'Perceived Safety'!K45</f>
        <v>0</v>
      </c>
      <c r="J15" s="19">
        <f>'Perceived Safety'!L45</f>
        <v>0</v>
      </c>
      <c r="K15" s="19">
        <f>'Perceived Safety'!M45</f>
        <v>0</v>
      </c>
      <c r="L15" s="19">
        <f>'Perceived Safety'!N45</f>
        <v>0</v>
      </c>
      <c r="M15" s="100"/>
    </row>
    <row r="16" spans="1:13" x14ac:dyDescent="0.3">
      <c r="A16" s="24" t="s">
        <v>66</v>
      </c>
      <c r="B16" s="20">
        <f>B14*B15</f>
        <v>9.5198401862577438</v>
      </c>
      <c r="C16" s="20">
        <f t="shared" ref="C16:L16" si="1">C14*C15</f>
        <v>0</v>
      </c>
      <c r="D16" s="20">
        <f t="shared" si="1"/>
        <v>7.5145034803562289</v>
      </c>
      <c r="E16" s="20">
        <f t="shared" si="1"/>
        <v>0</v>
      </c>
      <c r="F16" s="20">
        <f t="shared" si="1"/>
        <v>9.2668975726132157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48">
        <f>SUM(B16:L16)</f>
        <v>26.301241239227188</v>
      </c>
    </row>
    <row r="18" spans="1:4" x14ac:dyDescent="0.3">
      <c r="A18" s="112" t="s">
        <v>124</v>
      </c>
      <c r="B18" s="112"/>
      <c r="C18" s="112"/>
      <c r="D18" s="80" t="str">
        <f>D2</f>
        <v>Name</v>
      </c>
    </row>
    <row r="19" spans="1:4" x14ac:dyDescent="0.3">
      <c r="A19" s="112" t="s">
        <v>123</v>
      </c>
      <c r="B19" s="112"/>
      <c r="C19" s="112"/>
      <c r="D19" s="80">
        <f>C2</f>
        <v>0</v>
      </c>
    </row>
    <row r="20" spans="1:4" x14ac:dyDescent="0.3">
      <c r="A20" s="107" t="s">
        <v>133</v>
      </c>
      <c r="B20" s="107"/>
      <c r="C20" s="107"/>
      <c r="D20" s="92">
        <f>B5</f>
        <v>0</v>
      </c>
    </row>
    <row r="21" spans="1:4" x14ac:dyDescent="0.3">
      <c r="A21" s="107" t="s">
        <v>134</v>
      </c>
      <c r="B21" s="107"/>
      <c r="C21" s="107"/>
      <c r="D21" s="92">
        <f>B11</f>
        <v>26.301241239227188</v>
      </c>
    </row>
    <row r="22" spans="1:4" x14ac:dyDescent="0.3">
      <c r="A22" s="107" t="s">
        <v>135</v>
      </c>
      <c r="B22" s="107"/>
      <c r="C22" s="107"/>
      <c r="D22" s="92">
        <f>AVERAGE(B5,B11)</f>
        <v>13.150620619613594</v>
      </c>
    </row>
    <row r="23" spans="1:4" x14ac:dyDescent="0.3">
      <c r="A23" s="108" t="s">
        <v>69</v>
      </c>
      <c r="B23" s="108"/>
      <c r="C23" s="108"/>
      <c r="D23" s="88" t="s">
        <v>40</v>
      </c>
    </row>
  </sheetData>
  <mergeCells count="13">
    <mergeCell ref="A20:C20"/>
    <mergeCell ref="A21:C21"/>
    <mergeCell ref="A23:C23"/>
    <mergeCell ref="A3:E3"/>
    <mergeCell ref="A22:C22"/>
    <mergeCell ref="C9:D9"/>
    <mergeCell ref="A19:C19"/>
    <mergeCell ref="A18:C18"/>
    <mergeCell ref="A1:B1"/>
    <mergeCell ref="A2:B2"/>
    <mergeCell ref="M14:M15"/>
    <mergeCell ref="E2:G2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EB55-2A1D-4AA1-87C2-DD942707139F}">
  <dimension ref="A1:M15"/>
  <sheetViews>
    <sheetView workbookViewId="0">
      <selection activeCell="D11" sqref="D11"/>
    </sheetView>
  </sheetViews>
  <sheetFormatPr defaultRowHeight="14.4" x14ac:dyDescent="0.3"/>
  <cols>
    <col min="1" max="1" width="21.77734375" customWidth="1"/>
  </cols>
  <sheetData>
    <row r="1" spans="1:13" x14ac:dyDescent="0.3">
      <c r="A1" s="115" t="s">
        <v>71</v>
      </c>
      <c r="B1" s="115"/>
      <c r="C1" s="115"/>
      <c r="D1" s="115"/>
      <c r="E1" s="115"/>
      <c r="F1" s="115"/>
    </row>
    <row r="2" spans="1:13" x14ac:dyDescent="0.3">
      <c r="A2" s="23"/>
      <c r="B2" s="23"/>
      <c r="C2" s="113" t="s">
        <v>0</v>
      </c>
      <c r="D2" s="113"/>
      <c r="E2" s="113"/>
      <c r="F2" s="113"/>
      <c r="G2" s="113"/>
      <c r="H2" s="113"/>
      <c r="I2" s="113" t="s">
        <v>25</v>
      </c>
      <c r="J2" s="113"/>
      <c r="K2" s="113"/>
      <c r="L2" s="113"/>
      <c r="M2" s="23" t="s">
        <v>52</v>
      </c>
    </row>
    <row r="3" spans="1:13" x14ac:dyDescent="0.3">
      <c r="A3" s="23"/>
      <c r="B3" s="23" t="s">
        <v>3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1</v>
      </c>
      <c r="J3" s="24">
        <v>2</v>
      </c>
      <c r="K3" s="24">
        <v>3</v>
      </c>
      <c r="L3" s="24">
        <v>4</v>
      </c>
      <c r="M3" s="23"/>
    </row>
    <row r="4" spans="1:13" x14ac:dyDescent="0.3">
      <c r="A4" s="1" t="s">
        <v>51</v>
      </c>
      <c r="B4" s="1" t="s">
        <v>4</v>
      </c>
      <c r="C4" s="5">
        <f>'Perceived Safety'!E8</f>
        <v>0</v>
      </c>
      <c r="D4" s="5">
        <f>'Perceived Safety'!F8</f>
        <v>0</v>
      </c>
      <c r="E4" s="5">
        <f>'Perceived Safety'!G8</f>
        <v>0</v>
      </c>
      <c r="F4" s="5">
        <f>'Perceived Safety'!H8</f>
        <v>0</v>
      </c>
      <c r="G4" s="5">
        <f>'Perceived Safety'!I8</f>
        <v>0</v>
      </c>
      <c r="H4" s="5">
        <f>'Perceived Safety'!J8</f>
        <v>0</v>
      </c>
      <c r="I4" s="5">
        <f>'Perceived Safety'!K9</f>
        <v>0</v>
      </c>
      <c r="J4" s="5">
        <f>'Perceived Safety'!L9</f>
        <v>0</v>
      </c>
      <c r="K4" s="5">
        <f>'Perceived Safety'!M9</f>
        <v>0</v>
      </c>
      <c r="L4" s="5">
        <f>'Perceived Safety'!N9</f>
        <v>0</v>
      </c>
      <c r="M4" s="2">
        <f>'Perceived Safety'!O8+'Perceived Safety'!O9</f>
        <v>0</v>
      </c>
    </row>
    <row r="5" spans="1:13" x14ac:dyDescent="0.3">
      <c r="A5" s="1" t="s">
        <v>50</v>
      </c>
      <c r="B5" s="1" t="s">
        <v>4</v>
      </c>
      <c r="C5" s="116"/>
      <c r="D5" s="117"/>
      <c r="E5" s="117"/>
      <c r="F5" s="117"/>
      <c r="G5" s="117"/>
      <c r="H5" s="117"/>
      <c r="I5" s="117"/>
      <c r="J5" s="117"/>
      <c r="K5" s="117"/>
      <c r="L5" s="118"/>
      <c r="M5" s="64"/>
    </row>
    <row r="6" spans="1:13" x14ac:dyDescent="0.3">
      <c r="A6" s="1" t="s">
        <v>6</v>
      </c>
      <c r="B6" s="1" t="s">
        <v>4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64"/>
    </row>
    <row r="8" spans="1:13" x14ac:dyDescent="0.3">
      <c r="A8" s="23" t="s">
        <v>55</v>
      </c>
      <c r="B8" s="23" t="s">
        <v>57</v>
      </c>
    </row>
    <row r="9" spans="1:13" x14ac:dyDescent="0.3">
      <c r="A9" s="1" t="s">
        <v>54</v>
      </c>
      <c r="B9" s="1">
        <v>0.86599999999999999</v>
      </c>
    </row>
    <row r="10" spans="1:13" x14ac:dyDescent="0.3">
      <c r="A10" s="1" t="s">
        <v>56</v>
      </c>
      <c r="B10" s="1">
        <f>1-B9</f>
        <v>0.13400000000000001</v>
      </c>
    </row>
    <row r="12" spans="1:13" x14ac:dyDescent="0.3">
      <c r="A12" s="23" t="s">
        <v>59</v>
      </c>
      <c r="B12" s="23" t="s">
        <v>58</v>
      </c>
    </row>
    <row r="13" spans="1:13" x14ac:dyDescent="0.3">
      <c r="A13" s="1" t="s">
        <v>62</v>
      </c>
      <c r="B13" s="2">
        <f>IFERROR(M$6/M4,0)</f>
        <v>0</v>
      </c>
    </row>
    <row r="14" spans="1:13" x14ac:dyDescent="0.3">
      <c r="A14" s="1" t="s">
        <v>63</v>
      </c>
      <c r="B14" s="2">
        <f>IFERROR(M$6/M5,0)</f>
        <v>0</v>
      </c>
    </row>
    <row r="15" spans="1:13" x14ac:dyDescent="0.3">
      <c r="A15" s="1" t="s">
        <v>76</v>
      </c>
      <c r="B15" s="49">
        <f>IFERROR(SUMPRODUCT(B9:B10,B13:B14),0)</f>
        <v>0</v>
      </c>
    </row>
  </sheetData>
  <mergeCells count="5">
    <mergeCell ref="C2:H2"/>
    <mergeCell ref="I2:L2"/>
    <mergeCell ref="C6:L6"/>
    <mergeCell ref="A1:F1"/>
    <mergeCell ref="C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3EE3-D1E1-4907-A820-83583CA18CFA}">
  <sheetPr>
    <pageSetUpPr fitToPage="1"/>
  </sheetPr>
  <dimension ref="A1:R45"/>
  <sheetViews>
    <sheetView workbookViewId="0">
      <selection activeCell="K41" sqref="K41"/>
    </sheetView>
  </sheetViews>
  <sheetFormatPr defaultColWidth="8.77734375" defaultRowHeight="14.4" x14ac:dyDescent="0.3"/>
  <cols>
    <col min="1" max="1" width="17.77734375" style="3" customWidth="1"/>
    <col min="2" max="2" width="22.88671875" style="3" customWidth="1"/>
    <col min="3" max="3" width="8.77734375" style="3" customWidth="1"/>
    <col min="4" max="4" width="11.44140625" style="3" customWidth="1"/>
    <col min="5" max="14" width="5.6640625" style="3" customWidth="1"/>
    <col min="15" max="16" width="8.77734375" style="3"/>
    <col min="17" max="17" width="35" style="3" customWidth="1"/>
    <col min="18" max="16384" width="8.77734375" style="3"/>
  </cols>
  <sheetData>
    <row r="1" spans="1:18" x14ac:dyDescent="0.3">
      <c r="A1" s="109" t="s">
        <v>121</v>
      </c>
      <c r="B1" s="109"/>
      <c r="C1" s="109"/>
      <c r="D1" s="109"/>
      <c r="E1" s="109"/>
    </row>
    <row r="2" spans="1:18" x14ac:dyDescent="0.3">
      <c r="A2" s="74" t="s">
        <v>122</v>
      </c>
      <c r="B2" s="75"/>
      <c r="C2" s="75"/>
      <c r="D2" s="75"/>
      <c r="E2" s="75"/>
    </row>
    <row r="3" spans="1:18" x14ac:dyDescent="0.3">
      <c r="A3" s="51" t="s">
        <v>113</v>
      </c>
      <c r="B3" s="50"/>
      <c r="C3" s="50"/>
      <c r="D3" s="50"/>
      <c r="E3" s="50"/>
    </row>
    <row r="4" spans="1:18" x14ac:dyDescent="0.3">
      <c r="A4" s="3" t="s">
        <v>77</v>
      </c>
      <c r="B4" s="50"/>
      <c r="C4" s="50"/>
      <c r="D4" s="50"/>
      <c r="E4" s="50"/>
    </row>
    <row r="5" spans="1:18" ht="15" thickBot="1" x14ac:dyDescent="0.35">
      <c r="A5" s="3" t="s">
        <v>78</v>
      </c>
      <c r="B5" s="50"/>
      <c r="C5" s="50"/>
      <c r="D5" s="50"/>
      <c r="E5" s="50"/>
    </row>
    <row r="6" spans="1:18" ht="16.5" customHeight="1" thickTop="1" thickBot="1" x14ac:dyDescent="0.35">
      <c r="A6" s="167" t="s">
        <v>70</v>
      </c>
      <c r="B6" s="168"/>
      <c r="C6" s="149" t="s">
        <v>30</v>
      </c>
      <c r="D6" s="149" t="s">
        <v>3</v>
      </c>
      <c r="E6" s="155" t="s">
        <v>0</v>
      </c>
      <c r="F6" s="156"/>
      <c r="G6" s="156"/>
      <c r="H6" s="156"/>
      <c r="I6" s="156"/>
      <c r="J6" s="157"/>
      <c r="K6" s="155" t="s">
        <v>25</v>
      </c>
      <c r="L6" s="156"/>
      <c r="M6" s="156"/>
      <c r="N6" s="157"/>
      <c r="O6" s="169" t="s">
        <v>72</v>
      </c>
      <c r="P6" s="169" t="s">
        <v>21</v>
      </c>
      <c r="Q6" s="149" t="s">
        <v>44</v>
      </c>
    </row>
    <row r="7" spans="1:18" ht="16.5" customHeight="1" thickTop="1" thickBot="1" x14ac:dyDescent="0.35">
      <c r="A7" s="83" t="s">
        <v>9</v>
      </c>
      <c r="B7" s="84" t="s">
        <v>7</v>
      </c>
      <c r="C7" s="150"/>
      <c r="D7" s="150"/>
      <c r="E7" s="85">
        <v>1</v>
      </c>
      <c r="F7" s="86">
        <v>2</v>
      </c>
      <c r="G7" s="86">
        <v>3</v>
      </c>
      <c r="H7" s="86">
        <v>4</v>
      </c>
      <c r="I7" s="86">
        <v>5</v>
      </c>
      <c r="J7" s="87">
        <v>6</v>
      </c>
      <c r="K7" s="85">
        <v>1</v>
      </c>
      <c r="L7" s="86">
        <v>2</v>
      </c>
      <c r="M7" s="86">
        <v>3</v>
      </c>
      <c r="N7" s="87">
        <v>4</v>
      </c>
      <c r="O7" s="170"/>
      <c r="P7" s="170"/>
      <c r="Q7" s="150"/>
    </row>
    <row r="8" spans="1:18" ht="16.5" customHeight="1" thickTop="1" x14ac:dyDescent="0.3">
      <c r="A8" s="121" t="s">
        <v>1</v>
      </c>
      <c r="B8" s="10" t="s">
        <v>23</v>
      </c>
      <c r="C8" s="52" t="s">
        <v>91</v>
      </c>
      <c r="D8" s="10" t="s">
        <v>4</v>
      </c>
      <c r="E8" s="30"/>
      <c r="F8" s="31"/>
      <c r="G8" s="31"/>
      <c r="H8" s="31"/>
      <c r="I8" s="31"/>
      <c r="J8" s="32"/>
      <c r="K8" s="158"/>
      <c r="L8" s="159"/>
      <c r="M8" s="159"/>
      <c r="N8" s="160"/>
      <c r="O8" s="26">
        <f>SUM(E8:J8)</f>
        <v>0</v>
      </c>
      <c r="P8" s="134">
        <f>1-IF(SUM(O8:O9)&gt;2640,2640,SUM(O8:O9))/2640</f>
        <v>1</v>
      </c>
      <c r="Q8" s="129" t="s">
        <v>112</v>
      </c>
    </row>
    <row r="9" spans="1:18" ht="16.5" customHeight="1" x14ac:dyDescent="0.3">
      <c r="A9" s="154"/>
      <c r="B9" s="9" t="s">
        <v>24</v>
      </c>
      <c r="C9" s="52" t="s">
        <v>92</v>
      </c>
      <c r="D9" s="9" t="s">
        <v>4</v>
      </c>
      <c r="E9" s="118"/>
      <c r="F9" s="132"/>
      <c r="G9" s="132"/>
      <c r="H9" s="132"/>
      <c r="I9" s="132"/>
      <c r="J9" s="133"/>
      <c r="K9" s="33"/>
      <c r="L9" s="34"/>
      <c r="M9" s="34"/>
      <c r="N9" s="35"/>
      <c r="O9" s="17">
        <f>SUM(G9:N9)</f>
        <v>0</v>
      </c>
      <c r="P9" s="148"/>
      <c r="Q9" s="130"/>
    </row>
    <row r="10" spans="1:18" ht="16.5" customHeight="1" thickBot="1" x14ac:dyDescent="0.35">
      <c r="A10" s="122"/>
      <c r="B10" s="14" t="s">
        <v>116</v>
      </c>
      <c r="C10" s="55" t="s">
        <v>115</v>
      </c>
      <c r="D10" s="14" t="s">
        <v>4</v>
      </c>
      <c r="E10" s="123"/>
      <c r="F10" s="124"/>
      <c r="G10" s="124"/>
      <c r="H10" s="124"/>
      <c r="I10" s="124"/>
      <c r="J10" s="125"/>
      <c r="K10" s="123"/>
      <c r="L10" s="124"/>
      <c r="M10" s="124"/>
      <c r="N10" s="125"/>
      <c r="O10" s="16">
        <f>SUM(O8:O9)</f>
        <v>0</v>
      </c>
      <c r="P10" s="135"/>
      <c r="Q10" s="131"/>
    </row>
    <row r="11" spans="1:18" ht="16.5" customHeight="1" thickTop="1" x14ac:dyDescent="0.3">
      <c r="A11" s="121" t="s">
        <v>11</v>
      </c>
      <c r="B11" s="10" t="s">
        <v>5</v>
      </c>
      <c r="C11" s="58" t="s">
        <v>81</v>
      </c>
      <c r="D11" s="10" t="s">
        <v>4</v>
      </c>
      <c r="E11" s="66"/>
      <c r="F11" s="67"/>
      <c r="G11" s="67"/>
      <c r="H11" s="67"/>
      <c r="I11" s="67"/>
      <c r="J11" s="68"/>
      <c r="K11" s="158"/>
      <c r="L11" s="159"/>
      <c r="M11" s="159"/>
      <c r="N11" s="160"/>
      <c r="O11" s="26">
        <f>IF(MIN(E11:J11)&lt;6,MIN(E11:J11),6)</f>
        <v>0</v>
      </c>
      <c r="P11" s="134">
        <f>(O11/6+O12/8)/2</f>
        <v>0</v>
      </c>
      <c r="Q11" s="119"/>
    </row>
    <row r="12" spans="1:18" ht="16.5" customHeight="1" thickBot="1" x14ac:dyDescent="0.35">
      <c r="A12" s="122"/>
      <c r="B12" s="11" t="s">
        <v>2</v>
      </c>
      <c r="C12" s="59" t="s">
        <v>82</v>
      </c>
      <c r="D12" s="11" t="s">
        <v>4</v>
      </c>
      <c r="E12" s="36"/>
      <c r="F12" s="37"/>
      <c r="G12" s="37"/>
      <c r="H12" s="37"/>
      <c r="I12" s="37"/>
      <c r="J12" s="38"/>
      <c r="K12" s="161"/>
      <c r="L12" s="162"/>
      <c r="M12" s="162"/>
      <c r="N12" s="163"/>
      <c r="O12" s="26">
        <f>IF(MIN(E12:J12)&lt;8,MIN(E12:J12),8)</f>
        <v>0</v>
      </c>
      <c r="P12" s="135"/>
      <c r="Q12" s="120"/>
    </row>
    <row r="13" spans="1:18" ht="16.5" customHeight="1" thickTop="1" thickBot="1" x14ac:dyDescent="0.35">
      <c r="A13" s="45" t="s">
        <v>12</v>
      </c>
      <c r="B13" s="12" t="s">
        <v>22</v>
      </c>
      <c r="C13" s="60" t="s">
        <v>83</v>
      </c>
      <c r="D13" s="12" t="s">
        <v>4</v>
      </c>
      <c r="E13" s="164"/>
      <c r="F13" s="165"/>
      <c r="G13" s="165"/>
      <c r="H13" s="165"/>
      <c r="I13" s="165"/>
      <c r="J13" s="166"/>
      <c r="K13" s="164"/>
      <c r="L13" s="165"/>
      <c r="M13" s="165"/>
      <c r="N13" s="166"/>
      <c r="O13" s="27">
        <f>IF(MAX(G9:N9)&gt;100,100,IF(MAX(G9:N9)&lt;20,20,MAX(G9:N9)))</f>
        <v>20</v>
      </c>
      <c r="P13" s="47">
        <f>1-((O13-20)/80)</f>
        <v>1</v>
      </c>
      <c r="Q13" s="61"/>
      <c r="R13" s="62"/>
    </row>
    <row r="14" spans="1:18" ht="16.5" customHeight="1" thickTop="1" x14ac:dyDescent="0.3">
      <c r="A14" s="121" t="s">
        <v>13</v>
      </c>
      <c r="B14" s="10" t="s">
        <v>31</v>
      </c>
      <c r="C14" s="58" t="s">
        <v>84</v>
      </c>
      <c r="D14" s="10" t="s">
        <v>27</v>
      </c>
      <c r="E14" s="158"/>
      <c r="F14" s="159"/>
      <c r="G14" s="159"/>
      <c r="H14" s="159"/>
      <c r="I14" s="159"/>
      <c r="J14" s="160"/>
      <c r="K14" s="30"/>
      <c r="L14" s="31"/>
      <c r="M14" s="31"/>
      <c r="N14" s="32"/>
      <c r="O14" s="26"/>
      <c r="P14" s="134">
        <f>IFERROR(SUM(K16:N16)/COUNT(K9:N9),0)</f>
        <v>0</v>
      </c>
      <c r="Q14" s="119"/>
    </row>
    <row r="15" spans="1:18" ht="16.5" customHeight="1" thickBot="1" x14ac:dyDescent="0.35">
      <c r="A15" s="171"/>
      <c r="B15" s="9" t="s">
        <v>26</v>
      </c>
      <c r="C15" s="52" t="s">
        <v>85</v>
      </c>
      <c r="D15" s="9" t="s">
        <v>101</v>
      </c>
      <c r="E15" s="118"/>
      <c r="F15" s="132"/>
      <c r="G15" s="132"/>
      <c r="H15" s="132"/>
      <c r="I15" s="132"/>
      <c r="J15" s="133"/>
      <c r="K15" s="69"/>
      <c r="L15" s="70"/>
      <c r="M15" s="70"/>
      <c r="N15" s="71"/>
      <c r="O15" s="17"/>
      <c r="P15" s="148"/>
      <c r="Q15" s="142"/>
    </row>
    <row r="16" spans="1:18" ht="16.5" hidden="1" customHeight="1" thickBot="1" x14ac:dyDescent="0.35">
      <c r="A16" s="46"/>
      <c r="B16" s="14"/>
      <c r="C16" s="82" t="s">
        <v>86</v>
      </c>
      <c r="D16" s="14"/>
      <c r="E16" s="161"/>
      <c r="F16" s="162"/>
      <c r="G16" s="162"/>
      <c r="H16" s="162"/>
      <c r="I16" s="162"/>
      <c r="J16" s="163"/>
      <c r="K16" s="13">
        <f>IFERROR((K15/K14)/4,0)</f>
        <v>0</v>
      </c>
      <c r="L16" s="6">
        <f t="shared" ref="L16:N16" si="0">IFERROR((L15/L14)/4,0)</f>
        <v>0</v>
      </c>
      <c r="M16" s="6">
        <f t="shared" si="0"/>
        <v>0</v>
      </c>
      <c r="N16" s="28">
        <f t="shared" si="0"/>
        <v>0</v>
      </c>
      <c r="O16" s="16"/>
      <c r="P16" s="135"/>
      <c r="Q16" s="11"/>
    </row>
    <row r="17" spans="1:17" ht="16.5" customHeight="1" thickTop="1" thickBot="1" x14ac:dyDescent="0.35">
      <c r="A17" s="45" t="s">
        <v>14</v>
      </c>
      <c r="B17" s="12" t="s">
        <v>28</v>
      </c>
      <c r="C17" s="60" t="s">
        <v>87</v>
      </c>
      <c r="D17" s="12" t="s">
        <v>29</v>
      </c>
      <c r="E17" s="39"/>
      <c r="F17" s="40"/>
      <c r="G17" s="40"/>
      <c r="H17" s="40"/>
      <c r="I17" s="40"/>
      <c r="J17" s="41"/>
      <c r="K17" s="39"/>
      <c r="L17" s="40"/>
      <c r="M17" s="40"/>
      <c r="N17" s="41"/>
      <c r="O17" s="27"/>
      <c r="P17" s="47">
        <f>1-(IF(MAX(E17:N17)&lt;20,20,IF(MAX(E17:N17)&gt;55,55,MAX(E17:N17)))-20)/(55-20)</f>
        <v>1</v>
      </c>
      <c r="Q17" s="12" t="s">
        <v>114</v>
      </c>
    </row>
    <row r="18" spans="1:17" ht="16.5" customHeight="1" thickTop="1" x14ac:dyDescent="0.3">
      <c r="A18" s="121" t="s">
        <v>15</v>
      </c>
      <c r="B18" s="10" t="s">
        <v>32</v>
      </c>
      <c r="C18" s="58" t="s">
        <v>88</v>
      </c>
      <c r="D18" s="10" t="s">
        <v>33</v>
      </c>
      <c r="E18" s="158"/>
      <c r="F18" s="159"/>
      <c r="G18" s="159"/>
      <c r="H18" s="159"/>
      <c r="I18" s="159"/>
      <c r="J18" s="160"/>
      <c r="K18" s="158"/>
      <c r="L18" s="159"/>
      <c r="M18" s="159"/>
      <c r="N18" s="160"/>
      <c r="O18" s="72"/>
      <c r="P18" s="134">
        <f>(IF(O18&lt;10,O18,10)/10+IF(O19&lt;5,O19,5)/5+(1-(IF(O20&lt;4,4,IF(O20&gt;10,10,O20))-4)/6))/3</f>
        <v>0</v>
      </c>
      <c r="Q18" s="151" t="s">
        <v>46</v>
      </c>
    </row>
    <row r="19" spans="1:17" ht="16.5" customHeight="1" x14ac:dyDescent="0.3">
      <c r="A19" s="154"/>
      <c r="B19" s="9" t="s">
        <v>34</v>
      </c>
      <c r="C19" s="52" t="s">
        <v>89</v>
      </c>
      <c r="D19" s="9" t="s">
        <v>33</v>
      </c>
      <c r="E19" s="118"/>
      <c r="F19" s="132"/>
      <c r="G19" s="132"/>
      <c r="H19" s="132"/>
      <c r="I19" s="132"/>
      <c r="J19" s="133"/>
      <c r="K19" s="118"/>
      <c r="L19" s="132"/>
      <c r="M19" s="132"/>
      <c r="N19" s="133"/>
      <c r="O19" s="73"/>
      <c r="P19" s="148"/>
      <c r="Q19" s="152"/>
    </row>
    <row r="20" spans="1:17" ht="16.5" customHeight="1" thickBot="1" x14ac:dyDescent="0.35">
      <c r="A20" s="122"/>
      <c r="B20" s="11" t="s">
        <v>93</v>
      </c>
      <c r="C20" s="59" t="s">
        <v>90</v>
      </c>
      <c r="D20" s="11" t="s">
        <v>100</v>
      </c>
      <c r="E20" s="161"/>
      <c r="F20" s="162"/>
      <c r="G20" s="162"/>
      <c r="H20" s="162"/>
      <c r="I20" s="162"/>
      <c r="J20" s="163"/>
      <c r="K20" s="161"/>
      <c r="L20" s="162"/>
      <c r="M20" s="162"/>
      <c r="N20" s="163"/>
      <c r="O20" s="16">
        <f>IFERROR(O18/O19,10)</f>
        <v>10</v>
      </c>
      <c r="P20" s="135"/>
      <c r="Q20" s="153"/>
    </row>
    <row r="21" spans="1:17" ht="16.5" customHeight="1" thickTop="1" x14ac:dyDescent="0.3">
      <c r="A21" s="121" t="s">
        <v>16</v>
      </c>
      <c r="B21" s="10" t="s">
        <v>36</v>
      </c>
      <c r="C21" s="58" t="s">
        <v>94</v>
      </c>
      <c r="D21" s="10" t="s">
        <v>79</v>
      </c>
      <c r="E21" s="66"/>
      <c r="F21" s="67"/>
      <c r="G21" s="67"/>
      <c r="H21" s="67"/>
      <c r="I21" s="67"/>
      <c r="J21" s="68"/>
      <c r="K21" s="140"/>
      <c r="L21" s="140"/>
      <c r="M21" s="140"/>
      <c r="N21" s="141"/>
      <c r="O21" s="26" t="e">
        <f>SUMPRODUCT(E21:J21,E8:J8)/(O8*5)</f>
        <v>#DIV/0!</v>
      </c>
      <c r="P21" s="134">
        <f>IFERROR(AVERAGE(O21:O23),0)</f>
        <v>0</v>
      </c>
      <c r="Q21" s="129" t="s">
        <v>45</v>
      </c>
    </row>
    <row r="22" spans="1:17" ht="16.5" customHeight="1" x14ac:dyDescent="0.3">
      <c r="A22" s="154"/>
      <c r="B22" s="9" t="s">
        <v>37</v>
      </c>
      <c r="C22" s="52" t="s">
        <v>95</v>
      </c>
      <c r="D22" s="10" t="s">
        <v>79</v>
      </c>
      <c r="E22" s="117"/>
      <c r="F22" s="117"/>
      <c r="G22" s="117"/>
      <c r="H22" s="117"/>
      <c r="I22" s="117"/>
      <c r="J22" s="137"/>
      <c r="K22" s="69"/>
      <c r="L22" s="70"/>
      <c r="M22" s="70"/>
      <c r="N22" s="71"/>
      <c r="O22" s="17" t="e">
        <f>SUMPRODUCT(K22:N22,K9:N9)/(O9*5)</f>
        <v>#DIV/0!</v>
      </c>
      <c r="P22" s="148"/>
      <c r="Q22" s="130"/>
    </row>
    <row r="23" spans="1:17" ht="16.5" customHeight="1" thickBot="1" x14ac:dyDescent="0.35">
      <c r="A23" s="122"/>
      <c r="B23" s="11" t="s">
        <v>38</v>
      </c>
      <c r="C23" s="59" t="s">
        <v>96</v>
      </c>
      <c r="D23" s="11" t="s">
        <v>80</v>
      </c>
      <c r="E23" s="77"/>
      <c r="F23" s="78"/>
      <c r="G23" s="78"/>
      <c r="H23" s="78"/>
      <c r="I23" s="78"/>
      <c r="J23" s="79"/>
      <c r="K23" s="124"/>
      <c r="L23" s="124"/>
      <c r="M23" s="124"/>
      <c r="N23" s="125"/>
      <c r="O23" s="16" t="e">
        <f>SUMPRODUCT(E23:J23,E8:J8)/(O8*3)</f>
        <v>#DIV/0!</v>
      </c>
      <c r="P23" s="135"/>
      <c r="Q23" s="131"/>
    </row>
    <row r="24" spans="1:17" ht="16.5" customHeight="1" thickTop="1" thickBot="1" x14ac:dyDescent="0.35">
      <c r="A24" s="45" t="s">
        <v>17</v>
      </c>
      <c r="B24" s="12" t="s">
        <v>35</v>
      </c>
      <c r="C24" s="60" t="s">
        <v>97</v>
      </c>
      <c r="D24" s="12" t="s">
        <v>99</v>
      </c>
      <c r="E24" s="39"/>
      <c r="F24" s="40"/>
      <c r="G24" s="40"/>
      <c r="H24" s="40"/>
      <c r="I24" s="40"/>
      <c r="J24" s="41"/>
      <c r="K24" s="138"/>
      <c r="L24" s="138"/>
      <c r="M24" s="138"/>
      <c r="N24" s="139"/>
      <c r="O24" s="27"/>
      <c r="P24" s="47">
        <f>IFERROR((SUMPRODUCT(E8:J8,E24:J24)/O8)/6,0)</f>
        <v>0</v>
      </c>
      <c r="Q24" s="12"/>
    </row>
    <row r="25" spans="1:17" ht="16.5" customHeight="1" thickTop="1" x14ac:dyDescent="0.3">
      <c r="A25" s="121" t="s">
        <v>18</v>
      </c>
      <c r="B25" s="10" t="s">
        <v>118</v>
      </c>
      <c r="C25" s="63"/>
      <c r="D25" s="10" t="s">
        <v>27</v>
      </c>
      <c r="E25" s="126"/>
      <c r="F25" s="127"/>
      <c r="G25" s="127"/>
      <c r="H25" s="127"/>
      <c r="I25" s="127"/>
      <c r="J25" s="128"/>
      <c r="K25" s="126"/>
      <c r="L25" s="127"/>
      <c r="M25" s="127"/>
      <c r="N25" s="128"/>
      <c r="O25" s="72"/>
      <c r="P25" s="134">
        <f>IFERROR(IF(O26&lt;5,1,IF(O26&gt;15,0,1-(O26-5)/10)),0)</f>
        <v>0</v>
      </c>
      <c r="Q25" s="143" t="s">
        <v>120</v>
      </c>
    </row>
    <row r="26" spans="1:17" ht="16.5" customHeight="1" thickBot="1" x14ac:dyDescent="0.35">
      <c r="A26" s="122"/>
      <c r="B26" s="14" t="s">
        <v>117</v>
      </c>
      <c r="C26" s="53" t="s">
        <v>98</v>
      </c>
      <c r="D26" s="14" t="s">
        <v>119</v>
      </c>
      <c r="E26" s="124"/>
      <c r="F26" s="124"/>
      <c r="G26" s="124"/>
      <c r="H26" s="124"/>
      <c r="I26" s="124"/>
      <c r="J26" s="125"/>
      <c r="K26" s="172"/>
      <c r="L26" s="172"/>
      <c r="M26" s="172"/>
      <c r="N26" s="173"/>
      <c r="O26" s="16" t="e">
        <f>SUM(O25:O25)/((O8+O9)/100)</f>
        <v>#DIV/0!</v>
      </c>
      <c r="P26" s="135"/>
      <c r="Q26" s="144"/>
    </row>
    <row r="27" spans="1:17" ht="16.5" customHeight="1" thickTop="1" x14ac:dyDescent="0.3">
      <c r="A27" s="121" t="s">
        <v>19</v>
      </c>
      <c r="B27" s="18" t="s">
        <v>42</v>
      </c>
      <c r="C27" s="54" t="s">
        <v>100</v>
      </c>
      <c r="D27" s="18" t="s">
        <v>129</v>
      </c>
      <c r="E27" s="42"/>
      <c r="F27" s="43"/>
      <c r="G27" s="43"/>
      <c r="H27" s="43"/>
      <c r="I27" s="43"/>
      <c r="J27" s="44"/>
      <c r="K27" s="145"/>
      <c r="L27" s="146"/>
      <c r="M27" s="146"/>
      <c r="N27" s="147"/>
      <c r="O27" s="29"/>
      <c r="P27" s="134">
        <f>IFERROR(AVERAGE(O32,O37),0)</f>
        <v>0</v>
      </c>
      <c r="Q27" s="129" t="s">
        <v>130</v>
      </c>
    </row>
    <row r="28" spans="1:17" ht="16.5" customHeight="1" x14ac:dyDescent="0.3">
      <c r="A28" s="154"/>
      <c r="B28" s="9" t="s">
        <v>127</v>
      </c>
      <c r="C28" s="52" t="s">
        <v>102</v>
      </c>
      <c r="D28" s="9" t="s">
        <v>4</v>
      </c>
      <c r="E28" s="33"/>
      <c r="F28" s="34"/>
      <c r="G28" s="34"/>
      <c r="H28" s="34"/>
      <c r="I28" s="34"/>
      <c r="J28" s="35"/>
      <c r="K28" s="118"/>
      <c r="L28" s="132"/>
      <c r="M28" s="132"/>
      <c r="N28" s="133"/>
      <c r="O28" s="17"/>
      <c r="P28" s="148"/>
      <c r="Q28" s="130"/>
    </row>
    <row r="29" spans="1:17" ht="16.5" customHeight="1" x14ac:dyDescent="0.3">
      <c r="A29" s="154"/>
      <c r="B29" s="15" t="s">
        <v>128</v>
      </c>
      <c r="C29" s="55" t="s">
        <v>103</v>
      </c>
      <c r="D29" s="15" t="s">
        <v>4</v>
      </c>
      <c r="E29" s="8">
        <f>IF(E27="BB",3,7)</f>
        <v>7</v>
      </c>
      <c r="F29" s="5">
        <f t="shared" ref="F29:J29" si="1">IF(F27="BB",3,7)</f>
        <v>7</v>
      </c>
      <c r="G29" s="5">
        <f t="shared" si="1"/>
        <v>7</v>
      </c>
      <c r="H29" s="5">
        <f t="shared" si="1"/>
        <v>7</v>
      </c>
      <c r="I29" s="5">
        <f t="shared" si="1"/>
        <v>7</v>
      </c>
      <c r="J29" s="7">
        <f t="shared" si="1"/>
        <v>7</v>
      </c>
      <c r="K29" s="118"/>
      <c r="L29" s="132"/>
      <c r="M29" s="132"/>
      <c r="N29" s="133"/>
      <c r="O29" s="17"/>
      <c r="P29" s="148"/>
      <c r="Q29" s="130"/>
    </row>
    <row r="30" spans="1:17" ht="16.5" customHeight="1" x14ac:dyDescent="0.3">
      <c r="A30" s="154"/>
      <c r="B30" s="9" t="s">
        <v>43</v>
      </c>
      <c r="C30" s="52" t="s">
        <v>104</v>
      </c>
      <c r="D30" s="9" t="s">
        <v>80</v>
      </c>
      <c r="E30" s="33"/>
      <c r="F30" s="34"/>
      <c r="G30" s="34"/>
      <c r="H30" s="34"/>
      <c r="I30" s="34"/>
      <c r="J30" s="35"/>
      <c r="K30" s="118"/>
      <c r="L30" s="132"/>
      <c r="M30" s="132"/>
      <c r="N30" s="133"/>
      <c r="O30" s="17"/>
      <c r="P30" s="148"/>
      <c r="Q30" s="130"/>
    </row>
    <row r="31" spans="1:17" ht="16.5" customHeight="1" x14ac:dyDescent="0.3">
      <c r="A31" s="154"/>
      <c r="B31" s="9" t="s">
        <v>41</v>
      </c>
      <c r="C31" s="52" t="s">
        <v>105</v>
      </c>
      <c r="D31" s="9" t="s">
        <v>39</v>
      </c>
      <c r="E31" s="69"/>
      <c r="F31" s="70"/>
      <c r="G31" s="70"/>
      <c r="H31" s="70"/>
      <c r="I31" s="70"/>
      <c r="J31" s="71"/>
      <c r="K31" s="118"/>
      <c r="L31" s="132"/>
      <c r="M31" s="132"/>
      <c r="N31" s="133"/>
      <c r="O31" s="17"/>
      <c r="P31" s="148"/>
      <c r="Q31" s="130"/>
    </row>
    <row r="32" spans="1:17" ht="16.5" hidden="1" customHeight="1" x14ac:dyDescent="0.3">
      <c r="A32" s="154"/>
      <c r="B32" s="15"/>
      <c r="C32" s="65"/>
      <c r="D32" s="15"/>
      <c r="E32" s="33">
        <f>(IF(E28&gt;E29,E29,E28)/E29+(E30-IF(E31="Y",1,0))/3)/2</f>
        <v>0</v>
      </c>
      <c r="F32" s="33">
        <f t="shared" ref="F32:J32" si="2">(IF(F28&gt;F29,F29,F28)/F29+(F30-IF(F31="Y",1,0))/3)/2</f>
        <v>0</v>
      </c>
      <c r="G32" s="33">
        <f t="shared" si="2"/>
        <v>0</v>
      </c>
      <c r="H32" s="33">
        <f t="shared" si="2"/>
        <v>0</v>
      </c>
      <c r="I32" s="33">
        <f t="shared" si="2"/>
        <v>0</v>
      </c>
      <c r="J32" s="33">
        <f t="shared" si="2"/>
        <v>0</v>
      </c>
      <c r="K32" s="136"/>
      <c r="L32" s="117"/>
      <c r="M32" s="117"/>
      <c r="N32" s="137"/>
      <c r="O32" s="17" t="e">
        <f>SUMPRODUCT(E32:J32,E8:J8)/O8</f>
        <v>#DIV/0!</v>
      </c>
      <c r="P32" s="148"/>
      <c r="Q32" s="130"/>
    </row>
    <row r="33" spans="1:17" ht="16.5" customHeight="1" x14ac:dyDescent="0.3">
      <c r="A33" s="154"/>
      <c r="B33" s="9" t="s">
        <v>131</v>
      </c>
      <c r="C33" s="52" t="s">
        <v>106</v>
      </c>
      <c r="D33" s="9" t="s">
        <v>4</v>
      </c>
      <c r="E33" s="33"/>
      <c r="F33" s="34"/>
      <c r="G33" s="34"/>
      <c r="H33" s="34"/>
      <c r="I33" s="34"/>
      <c r="J33" s="35"/>
      <c r="K33" s="118"/>
      <c r="L33" s="132"/>
      <c r="M33" s="132"/>
      <c r="N33" s="133"/>
      <c r="O33" s="17"/>
      <c r="P33" s="148"/>
      <c r="Q33" s="130"/>
    </row>
    <row r="34" spans="1:17" ht="16.5" customHeight="1" x14ac:dyDescent="0.3">
      <c r="A34" s="154"/>
      <c r="B34" s="15" t="s">
        <v>132</v>
      </c>
      <c r="C34" s="55" t="s">
        <v>107</v>
      </c>
      <c r="D34" s="15" t="s">
        <v>4</v>
      </c>
      <c r="E34" s="8">
        <f>IF(E27="RR",7,3)</f>
        <v>3</v>
      </c>
      <c r="F34" s="5">
        <f t="shared" ref="F34:J34" si="3">IF(F27="RR",7,3)</f>
        <v>3</v>
      </c>
      <c r="G34" s="5">
        <f t="shared" si="3"/>
        <v>3</v>
      </c>
      <c r="H34" s="5">
        <f t="shared" si="3"/>
        <v>3</v>
      </c>
      <c r="I34" s="5">
        <f t="shared" si="3"/>
        <v>3</v>
      </c>
      <c r="J34" s="7">
        <f t="shared" si="3"/>
        <v>3</v>
      </c>
      <c r="K34" s="118"/>
      <c r="L34" s="132"/>
      <c r="M34" s="132"/>
      <c r="N34" s="133"/>
      <c r="O34" s="17"/>
      <c r="P34" s="148"/>
      <c r="Q34" s="130"/>
    </row>
    <row r="35" spans="1:17" ht="16.5" customHeight="1" x14ac:dyDescent="0.3">
      <c r="A35" s="154"/>
      <c r="B35" s="9" t="s">
        <v>43</v>
      </c>
      <c r="C35" s="52" t="s">
        <v>108</v>
      </c>
      <c r="D35" s="9" t="s">
        <v>80</v>
      </c>
      <c r="E35" s="33"/>
      <c r="F35" s="34"/>
      <c r="G35" s="34"/>
      <c r="H35" s="34"/>
      <c r="I35" s="34"/>
      <c r="J35" s="35"/>
      <c r="K35" s="118"/>
      <c r="L35" s="132"/>
      <c r="M35" s="132"/>
      <c r="N35" s="133"/>
      <c r="O35" s="17"/>
      <c r="P35" s="148"/>
      <c r="Q35" s="130"/>
    </row>
    <row r="36" spans="1:17" ht="16.5" customHeight="1" thickBot="1" x14ac:dyDescent="0.35">
      <c r="A36" s="154"/>
      <c r="B36" s="9" t="s">
        <v>41</v>
      </c>
      <c r="C36" s="52" t="s">
        <v>109</v>
      </c>
      <c r="D36" s="9" t="s">
        <v>39</v>
      </c>
      <c r="E36" s="69"/>
      <c r="F36" s="70"/>
      <c r="G36" s="70"/>
      <c r="H36" s="70"/>
      <c r="I36" s="70"/>
      <c r="J36" s="71"/>
      <c r="K36" s="118"/>
      <c r="L36" s="132"/>
      <c r="M36" s="132"/>
      <c r="N36" s="133"/>
      <c r="O36" s="17"/>
      <c r="P36" s="148"/>
      <c r="Q36" s="130"/>
    </row>
    <row r="37" spans="1:17" ht="16.5" hidden="1" customHeight="1" thickBot="1" x14ac:dyDescent="0.35">
      <c r="A37" s="122"/>
      <c r="B37" s="14"/>
      <c r="C37" s="16"/>
      <c r="D37" s="14"/>
      <c r="E37" s="13">
        <f>(IF(E33&gt;E34,E34,E33)/E34+(E35-IF(E36="Y",1,0))/3)/2</f>
        <v>0</v>
      </c>
      <c r="F37" s="13">
        <f t="shared" ref="F37:J37" si="4">(IF(F33&gt;F34,F34,F33)/F34+(F35-IF(F36="Y",1,0))/3)/2</f>
        <v>0</v>
      </c>
      <c r="G37" s="13">
        <f t="shared" si="4"/>
        <v>0</v>
      </c>
      <c r="H37" s="13">
        <f t="shared" si="4"/>
        <v>0</v>
      </c>
      <c r="I37" s="13">
        <f t="shared" si="4"/>
        <v>0</v>
      </c>
      <c r="J37" s="16">
        <f t="shared" si="4"/>
        <v>0</v>
      </c>
      <c r="K37" s="123"/>
      <c r="L37" s="124"/>
      <c r="M37" s="124"/>
      <c r="N37" s="125"/>
      <c r="O37" s="16" t="e">
        <f>SUMPRODUCT(E37:J37,E8:J8)/O8</f>
        <v>#DIV/0!</v>
      </c>
      <c r="P37" s="135"/>
      <c r="Q37" s="131"/>
    </row>
    <row r="38" spans="1:17" ht="16.5" customHeight="1" thickTop="1" x14ac:dyDescent="0.3">
      <c r="A38" s="121" t="s">
        <v>20</v>
      </c>
      <c r="B38" s="18" t="s">
        <v>47</v>
      </c>
      <c r="C38" s="58" t="s">
        <v>110</v>
      </c>
      <c r="D38" s="18" t="s">
        <v>27</v>
      </c>
      <c r="E38" s="126"/>
      <c r="F38" s="127"/>
      <c r="G38" s="127"/>
      <c r="H38" s="127"/>
      <c r="I38" s="127"/>
      <c r="J38" s="128"/>
      <c r="K38" s="126"/>
      <c r="L38" s="127"/>
      <c r="M38" s="127"/>
      <c r="N38" s="128"/>
      <c r="O38" s="76"/>
      <c r="P38" s="134">
        <f>IFERROR(1-(MAX(O39,150)-150)/(1000-150),0)</f>
        <v>0</v>
      </c>
      <c r="Q38" s="119"/>
    </row>
    <row r="39" spans="1:17" ht="16.5" customHeight="1" thickBot="1" x14ac:dyDescent="0.35">
      <c r="A39" s="122"/>
      <c r="B39" s="14" t="s">
        <v>48</v>
      </c>
      <c r="C39" s="56" t="s">
        <v>111</v>
      </c>
      <c r="D39" s="14" t="s">
        <v>49</v>
      </c>
      <c r="E39" s="13">
        <f t="shared" ref="E39:J39" si="5">E8*E12</f>
        <v>0</v>
      </c>
      <c r="F39" s="6">
        <f t="shared" si="5"/>
        <v>0</v>
      </c>
      <c r="G39" s="6">
        <f t="shared" si="5"/>
        <v>0</v>
      </c>
      <c r="H39" s="6">
        <f t="shared" si="5"/>
        <v>0</v>
      </c>
      <c r="I39" s="6">
        <f t="shared" si="5"/>
        <v>0</v>
      </c>
      <c r="J39" s="28">
        <f t="shared" si="5"/>
        <v>0</v>
      </c>
      <c r="K39" s="124"/>
      <c r="L39" s="124"/>
      <c r="M39" s="124"/>
      <c r="N39" s="125"/>
      <c r="O39" s="16" t="e">
        <f>MIN(SUM(E39:J39)/O38,1000)</f>
        <v>#DIV/0!</v>
      </c>
      <c r="P39" s="135"/>
      <c r="Q39" s="120"/>
    </row>
    <row r="40" spans="1:17" ht="15" thickTop="1" x14ac:dyDescent="0.3">
      <c r="C40" s="57"/>
    </row>
    <row r="43" spans="1:17" ht="15" hidden="1" thickBot="1" x14ac:dyDescent="0.35">
      <c r="C43" s="4"/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  <c r="J43" s="4">
        <v>7</v>
      </c>
      <c r="K43" s="4">
        <v>8</v>
      </c>
      <c r="L43" s="4">
        <v>9</v>
      </c>
      <c r="M43" s="4">
        <v>10</v>
      </c>
      <c r="N43" s="4">
        <v>11</v>
      </c>
    </row>
    <row r="44" spans="1:17" hidden="1" x14ac:dyDescent="0.3">
      <c r="C44" s="4" t="s">
        <v>9</v>
      </c>
      <c r="D44" s="4" t="s">
        <v>1</v>
      </c>
      <c r="E44" s="4" t="s">
        <v>11</v>
      </c>
      <c r="F44" s="4" t="s">
        <v>12</v>
      </c>
      <c r="G44" s="4" t="s">
        <v>13</v>
      </c>
      <c r="H44" s="4" t="s">
        <v>14</v>
      </c>
      <c r="I44" s="4" t="s">
        <v>15</v>
      </c>
      <c r="J44" s="4" t="s">
        <v>16</v>
      </c>
      <c r="K44" s="4" t="s">
        <v>17</v>
      </c>
      <c r="L44" s="4" t="s">
        <v>18</v>
      </c>
      <c r="M44" s="4" t="s">
        <v>19</v>
      </c>
      <c r="N44" s="4" t="s">
        <v>20</v>
      </c>
    </row>
    <row r="45" spans="1:17" hidden="1" x14ac:dyDescent="0.3">
      <c r="C45" s="4" t="s">
        <v>8</v>
      </c>
      <c r="D45" s="4">
        <f>P8</f>
        <v>1</v>
      </c>
      <c r="E45" s="4">
        <f>P11</f>
        <v>0</v>
      </c>
      <c r="F45" s="4">
        <f>P13</f>
        <v>1</v>
      </c>
      <c r="G45" s="4">
        <f>P14</f>
        <v>0</v>
      </c>
      <c r="H45" s="4">
        <f>P17</f>
        <v>1</v>
      </c>
      <c r="I45" s="4">
        <f>P18</f>
        <v>0</v>
      </c>
      <c r="J45" s="4">
        <f>P21</f>
        <v>0</v>
      </c>
      <c r="K45" s="4">
        <f>P24</f>
        <v>0</v>
      </c>
      <c r="L45" s="4">
        <f>P25</f>
        <v>0</v>
      </c>
      <c r="M45" s="4">
        <f>P27</f>
        <v>0</v>
      </c>
      <c r="N45" s="4">
        <f>P38</f>
        <v>0</v>
      </c>
    </row>
  </sheetData>
  <mergeCells count="72">
    <mergeCell ref="E22:J22"/>
    <mergeCell ref="E38:J38"/>
    <mergeCell ref="C6:C7"/>
    <mergeCell ref="A27:A37"/>
    <mergeCell ref="O6:O7"/>
    <mergeCell ref="K23:N23"/>
    <mergeCell ref="A8:A10"/>
    <mergeCell ref="A11:A12"/>
    <mergeCell ref="A14:A15"/>
    <mergeCell ref="A25:A26"/>
    <mergeCell ref="E25:J25"/>
    <mergeCell ref="E26:J26"/>
    <mergeCell ref="D6:D7"/>
    <mergeCell ref="K26:N26"/>
    <mergeCell ref="K25:N25"/>
    <mergeCell ref="P6:P7"/>
    <mergeCell ref="E19:J19"/>
    <mergeCell ref="K19:N19"/>
    <mergeCell ref="E20:J20"/>
    <mergeCell ref="K20:N20"/>
    <mergeCell ref="P8:P10"/>
    <mergeCell ref="P11:P12"/>
    <mergeCell ref="P14:P16"/>
    <mergeCell ref="P18:P20"/>
    <mergeCell ref="K8:N8"/>
    <mergeCell ref="E16:J16"/>
    <mergeCell ref="E10:J10"/>
    <mergeCell ref="E15:J15"/>
    <mergeCell ref="E14:J14"/>
    <mergeCell ref="Q6:Q7"/>
    <mergeCell ref="A1:E1"/>
    <mergeCell ref="Q18:Q20"/>
    <mergeCell ref="P21:P23"/>
    <mergeCell ref="A21:A23"/>
    <mergeCell ref="E6:J6"/>
    <mergeCell ref="K6:N6"/>
    <mergeCell ref="E18:J18"/>
    <mergeCell ref="K18:N18"/>
    <mergeCell ref="K11:N11"/>
    <mergeCell ref="K12:N12"/>
    <mergeCell ref="K13:N13"/>
    <mergeCell ref="E9:J9"/>
    <mergeCell ref="E13:J13"/>
    <mergeCell ref="A18:A20"/>
    <mergeCell ref="A6:B6"/>
    <mergeCell ref="Q25:Q26"/>
    <mergeCell ref="K27:N27"/>
    <mergeCell ref="K28:N28"/>
    <mergeCell ref="P25:P26"/>
    <mergeCell ref="Q21:Q23"/>
    <mergeCell ref="P27:P37"/>
    <mergeCell ref="Q8:Q10"/>
    <mergeCell ref="K24:N24"/>
    <mergeCell ref="K10:N10"/>
    <mergeCell ref="K21:N21"/>
    <mergeCell ref="Q11:Q12"/>
    <mergeCell ref="Q14:Q15"/>
    <mergeCell ref="Q38:Q39"/>
    <mergeCell ref="A38:A39"/>
    <mergeCell ref="K37:N37"/>
    <mergeCell ref="K38:N38"/>
    <mergeCell ref="K39:N39"/>
    <mergeCell ref="Q27:Q37"/>
    <mergeCell ref="K29:N29"/>
    <mergeCell ref="K30:N30"/>
    <mergeCell ref="K31:N31"/>
    <mergeCell ref="P38:P39"/>
    <mergeCell ref="K32:N32"/>
    <mergeCell ref="K33:N33"/>
    <mergeCell ref="K34:N34"/>
    <mergeCell ref="K35:N35"/>
    <mergeCell ref="K36:N36"/>
  </mergeCells>
  <pageMargins left="0.7" right="0.7" top="0.75" bottom="0.75" header="0.3" footer="0.3"/>
  <pageSetup scale="7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Route Overall Score</vt:lpstr>
      <vt:lpstr>Route Directness</vt:lpstr>
      <vt:lpstr>Perceived 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Cheng</dc:creator>
  <cp:lastModifiedBy>Matthew Cheng</cp:lastModifiedBy>
  <cp:lastPrinted>2025-07-04T02:29:17Z</cp:lastPrinted>
  <dcterms:created xsi:type="dcterms:W3CDTF">2025-06-13T00:05:26Z</dcterms:created>
  <dcterms:modified xsi:type="dcterms:W3CDTF">2025-07-28T04:16:42Z</dcterms:modified>
</cp:coreProperties>
</file>