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mpo\National\2017\2017 Qualifying score\"/>
    </mc:Choice>
  </mc:AlternateContent>
  <bookViews>
    <workbookView xWindow="330" yWindow="3710" windowWidth="15060" windowHeight="3920"/>
  </bookViews>
  <sheets>
    <sheet name="TRA-M" sheetId="1" r:id="rId1"/>
    <sheet name="TRA-W" sheetId="4" r:id="rId2"/>
    <sheet name="SYN-M" sheetId="7" r:id="rId3"/>
    <sheet name="SYN-W" sheetId="8" r:id="rId4"/>
    <sheet name="TUM-M" sheetId="3" r:id="rId5"/>
    <sheet name="TUM-W" sheetId="5" r:id="rId6"/>
    <sheet name="DMT-M" sheetId="2" r:id="rId7"/>
    <sheet name="DMT-W" sheetId="6" r:id="rId8"/>
  </sheets>
  <definedNames>
    <definedName name="_xlnm.Print_Area" localSheetId="6">'DMT-M'!$A$1:$BB$30</definedName>
    <definedName name="_xlnm.Print_Area" localSheetId="7">'DMT-W'!$A$1:$BB$25</definedName>
    <definedName name="_xlnm.Print_Area" localSheetId="2">'SYN-M'!$A$1:$AK$25</definedName>
    <definedName name="_xlnm.Print_Area" localSheetId="3">'SYN-W'!$A$1:$AK$25</definedName>
    <definedName name="_xlnm.Print_Area" localSheetId="0">'TRA-M'!$A$1:$BO$34</definedName>
    <definedName name="_xlnm.Print_Area" localSheetId="1">'TRA-W'!$A$1:$BV$30</definedName>
    <definedName name="_xlnm.Print_Area" localSheetId="4">'TUM-M'!$A$1:$AR$25</definedName>
    <definedName name="_xlnm.Print_Area" localSheetId="5">'TUM-W'!$A$1:$AR$25</definedName>
  </definedNames>
  <calcPr calcId="171027"/>
  <fileRecoveryPr autoRecover="0"/>
</workbook>
</file>

<file path=xl/calcChain.xml><?xml version="1.0" encoding="utf-8"?>
<calcChain xmlns="http://schemas.openxmlformats.org/spreadsheetml/2006/main">
  <c r="BA7" i="2" l="1"/>
  <c r="BB7" i="2"/>
  <c r="BA7" i="6"/>
  <c r="BB7" i="6"/>
  <c r="AR7" i="3"/>
  <c r="AR7" i="5"/>
  <c r="AU8" i="6" l="1"/>
  <c r="AV8" i="6"/>
  <c r="AT8" i="6" s="1"/>
  <c r="AU9" i="6"/>
  <c r="AS9" i="6" s="1"/>
  <c r="AV9" i="6"/>
  <c r="AT9" i="6" s="1"/>
  <c r="AU10" i="6"/>
  <c r="AV10" i="6"/>
  <c r="AT10" i="6" s="1"/>
  <c r="AU11" i="6"/>
  <c r="AV11" i="6"/>
  <c r="AU12" i="6"/>
  <c r="AS12" i="6" s="1"/>
  <c r="AV12" i="6"/>
  <c r="AT12" i="6" s="1"/>
  <c r="AU13" i="6"/>
  <c r="AS13" i="6" s="1"/>
  <c r="AV13" i="6"/>
  <c r="AT13" i="6" s="1"/>
  <c r="AU14" i="6"/>
  <c r="AS14" i="6" s="1"/>
  <c r="AV14" i="6"/>
  <c r="AT14" i="6" s="1"/>
  <c r="AU15" i="6"/>
  <c r="AV15" i="6"/>
  <c r="AU16" i="6"/>
  <c r="AS16" i="6" s="1"/>
  <c r="AV16" i="6"/>
  <c r="AT16" i="6" s="1"/>
  <c r="AV7" i="6"/>
  <c r="AU7" i="6"/>
  <c r="S7" i="1"/>
  <c r="AS10" i="2"/>
  <c r="AS18" i="2"/>
  <c r="AU8" i="2"/>
  <c r="AS8" i="2" s="1"/>
  <c r="AU9" i="2"/>
  <c r="AU10" i="2"/>
  <c r="AU11" i="2"/>
  <c r="AS11" i="2" s="1"/>
  <c r="AU12" i="2"/>
  <c r="AS12" i="2" s="1"/>
  <c r="AU13" i="2"/>
  <c r="AS13" i="2" s="1"/>
  <c r="P13" i="2" s="1"/>
  <c r="AU14" i="2"/>
  <c r="AU15" i="2"/>
  <c r="AS15" i="2" s="1"/>
  <c r="AU16" i="2"/>
  <c r="AS16" i="2" s="1"/>
  <c r="AU17" i="2"/>
  <c r="AS17" i="2" s="1"/>
  <c r="P17" i="2" s="1"/>
  <c r="AU18" i="2"/>
  <c r="AU19" i="2"/>
  <c r="AS19" i="2" s="1"/>
  <c r="AU20" i="2"/>
  <c r="AS20" i="2" s="1"/>
  <c r="AU7" i="2"/>
  <c r="AV8" i="2"/>
  <c r="AT8" i="2" s="1"/>
  <c r="AV9" i="2"/>
  <c r="AV10" i="2"/>
  <c r="AT10" i="2" s="1"/>
  <c r="AV11" i="2"/>
  <c r="AT11" i="2" s="1"/>
  <c r="AV12" i="2"/>
  <c r="AT12" i="2" s="1"/>
  <c r="AV13" i="2"/>
  <c r="AT13" i="2" s="1"/>
  <c r="AV14" i="2"/>
  <c r="AT14" i="2" s="1"/>
  <c r="AV15" i="2"/>
  <c r="AT15" i="2" s="1"/>
  <c r="AV16" i="2"/>
  <c r="AT16" i="2" s="1"/>
  <c r="AV17" i="2"/>
  <c r="AT17" i="2" s="1"/>
  <c r="AV18" i="2"/>
  <c r="AT18" i="2" s="1"/>
  <c r="AV19" i="2"/>
  <c r="AT19" i="2" s="1"/>
  <c r="AV20" i="2"/>
  <c r="AT20" i="2" s="1"/>
  <c r="AV7" i="2"/>
  <c r="P16" i="6" l="1"/>
  <c r="P14" i="6"/>
  <c r="P12" i="6"/>
  <c r="P9" i="6"/>
  <c r="P13" i="6"/>
  <c r="P20" i="2"/>
  <c r="P16" i="2"/>
  <c r="P12" i="2"/>
  <c r="P8" i="2"/>
  <c r="P19" i="2"/>
  <c r="P15" i="2"/>
  <c r="P11" i="2"/>
  <c r="P18" i="2"/>
  <c r="P10" i="2"/>
  <c r="AQ18" i="2"/>
  <c r="AN18" i="2"/>
  <c r="AH18" i="2"/>
  <c r="AE18" i="2"/>
  <c r="X18" i="2"/>
  <c r="U18" i="2"/>
  <c r="Y18" i="2" s="1"/>
  <c r="O18" i="2"/>
  <c r="G18" i="2"/>
  <c r="J18" i="2" l="1"/>
  <c r="K18" i="2"/>
  <c r="H18" i="2"/>
  <c r="I18" i="2"/>
  <c r="AC7" i="5"/>
  <c r="N18" i="2" l="1"/>
  <c r="M18" i="2"/>
  <c r="E18" i="2" s="1"/>
  <c r="G8" i="6" l="1"/>
  <c r="G9" i="6"/>
  <c r="G10" i="6"/>
  <c r="G11" i="6"/>
  <c r="G12" i="6"/>
  <c r="G16" i="6"/>
  <c r="G7" i="6"/>
  <c r="G8" i="2"/>
  <c r="G9" i="2"/>
  <c r="G14" i="2"/>
  <c r="G16" i="2"/>
  <c r="G17" i="2"/>
  <c r="G19" i="2"/>
  <c r="G7" i="2"/>
  <c r="AH13" i="6"/>
  <c r="AE13" i="6"/>
  <c r="AH16" i="6"/>
  <c r="AE16" i="6"/>
  <c r="AH12" i="6"/>
  <c r="AE12" i="6"/>
  <c r="AH14" i="6"/>
  <c r="AE14" i="6"/>
  <c r="AH15" i="6"/>
  <c r="AE15" i="6"/>
  <c r="AH11" i="6"/>
  <c r="AE11" i="6"/>
  <c r="AH10" i="6"/>
  <c r="AE10" i="6"/>
  <c r="AH9" i="6"/>
  <c r="AE9" i="6"/>
  <c r="AH8" i="6"/>
  <c r="AE8" i="6"/>
  <c r="AH7" i="6"/>
  <c r="AE7" i="6"/>
  <c r="X13" i="6"/>
  <c r="U13" i="6"/>
  <c r="X16" i="6"/>
  <c r="U16" i="6"/>
  <c r="X12" i="6"/>
  <c r="U12" i="6"/>
  <c r="Y12" i="6" s="1"/>
  <c r="X14" i="6"/>
  <c r="U14" i="6"/>
  <c r="X15" i="6"/>
  <c r="U15" i="6"/>
  <c r="Y15" i="6" s="1"/>
  <c r="X11" i="6"/>
  <c r="U11" i="6"/>
  <c r="X10" i="6"/>
  <c r="U10" i="6"/>
  <c r="H10" i="6" s="1"/>
  <c r="X9" i="6"/>
  <c r="U9" i="6"/>
  <c r="X8" i="6"/>
  <c r="U8" i="6"/>
  <c r="H8" i="6" s="1"/>
  <c r="X7" i="6"/>
  <c r="U7" i="6"/>
  <c r="Y7" i="6" l="1"/>
  <c r="I9" i="6"/>
  <c r="Y11" i="6"/>
  <c r="Y14" i="6"/>
  <c r="Y13" i="6"/>
  <c r="Y16" i="6"/>
  <c r="I8" i="6"/>
  <c r="H7" i="6"/>
  <c r="H9" i="6"/>
  <c r="G14" i="6"/>
  <c r="I7" i="6"/>
  <c r="Y8" i="6"/>
  <c r="Y10" i="6"/>
  <c r="Y9" i="6"/>
  <c r="AH20" i="2" l="1"/>
  <c r="AE20" i="2"/>
  <c r="AH13" i="2"/>
  <c r="AE13" i="2"/>
  <c r="AH12" i="2"/>
  <c r="AE12" i="2"/>
  <c r="AH16" i="2"/>
  <c r="AE16" i="2"/>
  <c r="AH17" i="2"/>
  <c r="AE17" i="2"/>
  <c r="AH19" i="2"/>
  <c r="AE19" i="2"/>
  <c r="AH15" i="2"/>
  <c r="AE15" i="2"/>
  <c r="AH14" i="2"/>
  <c r="AE14" i="2"/>
  <c r="AH10" i="2"/>
  <c r="AE10" i="2"/>
  <c r="AH11" i="2"/>
  <c r="AE11" i="2"/>
  <c r="AH9" i="2"/>
  <c r="AE9" i="2"/>
  <c r="AH8" i="2"/>
  <c r="AE8" i="2"/>
  <c r="AH7" i="2"/>
  <c r="AE7" i="2"/>
  <c r="X20" i="2"/>
  <c r="U20" i="2"/>
  <c r="X13" i="2"/>
  <c r="U13" i="2"/>
  <c r="X12" i="2"/>
  <c r="U12" i="2"/>
  <c r="X16" i="2"/>
  <c r="U16" i="2"/>
  <c r="X17" i="2"/>
  <c r="U17" i="2"/>
  <c r="X19" i="2"/>
  <c r="U19" i="2"/>
  <c r="X15" i="2"/>
  <c r="U15" i="2"/>
  <c r="X14" i="2"/>
  <c r="U14" i="2"/>
  <c r="X10" i="2"/>
  <c r="U10" i="2"/>
  <c r="X11" i="2"/>
  <c r="U11" i="2"/>
  <c r="X9" i="2"/>
  <c r="U9" i="2"/>
  <c r="X8" i="2"/>
  <c r="U8" i="2"/>
  <c r="X7" i="2"/>
  <c r="U7" i="2"/>
  <c r="AC9" i="5"/>
  <c r="AC8" i="5"/>
  <c r="Y8" i="2" l="1"/>
  <c r="I8" i="2"/>
  <c r="H8" i="2"/>
  <c r="Y14" i="2"/>
  <c r="Y16" i="2"/>
  <c r="Y13" i="2"/>
  <c r="Y12" i="2"/>
  <c r="Y11" i="2"/>
  <c r="Y19" i="2"/>
  <c r="H7" i="2"/>
  <c r="Y10" i="2"/>
  <c r="Y17" i="2"/>
  <c r="Y7" i="2"/>
  <c r="Y9" i="2"/>
  <c r="Y15" i="2"/>
  <c r="Y20" i="2"/>
  <c r="W13" i="5"/>
  <c r="X9" i="5"/>
  <c r="W9" i="5"/>
  <c r="W12" i="5"/>
  <c r="W11" i="5"/>
  <c r="X8" i="5"/>
  <c r="W8" i="5"/>
  <c r="W10" i="5"/>
  <c r="X7" i="5"/>
  <c r="W7" i="5"/>
  <c r="R13" i="5"/>
  <c r="R9" i="5"/>
  <c r="S12" i="5"/>
  <c r="R12" i="5"/>
  <c r="S11" i="5"/>
  <c r="R11" i="5"/>
  <c r="S8" i="5"/>
  <c r="R8" i="5"/>
  <c r="S10" i="5"/>
  <c r="R10" i="5"/>
  <c r="S7" i="5"/>
  <c r="R7" i="5"/>
  <c r="AM13" i="5"/>
  <c r="AM9" i="5"/>
  <c r="AM12" i="5"/>
  <c r="AM11" i="5"/>
  <c r="AN8" i="5"/>
  <c r="AM8" i="5"/>
  <c r="AN10" i="5"/>
  <c r="AM10" i="5"/>
  <c r="AM7" i="5"/>
  <c r="AC12" i="3" l="1"/>
  <c r="N12" i="3" s="1"/>
  <c r="BK14" i="3"/>
  <c r="BG14" i="3"/>
  <c r="BC14" i="3"/>
  <c r="AY14" i="3"/>
  <c r="AU14" i="3"/>
  <c r="AQ14" i="3"/>
  <c r="AM14" i="3"/>
  <c r="AJ14" i="3"/>
  <c r="AG14" i="3" s="1"/>
  <c r="AI14" i="3"/>
  <c r="AF14" i="3" s="1"/>
  <c r="AH14" i="3"/>
  <c r="AE14" i="3" s="1"/>
  <c r="AB14" i="3"/>
  <c r="W14" i="3"/>
  <c r="R14" i="3"/>
  <c r="N14" i="3"/>
  <c r="G14" i="3"/>
  <c r="BK12" i="3"/>
  <c r="BG12" i="3"/>
  <c r="BC12" i="3"/>
  <c r="AY12" i="3"/>
  <c r="AU12" i="3"/>
  <c r="AQ12" i="3"/>
  <c r="AM12" i="3"/>
  <c r="AJ12" i="3"/>
  <c r="AG12" i="3" s="1"/>
  <c r="AI12" i="3"/>
  <c r="AF12" i="3" s="1"/>
  <c r="AH12" i="3"/>
  <c r="AE12" i="3" s="1"/>
  <c r="AB12" i="3"/>
  <c r="W12" i="3"/>
  <c r="R12" i="3"/>
  <c r="AC8" i="3"/>
  <c r="AC7" i="3"/>
  <c r="AM11" i="3"/>
  <c r="AM13" i="3"/>
  <c r="AM10" i="3"/>
  <c r="AM9" i="3"/>
  <c r="AN8" i="3"/>
  <c r="AM8" i="3"/>
  <c r="AN7" i="3"/>
  <c r="AM7" i="3"/>
  <c r="W11" i="3"/>
  <c r="W13" i="3"/>
  <c r="W10" i="3"/>
  <c r="W9" i="3"/>
  <c r="W8" i="3"/>
  <c r="X7" i="3"/>
  <c r="W7" i="3"/>
  <c r="S11" i="3"/>
  <c r="R11" i="3"/>
  <c r="R13" i="3"/>
  <c r="S10" i="3"/>
  <c r="R10" i="3"/>
  <c r="S9" i="3"/>
  <c r="R9" i="3"/>
  <c r="S8" i="3"/>
  <c r="R8" i="3"/>
  <c r="S7" i="3"/>
  <c r="R7" i="3"/>
  <c r="AJ8" i="8"/>
  <c r="AJ7" i="8"/>
  <c r="V8" i="8"/>
  <c r="V7" i="8"/>
  <c r="R8" i="8"/>
  <c r="R7" i="8"/>
  <c r="BX11" i="7"/>
  <c r="BT11" i="7"/>
  <c r="BP11" i="7"/>
  <c r="BL11" i="7"/>
  <c r="BH11" i="7"/>
  <c r="BD11" i="7"/>
  <c r="AZ11" i="7"/>
  <c r="AV11" i="7"/>
  <c r="AR11" i="7"/>
  <c r="AN11" i="7"/>
  <c r="AJ11" i="7"/>
  <c r="AG11" i="7"/>
  <c r="AD11" i="7" s="1"/>
  <c r="AF11" i="7"/>
  <c r="AC11" i="7" s="1"/>
  <c r="AE11" i="7"/>
  <c r="AB11" i="7" s="1"/>
  <c r="Z11" i="7"/>
  <c r="K11" i="7" s="1"/>
  <c r="M11" i="7" s="1"/>
  <c r="V11" i="7"/>
  <c r="R11" i="7"/>
  <c r="N11" i="7"/>
  <c r="I11" i="7"/>
  <c r="V9" i="7"/>
  <c r="V8" i="7"/>
  <c r="V10" i="7"/>
  <c r="V7" i="7"/>
  <c r="R9" i="7"/>
  <c r="R8" i="7"/>
  <c r="R10" i="7"/>
  <c r="R7" i="7"/>
  <c r="AM22" i="1"/>
  <c r="AM18" i="1"/>
  <c r="AM19" i="1"/>
  <c r="AM13" i="1"/>
  <c r="AM15" i="1"/>
  <c r="AM11" i="1"/>
  <c r="AM8" i="1"/>
  <c r="AM9" i="1"/>
  <c r="I14" i="3" l="1"/>
  <c r="H14" i="3"/>
  <c r="J14" i="3"/>
  <c r="K14" i="3"/>
  <c r="M14" i="3" s="1"/>
  <c r="J12" i="3"/>
  <c r="O14" i="3"/>
  <c r="I12" i="3"/>
  <c r="H12" i="3"/>
  <c r="K12" i="3"/>
  <c r="G12" i="3"/>
  <c r="O12" i="3"/>
  <c r="G11" i="7"/>
  <c r="H11" i="7"/>
  <c r="O11" i="7"/>
  <c r="J11" i="7"/>
  <c r="L11" i="7"/>
  <c r="AM13" i="4"/>
  <c r="AM16" i="4"/>
  <c r="AM8" i="4"/>
  <c r="L14" i="3" l="1"/>
  <c r="E14" i="3" s="1"/>
  <c r="L12" i="3"/>
  <c r="M12" i="3"/>
  <c r="E11" i="7"/>
  <c r="AM10" i="4"/>
  <c r="AM7" i="4"/>
  <c r="AM9" i="4"/>
  <c r="AM12" i="4"/>
  <c r="E12" i="3" l="1"/>
  <c r="AJ15" i="1"/>
  <c r="AH15" i="1"/>
  <c r="AJ17" i="1"/>
  <c r="AH17" i="1"/>
  <c r="AH20" i="1"/>
  <c r="AJ20" i="1"/>
  <c r="AJ14" i="1"/>
  <c r="AH14" i="1"/>
  <c r="AJ21" i="1"/>
  <c r="AH21" i="1"/>
  <c r="AJ19" i="1"/>
  <c r="AH19" i="1"/>
  <c r="AJ18" i="1"/>
  <c r="AH18" i="1"/>
  <c r="AJ22" i="1"/>
  <c r="AH22" i="1"/>
  <c r="ES22" i="1"/>
  <c r="EL22" i="1"/>
  <c r="EE22" i="1"/>
  <c r="DX22" i="1"/>
  <c r="DQ22" i="1"/>
  <c r="DJ22" i="1"/>
  <c r="DC22" i="1"/>
  <c r="CV22" i="1"/>
  <c r="CO22" i="1"/>
  <c r="CH22" i="1"/>
  <c r="CA22" i="1"/>
  <c r="BT22" i="1"/>
  <c r="BM22" i="1"/>
  <c r="BF22" i="1"/>
  <c r="AY22" i="1"/>
  <c r="AT22" i="1"/>
  <c r="AQ22" i="1" s="1"/>
  <c r="AS22" i="1"/>
  <c r="AP22" i="1" s="1"/>
  <c r="AR22" i="1"/>
  <c r="AO22" i="1" s="1"/>
  <c r="AL22" i="1"/>
  <c r="AE22" i="1"/>
  <c r="X22" i="1"/>
  <c r="Q22" i="1"/>
  <c r="AJ16" i="1"/>
  <c r="AH16" i="1"/>
  <c r="AJ23" i="1"/>
  <c r="AH23" i="1"/>
  <c r="AJ13" i="1"/>
  <c r="AH13" i="1"/>
  <c r="AL13" i="1" s="1"/>
  <c r="ES13" i="1"/>
  <c r="EL13" i="1"/>
  <c r="EE13" i="1"/>
  <c r="DX13" i="1"/>
  <c r="DQ13" i="1"/>
  <c r="DJ13" i="1"/>
  <c r="DC13" i="1"/>
  <c r="CV13" i="1"/>
  <c r="CO13" i="1"/>
  <c r="CH13" i="1"/>
  <c r="CA13" i="1"/>
  <c r="BT13" i="1"/>
  <c r="BM13" i="1"/>
  <c r="BF13" i="1"/>
  <c r="AY13" i="1"/>
  <c r="AT13" i="1"/>
  <c r="AQ13" i="1" s="1"/>
  <c r="AS13" i="1"/>
  <c r="AP13" i="1" s="1"/>
  <c r="AR13" i="1"/>
  <c r="AO13" i="1" s="1"/>
  <c r="AE13" i="1"/>
  <c r="X13" i="1"/>
  <c r="Q13" i="1"/>
  <c r="G13" i="1"/>
  <c r="AJ8" i="1"/>
  <c r="AH8" i="1"/>
  <c r="AJ11" i="1"/>
  <c r="AH11" i="1"/>
  <c r="AJ9" i="1"/>
  <c r="AH9" i="1"/>
  <c r="G22" i="1" l="1"/>
  <c r="S22" i="1"/>
  <c r="I22" i="1"/>
  <c r="H22" i="1"/>
  <c r="K22" i="1"/>
  <c r="J22" i="1"/>
  <c r="J13" i="1"/>
  <c r="K13" i="1"/>
  <c r="M13" i="1" s="1"/>
  <c r="H13" i="1"/>
  <c r="I13" i="1"/>
  <c r="S13" i="1"/>
  <c r="O22" i="1" l="1"/>
  <c r="M22" i="1"/>
  <c r="E22" i="1" s="1"/>
  <c r="O13" i="1"/>
  <c r="E13" i="1" s="1"/>
  <c r="BM11" i="1" l="1"/>
  <c r="BF11" i="1"/>
  <c r="AY11" i="1"/>
  <c r="BM23" i="1"/>
  <c r="BF23" i="1"/>
  <c r="AY23" i="1"/>
  <c r="BM21" i="1"/>
  <c r="BF21" i="1"/>
  <c r="AY21" i="1"/>
  <c r="BM20" i="1"/>
  <c r="BF20" i="1"/>
  <c r="AY20" i="1"/>
  <c r="BM16" i="1"/>
  <c r="BF16" i="1"/>
  <c r="AY16" i="1"/>
  <c r="BM12" i="1"/>
  <c r="BF12" i="1"/>
  <c r="AY12" i="1"/>
  <c r="BM18" i="1"/>
  <c r="BF18" i="1"/>
  <c r="AY18" i="1"/>
  <c r="BM24" i="1"/>
  <c r="BF24" i="1"/>
  <c r="AZ24" i="1"/>
  <c r="AW24" i="1"/>
  <c r="AY24" i="1" s="1"/>
  <c r="BM19" i="1"/>
  <c r="BF19" i="1"/>
  <c r="AY19" i="1"/>
  <c r="BN25" i="1"/>
  <c r="BM25" i="1"/>
  <c r="BD25" i="1"/>
  <c r="BF25" i="1" s="1"/>
  <c r="BB25" i="1"/>
  <c r="AY25" i="1"/>
  <c r="BN17" i="1"/>
  <c r="BM17" i="1"/>
  <c r="BD17" i="1"/>
  <c r="BB17" i="1"/>
  <c r="AY17" i="1"/>
  <c r="BM9" i="1"/>
  <c r="BF9" i="1"/>
  <c r="AY9" i="1"/>
  <c r="BM15" i="1"/>
  <c r="BF15" i="1"/>
  <c r="AY15" i="1"/>
  <c r="BM10" i="1"/>
  <c r="BF10" i="1"/>
  <c r="AY10" i="1"/>
  <c r="BM8" i="1"/>
  <c r="BF8" i="1"/>
  <c r="AY8" i="1"/>
  <c r="BN14" i="1"/>
  <c r="BM14" i="1"/>
  <c r="BD14" i="1"/>
  <c r="BB14" i="1"/>
  <c r="AY14" i="1"/>
  <c r="BM7" i="1"/>
  <c r="BF7" i="1"/>
  <c r="AY7" i="1"/>
  <c r="AL12" i="1"/>
  <c r="AL18" i="1"/>
  <c r="AL8" i="1"/>
  <c r="AL14" i="1"/>
  <c r="AC11" i="1"/>
  <c r="AA11" i="1"/>
  <c r="AE11" i="1" s="1"/>
  <c r="AE23" i="1"/>
  <c r="AC21" i="1"/>
  <c r="AA21" i="1"/>
  <c r="AF20" i="1"/>
  <c r="AC20" i="1"/>
  <c r="AA20" i="1"/>
  <c r="AE20" i="1" s="1"/>
  <c r="AF16" i="1"/>
  <c r="AC16" i="1"/>
  <c r="AA16" i="1"/>
  <c r="AE16" i="1" s="1"/>
  <c r="AC12" i="1"/>
  <c r="AA12" i="1"/>
  <c r="AE18" i="1"/>
  <c r="AE24" i="1"/>
  <c r="AC19" i="1"/>
  <c r="AE19" i="1" s="1"/>
  <c r="AE25" i="1"/>
  <c r="AC17" i="1"/>
  <c r="AA17" i="1"/>
  <c r="AE17" i="1" s="1"/>
  <c r="AF9" i="1"/>
  <c r="AC9" i="1"/>
  <c r="AA9" i="1"/>
  <c r="AF15" i="1"/>
  <c r="AC15" i="1"/>
  <c r="AA15" i="1"/>
  <c r="AF10" i="1"/>
  <c r="AC10" i="1"/>
  <c r="AA10" i="1"/>
  <c r="AF8" i="1"/>
  <c r="AC8" i="1"/>
  <c r="AA8" i="1"/>
  <c r="AE8" i="1" s="1"/>
  <c r="AC14" i="1"/>
  <c r="AA14" i="1"/>
  <c r="AF7" i="1"/>
  <c r="AC7" i="1"/>
  <c r="AE7" i="1" s="1"/>
  <c r="AA7" i="1"/>
  <c r="X11" i="1"/>
  <c r="X23" i="1"/>
  <c r="X21" i="1"/>
  <c r="X20" i="1"/>
  <c r="X16" i="1"/>
  <c r="V12" i="1"/>
  <c r="T12" i="1"/>
  <c r="Y18" i="1"/>
  <c r="V18" i="1"/>
  <c r="T18" i="1"/>
  <c r="X18" i="1" s="1"/>
  <c r="X24" i="1"/>
  <c r="Y19" i="1"/>
  <c r="V19" i="1"/>
  <c r="T19" i="1"/>
  <c r="X19" i="1" s="1"/>
  <c r="X25" i="1"/>
  <c r="Y17" i="1"/>
  <c r="V17" i="1"/>
  <c r="T17" i="1"/>
  <c r="X17" i="1" s="1"/>
  <c r="Y9" i="1"/>
  <c r="V9" i="1"/>
  <c r="T9" i="1"/>
  <c r="Y15" i="1"/>
  <c r="V15" i="1"/>
  <c r="T15" i="1"/>
  <c r="X10" i="1"/>
  <c r="Y8" i="1"/>
  <c r="V8" i="1"/>
  <c r="T8" i="1"/>
  <c r="Y14" i="1"/>
  <c r="V14" i="1"/>
  <c r="T14" i="1"/>
  <c r="X7" i="1"/>
  <c r="BT16" i="4"/>
  <c r="BT13" i="4"/>
  <c r="BT14" i="4"/>
  <c r="BT15" i="4"/>
  <c r="BT17" i="4"/>
  <c r="BT12" i="4"/>
  <c r="BU11" i="4"/>
  <c r="BR11" i="4"/>
  <c r="BP11" i="4"/>
  <c r="BT10" i="4"/>
  <c r="BT9" i="4"/>
  <c r="BR8" i="4"/>
  <c r="BT8" i="4" s="1"/>
  <c r="BP8" i="4"/>
  <c r="BU7" i="4"/>
  <c r="BR7" i="4"/>
  <c r="BP7" i="4"/>
  <c r="BM16" i="4"/>
  <c r="BF16" i="4"/>
  <c r="AY16" i="4"/>
  <c r="BM13" i="4"/>
  <c r="BF13" i="4"/>
  <c r="AY13" i="4"/>
  <c r="BM14" i="4"/>
  <c r="BF14" i="4"/>
  <c r="AY14" i="4"/>
  <c r="BM15" i="4"/>
  <c r="BF15" i="4"/>
  <c r="AY15" i="4"/>
  <c r="BM17" i="4"/>
  <c r="BD17" i="4"/>
  <c r="BB17" i="4"/>
  <c r="AY17" i="4"/>
  <c r="BM12" i="4"/>
  <c r="BF12" i="4"/>
  <c r="AZ12" i="4"/>
  <c r="AW12" i="4"/>
  <c r="AU12" i="4"/>
  <c r="BN11" i="4"/>
  <c r="BM11" i="4"/>
  <c r="BD11" i="4"/>
  <c r="BB11" i="4"/>
  <c r="AY11" i="4"/>
  <c r="BM10" i="4"/>
  <c r="BF10" i="4"/>
  <c r="AY10" i="4"/>
  <c r="BM9" i="4"/>
  <c r="BF9" i="4"/>
  <c r="AY9" i="4"/>
  <c r="BN8" i="4"/>
  <c r="BM8" i="4"/>
  <c r="BG8" i="4"/>
  <c r="BD8" i="4"/>
  <c r="BF8" i="4" s="1"/>
  <c r="BB8" i="4"/>
  <c r="AY8" i="4"/>
  <c r="BN7" i="4"/>
  <c r="BM7" i="4"/>
  <c r="BG7" i="4"/>
  <c r="BD7" i="4"/>
  <c r="BB7" i="4"/>
  <c r="AY7" i="4"/>
  <c r="AJ11" i="4"/>
  <c r="AH11" i="4"/>
  <c r="AJ14" i="4"/>
  <c r="AH14" i="4"/>
  <c r="AJ15" i="4"/>
  <c r="AH15" i="4"/>
  <c r="AJ16" i="4"/>
  <c r="AH16" i="4"/>
  <c r="AJ13" i="4"/>
  <c r="AH13" i="4"/>
  <c r="AJ10" i="4"/>
  <c r="AH10" i="4"/>
  <c r="AJ8" i="4"/>
  <c r="AH8" i="4"/>
  <c r="AL8" i="4" s="1"/>
  <c r="AJ7" i="4"/>
  <c r="AH7" i="4"/>
  <c r="AJ9" i="4"/>
  <c r="AH9" i="4"/>
  <c r="AL9" i="4" s="1"/>
  <c r="AJ12" i="4"/>
  <c r="AH12" i="4"/>
  <c r="AC16" i="4"/>
  <c r="AA16" i="4"/>
  <c r="AF13" i="4"/>
  <c r="AC13" i="4"/>
  <c r="AA13" i="4"/>
  <c r="AC14" i="4"/>
  <c r="AA14" i="4"/>
  <c r="AF15" i="4"/>
  <c r="AC15" i="4"/>
  <c r="AA15" i="4"/>
  <c r="AE17" i="4"/>
  <c r="AE12" i="4"/>
  <c r="AC11" i="4"/>
  <c r="AA11" i="4"/>
  <c r="AF10" i="4"/>
  <c r="AC10" i="4"/>
  <c r="AA10" i="4"/>
  <c r="AF9" i="4"/>
  <c r="AC9" i="4"/>
  <c r="AA9" i="4"/>
  <c r="AF8" i="4"/>
  <c r="AC8" i="4"/>
  <c r="AA8" i="4"/>
  <c r="AF7" i="4"/>
  <c r="AC7" i="4"/>
  <c r="AA7" i="4"/>
  <c r="X16" i="4"/>
  <c r="X13" i="4"/>
  <c r="Y14" i="4"/>
  <c r="V14" i="4"/>
  <c r="T14" i="4"/>
  <c r="V15" i="4"/>
  <c r="X15" i="4" s="1"/>
  <c r="T15" i="4"/>
  <c r="Y17" i="4"/>
  <c r="V17" i="4"/>
  <c r="T17" i="4"/>
  <c r="X12" i="4"/>
  <c r="Y11" i="4"/>
  <c r="V11" i="4"/>
  <c r="T11" i="4"/>
  <c r="Y10" i="4"/>
  <c r="V10" i="4"/>
  <c r="T10" i="4"/>
  <c r="X9" i="4"/>
  <c r="Y8" i="4"/>
  <c r="V8" i="4"/>
  <c r="T8" i="4"/>
  <c r="Y7" i="4"/>
  <c r="V7" i="4"/>
  <c r="T7" i="4"/>
  <c r="AN15" i="2"/>
  <c r="AQ15" i="2"/>
  <c r="G15" i="2" l="1"/>
  <c r="H15" i="2"/>
  <c r="I15" i="2"/>
  <c r="AE9" i="1"/>
  <c r="BF17" i="1"/>
  <c r="X17" i="4"/>
  <c r="X8" i="1"/>
  <c r="X15" i="1"/>
  <c r="AE14" i="1"/>
  <c r="AE15" i="1"/>
  <c r="AE12" i="1"/>
  <c r="AE21" i="1"/>
  <c r="BT11" i="4"/>
  <c r="X14" i="1"/>
  <c r="BF14" i="1"/>
  <c r="X12" i="1"/>
  <c r="X9" i="1"/>
  <c r="AE10" i="1"/>
  <c r="AL10" i="4"/>
  <c r="AE9" i="4"/>
  <c r="AE13" i="4"/>
  <c r="X7" i="4"/>
  <c r="X14" i="4"/>
  <c r="AE8" i="4"/>
  <c r="BF11" i="4"/>
  <c r="AY12" i="4"/>
  <c r="BT7" i="4"/>
  <c r="BF7" i="4"/>
  <c r="BF17" i="4"/>
  <c r="AE14" i="4"/>
  <c r="X11" i="4"/>
  <c r="AE15" i="4"/>
  <c r="AE7" i="4"/>
  <c r="AE11" i="4"/>
  <c r="AE16" i="4"/>
  <c r="X8" i="4"/>
  <c r="X10" i="4"/>
  <c r="AE10" i="4"/>
  <c r="AV17" i="6"/>
  <c r="AS17" i="6" s="1"/>
  <c r="AY10" i="6" l="1"/>
  <c r="AZ11" i="6"/>
  <c r="AY11" i="6"/>
  <c r="AY8" i="6"/>
  <c r="AZ7" i="6"/>
  <c r="AY7" i="6"/>
  <c r="AX15" i="6"/>
  <c r="AW15" i="6"/>
  <c r="AX9" i="2"/>
  <c r="AW9" i="2"/>
  <c r="AY14" i="2"/>
  <c r="AY9" i="2"/>
  <c r="AZ9" i="2"/>
  <c r="AZ7" i="2"/>
  <c r="AY7" i="2"/>
  <c r="AQ14" i="6"/>
  <c r="AN14" i="6"/>
  <c r="AQ13" i="6"/>
  <c r="AN13" i="6"/>
  <c r="AQ12" i="6"/>
  <c r="AN12" i="6"/>
  <c r="AN15" i="6"/>
  <c r="AN16" i="6"/>
  <c r="AN9" i="6"/>
  <c r="AN10" i="6"/>
  <c r="AN11" i="6"/>
  <c r="AN8" i="6"/>
  <c r="AN7" i="6"/>
  <c r="AQ13" i="2"/>
  <c r="AN13" i="2"/>
  <c r="AQ10" i="2"/>
  <c r="AN10" i="2"/>
  <c r="K11" i="6" l="1"/>
  <c r="N11" i="6" s="1"/>
  <c r="H14" i="6"/>
  <c r="I14" i="6"/>
  <c r="I12" i="6"/>
  <c r="H12" i="6"/>
  <c r="H13" i="6"/>
  <c r="I13" i="6"/>
  <c r="G13" i="6"/>
  <c r="H10" i="2"/>
  <c r="I10" i="2"/>
  <c r="G10" i="2"/>
  <c r="G13" i="2"/>
  <c r="H13" i="2"/>
  <c r="I13" i="2"/>
  <c r="K16" i="6"/>
  <c r="K10" i="6"/>
  <c r="O13" i="6"/>
  <c r="K12" i="6"/>
  <c r="K15" i="6"/>
  <c r="O14" i="6"/>
  <c r="O12" i="6"/>
  <c r="K8" i="6"/>
  <c r="K9" i="6"/>
  <c r="K14" i="6"/>
  <c r="K7" i="6"/>
  <c r="K13" i="6"/>
  <c r="O13" i="2"/>
  <c r="K10" i="2"/>
  <c r="O10" i="2"/>
  <c r="K13" i="2"/>
  <c r="J14" i="6"/>
  <c r="J13" i="6"/>
  <c r="J12" i="6"/>
  <c r="J13" i="2"/>
  <c r="J10" i="2"/>
  <c r="M11" i="6" l="1"/>
  <c r="AS11" i="6" s="1"/>
  <c r="N10" i="2"/>
  <c r="M10" i="2"/>
  <c r="N13" i="2"/>
  <c r="M13" i="2"/>
  <c r="M13" i="6"/>
  <c r="N13" i="6"/>
  <c r="M8" i="6"/>
  <c r="AS8" i="6" s="1"/>
  <c r="P8" i="6" s="1"/>
  <c r="N8" i="6"/>
  <c r="M12" i="6"/>
  <c r="N12" i="6"/>
  <c r="N9" i="6"/>
  <c r="M9" i="6"/>
  <c r="N15" i="6"/>
  <c r="M15" i="6"/>
  <c r="AS15" i="6" s="1"/>
  <c r="M16" i="6"/>
  <c r="N16" i="6"/>
  <c r="N14" i="6"/>
  <c r="M14" i="6"/>
  <c r="M10" i="6"/>
  <c r="AS10" i="6" s="1"/>
  <c r="P10" i="6" s="1"/>
  <c r="N10" i="6"/>
  <c r="N7" i="6"/>
  <c r="M7" i="6"/>
  <c r="AS7" i="6" s="1"/>
  <c r="E12" i="6" l="1"/>
  <c r="E14" i="6"/>
  <c r="E13" i="6"/>
  <c r="E13" i="2"/>
  <c r="E10" i="2"/>
  <c r="AN20" i="2" l="1"/>
  <c r="AN12" i="2"/>
  <c r="AN16" i="2"/>
  <c r="AN17" i="2"/>
  <c r="AN11" i="2"/>
  <c r="K15" i="2"/>
  <c r="AN14" i="2"/>
  <c r="AN9" i="2"/>
  <c r="AN19" i="2"/>
  <c r="AN8" i="2"/>
  <c r="K8" i="2" s="1"/>
  <c r="AN7" i="2"/>
  <c r="K14" i="2" l="1"/>
  <c r="K19" i="2"/>
  <c r="K20" i="2"/>
  <c r="N20" i="2" s="1"/>
  <c r="K17" i="2"/>
  <c r="N17" i="2" s="1"/>
  <c r="K11" i="2"/>
  <c r="M11" i="2" s="1"/>
  <c r="K7" i="2"/>
  <c r="N7" i="2" s="1"/>
  <c r="K12" i="2"/>
  <c r="N12" i="2" s="1"/>
  <c r="K16" i="2"/>
  <c r="M16" i="2" s="1"/>
  <c r="K9" i="2"/>
  <c r="M9" i="2" s="1"/>
  <c r="AS9" i="2" s="1"/>
  <c r="M14" i="2"/>
  <c r="AS14" i="2" s="1"/>
  <c r="P14" i="2" s="1"/>
  <c r="N14" i="2"/>
  <c r="N8" i="2"/>
  <c r="M8" i="2"/>
  <c r="N19" i="2"/>
  <c r="M19" i="2"/>
  <c r="M15" i="2"/>
  <c r="N15" i="2"/>
  <c r="BX8" i="7"/>
  <c r="BT8" i="7"/>
  <c r="BP8" i="7"/>
  <c r="BL8" i="7"/>
  <c r="BH8" i="7"/>
  <c r="BD8" i="7"/>
  <c r="AZ8" i="7"/>
  <c r="AV8" i="7"/>
  <c r="AR8" i="7"/>
  <c r="AN8" i="7"/>
  <c r="AJ8" i="7"/>
  <c r="AG8" i="7"/>
  <c r="AD8" i="7" s="1"/>
  <c r="AF8" i="7"/>
  <c r="AC8" i="7" s="1"/>
  <c r="AE8" i="7"/>
  <c r="AB8" i="7" s="1"/>
  <c r="Z8" i="7"/>
  <c r="N8" i="7"/>
  <c r="G8" i="7"/>
  <c r="AN8" i="8"/>
  <c r="AN7" i="8"/>
  <c r="BX8" i="8"/>
  <c r="BT8" i="8"/>
  <c r="BP8" i="8"/>
  <c r="BL8" i="8"/>
  <c r="BH8" i="8"/>
  <c r="BD8" i="8"/>
  <c r="AZ8" i="8"/>
  <c r="AV8" i="8"/>
  <c r="AR8" i="8"/>
  <c r="AG8" i="8"/>
  <c r="AD8" i="8" s="1"/>
  <c r="AF8" i="8"/>
  <c r="AC8" i="8" s="1"/>
  <c r="AE8" i="8"/>
  <c r="AB8" i="8" s="1"/>
  <c r="Z8" i="8"/>
  <c r="N8" i="8"/>
  <c r="G8" i="8"/>
  <c r="AQ13" i="5"/>
  <c r="AQ9" i="5"/>
  <c r="AQ12" i="5"/>
  <c r="AQ11" i="5"/>
  <c r="AQ8" i="5"/>
  <c r="AQ10" i="5"/>
  <c r="AQ7" i="5"/>
  <c r="M20" i="2" l="1"/>
  <c r="M17" i="2"/>
  <c r="N11" i="2"/>
  <c r="M7" i="2"/>
  <c r="AS7" i="2" s="1"/>
  <c r="M12" i="2"/>
  <c r="N16" i="2"/>
  <c r="N9" i="2"/>
  <c r="I8" i="7"/>
  <c r="O8" i="7"/>
  <c r="H8" i="7"/>
  <c r="K8" i="7"/>
  <c r="J8" i="7"/>
  <c r="H8" i="8"/>
  <c r="I8" i="8"/>
  <c r="K8" i="8"/>
  <c r="L8" i="8" s="1"/>
  <c r="O8" i="8"/>
  <c r="J8" i="8"/>
  <c r="BW9" i="5"/>
  <c r="BS9" i="5"/>
  <c r="BO9" i="5"/>
  <c r="BK9" i="5"/>
  <c r="BG9" i="5"/>
  <c r="BC9" i="5"/>
  <c r="AY9" i="5"/>
  <c r="AU9" i="5"/>
  <c r="AJ9" i="5"/>
  <c r="AG9" i="5" s="1"/>
  <c r="AI9" i="5"/>
  <c r="AF9" i="5" s="1"/>
  <c r="AH9" i="5"/>
  <c r="AE9" i="5" s="1"/>
  <c r="AB9" i="5"/>
  <c r="N9" i="5"/>
  <c r="G9" i="5"/>
  <c r="AQ9" i="3"/>
  <c r="L8" i="7" l="1"/>
  <c r="M8" i="7"/>
  <c r="M8" i="8"/>
  <c r="E8" i="8" s="1"/>
  <c r="K9" i="5"/>
  <c r="M9" i="5" s="1"/>
  <c r="H9" i="5"/>
  <c r="O9" i="5"/>
  <c r="J9" i="5"/>
  <c r="I9" i="5"/>
  <c r="E8" i="7" l="1"/>
  <c r="L9" i="5"/>
  <c r="E9" i="5" s="1"/>
  <c r="BK9" i="3" l="1"/>
  <c r="BG9" i="3"/>
  <c r="BC9" i="3"/>
  <c r="AY9" i="3"/>
  <c r="AU9" i="3"/>
  <c r="AJ9" i="3"/>
  <c r="AG9" i="3" s="1"/>
  <c r="AI9" i="3"/>
  <c r="AF9" i="3" s="1"/>
  <c r="AH9" i="3"/>
  <c r="AE9" i="3" s="1"/>
  <c r="AB9" i="3"/>
  <c r="N9" i="3"/>
  <c r="AL12" i="4"/>
  <c r="AL11" i="1"/>
  <c r="ES11" i="1"/>
  <c r="EL11" i="1"/>
  <c r="EE11" i="1"/>
  <c r="DX11" i="1"/>
  <c r="DQ11" i="1"/>
  <c r="DJ11" i="1"/>
  <c r="DC11" i="1"/>
  <c r="CV11" i="1"/>
  <c r="CO11" i="1"/>
  <c r="CH11" i="1"/>
  <c r="CA11" i="1"/>
  <c r="BT11" i="1"/>
  <c r="AT11" i="1"/>
  <c r="AQ11" i="1" s="1"/>
  <c r="AS11" i="1"/>
  <c r="AP11" i="1" s="1"/>
  <c r="AR11" i="1"/>
  <c r="AO11" i="1" s="1"/>
  <c r="Q11" i="1"/>
  <c r="Q20" i="1"/>
  <c r="ES20" i="1"/>
  <c r="EL20" i="1"/>
  <c r="EE20" i="1"/>
  <c r="DX20" i="1"/>
  <c r="DQ20" i="1"/>
  <c r="DJ20" i="1"/>
  <c r="DC20" i="1"/>
  <c r="CV20" i="1"/>
  <c r="CO20" i="1"/>
  <c r="CH20" i="1"/>
  <c r="CA20" i="1"/>
  <c r="BT20" i="1"/>
  <c r="AT20" i="1"/>
  <c r="AQ20" i="1" s="1"/>
  <c r="AS20" i="1"/>
  <c r="AP20" i="1" s="1"/>
  <c r="AR20" i="1"/>
  <c r="AO20" i="1" s="1"/>
  <c r="Q16" i="1"/>
  <c r="AL16" i="1"/>
  <c r="ES16" i="1"/>
  <c r="EL16" i="1"/>
  <c r="EE16" i="1"/>
  <c r="DX16" i="1"/>
  <c r="DQ16" i="1"/>
  <c r="DJ16" i="1"/>
  <c r="DC16" i="1"/>
  <c r="CV16" i="1"/>
  <c r="CO16" i="1"/>
  <c r="CH16" i="1"/>
  <c r="CA16" i="1"/>
  <c r="BT16" i="1"/>
  <c r="AT16" i="1"/>
  <c r="AQ16" i="1" s="1"/>
  <c r="AS16" i="1"/>
  <c r="AP16" i="1" s="1"/>
  <c r="AR16" i="1"/>
  <c r="AO16" i="1" s="1"/>
  <c r="EE16" i="4"/>
  <c r="DX16" i="4"/>
  <c r="DQ16" i="4"/>
  <c r="DJ16" i="4"/>
  <c r="DC16" i="4"/>
  <c r="CV16" i="4"/>
  <c r="CO16" i="4"/>
  <c r="CH16" i="4"/>
  <c r="CA16" i="4"/>
  <c r="AT16" i="4"/>
  <c r="AQ16" i="4" s="1"/>
  <c r="AS16" i="4"/>
  <c r="AP16" i="4" s="1"/>
  <c r="AR16" i="4"/>
  <c r="AO16" i="4" s="1"/>
  <c r="Q16" i="4"/>
  <c r="Q13" i="4"/>
  <c r="EE13" i="4"/>
  <c r="DX13" i="4"/>
  <c r="DQ13" i="4"/>
  <c r="DJ13" i="4"/>
  <c r="DC13" i="4"/>
  <c r="CV13" i="4"/>
  <c r="CO13" i="4"/>
  <c r="CH13" i="4"/>
  <c r="CA13" i="4"/>
  <c r="AT13" i="4"/>
  <c r="AQ13" i="4" s="1"/>
  <c r="AS13" i="4"/>
  <c r="AP13" i="4" s="1"/>
  <c r="AR13" i="4"/>
  <c r="AO13" i="4" s="1"/>
  <c r="AL13" i="4"/>
  <c r="CO15" i="4"/>
  <c r="CO14" i="4"/>
  <c r="CO17" i="4"/>
  <c r="CO10" i="4"/>
  <c r="CO11" i="4"/>
  <c r="CO9" i="4"/>
  <c r="CO12" i="4"/>
  <c r="CH15" i="4"/>
  <c r="CA15" i="4"/>
  <c r="CH14" i="4"/>
  <c r="CA14" i="4"/>
  <c r="CH17" i="4"/>
  <c r="CH10" i="4"/>
  <c r="CA10" i="4"/>
  <c r="CH11" i="4"/>
  <c r="CH8" i="4"/>
  <c r="CH7" i="4"/>
  <c r="CH9" i="4"/>
  <c r="CA9" i="4"/>
  <c r="CH12" i="4"/>
  <c r="CA12" i="4"/>
  <c r="H9" i="3" l="1"/>
  <c r="J9" i="3"/>
  <c r="I9" i="3"/>
  <c r="O9" i="3"/>
  <c r="G9" i="3"/>
  <c r="K9" i="3"/>
  <c r="H11" i="1"/>
  <c r="K11" i="1"/>
  <c r="G11" i="1"/>
  <c r="J11" i="1"/>
  <c r="I11" i="1"/>
  <c r="S11" i="1"/>
  <c r="AL20" i="1"/>
  <c r="H20" i="1" s="1"/>
  <c r="S20" i="1"/>
  <c r="CA11" i="4"/>
  <c r="CA17" i="4"/>
  <c r="J16" i="1"/>
  <c r="I16" i="1"/>
  <c r="K16" i="1"/>
  <c r="G16" i="1"/>
  <c r="H16" i="1"/>
  <c r="S16" i="1"/>
  <c r="S13" i="4"/>
  <c r="AL16" i="4"/>
  <c r="J16" i="4" s="1"/>
  <c r="S16" i="4"/>
  <c r="G13" i="4"/>
  <c r="H13" i="4"/>
  <c r="K13" i="4"/>
  <c r="M13" i="4" s="1"/>
  <c r="I13" i="4"/>
  <c r="J13" i="4"/>
  <c r="CO7" i="4"/>
  <c r="CA8" i="4"/>
  <c r="CO8" i="4"/>
  <c r="CA7" i="4"/>
  <c r="M9" i="3" l="1"/>
  <c r="L9" i="3"/>
  <c r="M11" i="1"/>
  <c r="O11" i="1"/>
  <c r="J20" i="1"/>
  <c r="K20" i="1"/>
  <c r="M20" i="1" s="1"/>
  <c r="G20" i="1"/>
  <c r="I20" i="1"/>
  <c r="O16" i="1"/>
  <c r="M16" i="1"/>
  <c r="K16" i="4"/>
  <c r="O16" i="4" s="1"/>
  <c r="G16" i="4"/>
  <c r="H16" i="4"/>
  <c r="I16" i="4"/>
  <c r="O13" i="4"/>
  <c r="E13" i="4" s="1"/>
  <c r="CH12" i="1"/>
  <c r="CA12" i="1"/>
  <c r="CH21" i="1"/>
  <c r="CA21" i="1"/>
  <c r="CH9" i="1"/>
  <c r="CA9" i="1"/>
  <c r="CH23" i="1"/>
  <c r="CA23" i="1"/>
  <c r="CH18" i="1"/>
  <c r="CA18" i="1"/>
  <c r="CH19" i="1"/>
  <c r="CA19" i="1"/>
  <c r="CH24" i="1"/>
  <c r="CA24" i="1"/>
  <c r="CH25" i="1"/>
  <c r="CA25" i="1"/>
  <c r="CH15" i="1"/>
  <c r="CA15" i="1"/>
  <c r="CH17" i="1"/>
  <c r="CH8" i="1"/>
  <c r="CA8" i="1"/>
  <c r="CH10" i="1"/>
  <c r="CA10" i="1"/>
  <c r="CH14" i="1"/>
  <c r="CH7" i="1"/>
  <c r="CA7" i="1"/>
  <c r="BT12" i="1"/>
  <c r="BT21" i="1"/>
  <c r="BT9" i="1"/>
  <c r="BT23" i="1"/>
  <c r="BT18" i="1"/>
  <c r="BT19" i="1"/>
  <c r="BT24" i="1"/>
  <c r="BT25" i="1"/>
  <c r="BT15" i="1"/>
  <c r="BT17" i="1"/>
  <c r="BT8" i="1"/>
  <c r="BT10" i="1"/>
  <c r="BT14" i="1"/>
  <c r="BT7" i="1"/>
  <c r="AQ11" i="3"/>
  <c r="AQ10" i="3"/>
  <c r="AQ13" i="3"/>
  <c r="AQ8" i="3"/>
  <c r="AQ7" i="3"/>
  <c r="AB7" i="3"/>
  <c r="AB8" i="3"/>
  <c r="CO12" i="1"/>
  <c r="CO21" i="1"/>
  <c r="CO9" i="1"/>
  <c r="CO23" i="1"/>
  <c r="CO18" i="1"/>
  <c r="CO19" i="1"/>
  <c r="CO24" i="1"/>
  <c r="CO25" i="1"/>
  <c r="CO15" i="1"/>
  <c r="CO17" i="1"/>
  <c r="CO8" i="1"/>
  <c r="CO10" i="1"/>
  <c r="CO14" i="1"/>
  <c r="CO7" i="1"/>
  <c r="CV12" i="1"/>
  <c r="CV21" i="1"/>
  <c r="CV9" i="1"/>
  <c r="CV23" i="1"/>
  <c r="CV18" i="1"/>
  <c r="CV19" i="1"/>
  <c r="CV24" i="1"/>
  <c r="CV25" i="1"/>
  <c r="CV15" i="1"/>
  <c r="CV17" i="1"/>
  <c r="CV8" i="1"/>
  <c r="CV10" i="1"/>
  <c r="CV14" i="1"/>
  <c r="CV7" i="1"/>
  <c r="E16" i="1" l="1"/>
  <c r="E11" i="1"/>
  <c r="O20" i="1"/>
  <c r="E20" i="1" s="1"/>
  <c r="E9" i="3"/>
  <c r="M16" i="4"/>
  <c r="E16" i="4" s="1"/>
  <c r="CA17" i="1"/>
  <c r="CA14" i="1"/>
  <c r="EE12" i="1"/>
  <c r="DX12" i="1"/>
  <c r="DQ12" i="1"/>
  <c r="DJ12" i="1"/>
  <c r="DC12" i="1"/>
  <c r="AT12" i="1"/>
  <c r="AQ12" i="1" s="1"/>
  <c r="AS12" i="1"/>
  <c r="AP12" i="1" s="1"/>
  <c r="AR12" i="1"/>
  <c r="AO12" i="1" s="1"/>
  <c r="Q12" i="1"/>
  <c r="G12" i="1"/>
  <c r="Q9" i="1"/>
  <c r="EE9" i="1"/>
  <c r="DX9" i="1"/>
  <c r="DQ9" i="1"/>
  <c r="DJ9" i="1"/>
  <c r="DC9" i="1"/>
  <c r="AT9" i="1"/>
  <c r="AQ9" i="1" s="1"/>
  <c r="AS9" i="1"/>
  <c r="AP9" i="1" s="1"/>
  <c r="AR9" i="1"/>
  <c r="AO9" i="1" s="1"/>
  <c r="AL9" i="1"/>
  <c r="S12" i="1" l="1"/>
  <c r="I12" i="1"/>
  <c r="J12" i="1"/>
  <c r="K12" i="1"/>
  <c r="H12" i="1"/>
  <c r="I9" i="1"/>
  <c r="S9" i="1"/>
  <c r="K9" i="1"/>
  <c r="G9" i="1"/>
  <c r="H9" i="1"/>
  <c r="J9" i="1"/>
  <c r="O12" i="1" l="1"/>
  <c r="M12" i="1"/>
  <c r="E12" i="1" s="1"/>
  <c r="O9" i="1"/>
  <c r="M9" i="1"/>
  <c r="E9" i="1" s="1"/>
  <c r="EE15" i="4" l="1"/>
  <c r="DX15" i="4"/>
  <c r="DQ15" i="4"/>
  <c r="DJ15" i="4"/>
  <c r="DC15" i="4"/>
  <c r="CV15" i="4"/>
  <c r="AT15" i="4"/>
  <c r="AQ15" i="4" s="1"/>
  <c r="AS15" i="4"/>
  <c r="AP15" i="4" s="1"/>
  <c r="AR15" i="4"/>
  <c r="AO15" i="4" s="1"/>
  <c r="AL15" i="4"/>
  <c r="K15" i="4" s="1"/>
  <c r="Q15" i="4"/>
  <c r="S15" i="4" l="1"/>
  <c r="M15" i="4"/>
  <c r="O15" i="4"/>
  <c r="H15" i="4"/>
  <c r="G15" i="4"/>
  <c r="I15" i="4"/>
  <c r="J15" i="4"/>
  <c r="E15" i="4" l="1"/>
  <c r="AL7" i="4"/>
  <c r="CV10" i="4"/>
  <c r="CV14" i="4"/>
  <c r="CV17" i="4"/>
  <c r="AT11" i="4"/>
  <c r="CV11" i="4"/>
  <c r="CV8" i="4"/>
  <c r="CV7" i="4"/>
  <c r="CV9" i="4"/>
  <c r="CV12" i="4"/>
  <c r="EE11" i="4"/>
  <c r="DX11" i="4"/>
  <c r="DQ11" i="4"/>
  <c r="DJ11" i="4"/>
  <c r="DC11" i="4"/>
  <c r="AR11" i="4"/>
  <c r="Q11" i="4"/>
  <c r="AS11" i="4" l="1"/>
  <c r="AQ11" i="4"/>
  <c r="AL11" i="4"/>
  <c r="J11" i="4" s="1"/>
  <c r="G11" i="4"/>
  <c r="H11" i="4"/>
  <c r="K11" i="4" l="1"/>
  <c r="M11" i="4" s="1"/>
  <c r="AO11" i="4" s="1"/>
  <c r="I11" i="4"/>
  <c r="O11" i="4" l="1"/>
  <c r="AP11" i="4" s="1"/>
  <c r="S11" i="4" s="1"/>
  <c r="E11" i="4" s="1"/>
  <c r="AR8" i="4" l="1"/>
  <c r="AR17" i="4" l="1"/>
  <c r="DJ10" i="4"/>
  <c r="DJ14" i="4"/>
  <c r="DJ17" i="4"/>
  <c r="DJ8" i="4"/>
  <c r="DJ7" i="4"/>
  <c r="DJ9" i="4"/>
  <c r="DJ12" i="4"/>
  <c r="DC10" i="4"/>
  <c r="DC14" i="4"/>
  <c r="DC17" i="4"/>
  <c r="DC8" i="4"/>
  <c r="DC7" i="4"/>
  <c r="DC9" i="4"/>
  <c r="DC12" i="4"/>
  <c r="AB13" i="3"/>
  <c r="H13" i="3" s="1"/>
  <c r="AQ12" i="2"/>
  <c r="O15" i="2"/>
  <c r="BW8" i="5"/>
  <c r="BS8" i="5"/>
  <c r="BO8" i="5"/>
  <c r="BK8" i="5"/>
  <c r="BG8" i="5"/>
  <c r="BC8" i="5"/>
  <c r="AY8" i="5"/>
  <c r="AU8" i="5"/>
  <c r="AJ8" i="5"/>
  <c r="AI8" i="5"/>
  <c r="AH8" i="5"/>
  <c r="AB8" i="5"/>
  <c r="K8" i="5" s="1"/>
  <c r="N8" i="5"/>
  <c r="BK11" i="3"/>
  <c r="BG11" i="3"/>
  <c r="BC11" i="3"/>
  <c r="AY11" i="3"/>
  <c r="AU11" i="3"/>
  <c r="AJ11" i="3"/>
  <c r="AG11" i="3" s="1"/>
  <c r="AI11" i="3"/>
  <c r="AF11" i="3" s="1"/>
  <c r="AH11" i="3"/>
  <c r="AE11" i="3" s="1"/>
  <c r="AB11" i="3"/>
  <c r="I11" i="3" s="1"/>
  <c r="N11" i="3"/>
  <c r="AU7" i="5"/>
  <c r="AU10" i="5"/>
  <c r="AU10" i="3"/>
  <c r="AU13" i="3"/>
  <c r="AU8" i="3"/>
  <c r="AU7" i="3"/>
  <c r="AN10" i="7"/>
  <c r="AN9" i="7"/>
  <c r="AN7" i="7"/>
  <c r="AJ10" i="7"/>
  <c r="AJ9" i="7"/>
  <c r="AJ7" i="7"/>
  <c r="BX10" i="7"/>
  <c r="BT10" i="7"/>
  <c r="BP10" i="7"/>
  <c r="BL10" i="7"/>
  <c r="BH10" i="7"/>
  <c r="BD10" i="7"/>
  <c r="AZ10" i="7"/>
  <c r="AV10" i="7"/>
  <c r="AR10" i="7"/>
  <c r="AG10" i="7"/>
  <c r="AF10" i="7"/>
  <c r="AE10" i="7"/>
  <c r="Z10" i="7"/>
  <c r="H10" i="7" s="1"/>
  <c r="N10" i="7"/>
  <c r="H7" i="1"/>
  <c r="G8" i="5"/>
  <c r="I8" i="5"/>
  <c r="H8" i="5"/>
  <c r="G11" i="3"/>
  <c r="J8" i="5"/>
  <c r="G10" i="7"/>
  <c r="G8" i="4"/>
  <c r="ES24" i="1"/>
  <c r="EL24" i="1"/>
  <c r="EE24" i="1"/>
  <c r="DX24" i="1"/>
  <c r="DQ24" i="1"/>
  <c r="DJ24" i="1"/>
  <c r="DC24" i="1"/>
  <c r="AT24" i="1"/>
  <c r="AS24" i="1"/>
  <c r="AR24" i="1"/>
  <c r="AL24" i="1"/>
  <c r="K24" i="1" s="1"/>
  <c r="M24" i="1" s="1"/>
  <c r="Q24" i="1"/>
  <c r="ES17" i="1"/>
  <c r="EL17" i="1"/>
  <c r="EE17" i="1"/>
  <c r="DX17" i="1"/>
  <c r="DQ17" i="1"/>
  <c r="DJ17" i="1"/>
  <c r="DC17" i="1"/>
  <c r="AT17" i="1"/>
  <c r="AS17" i="1"/>
  <c r="AR17" i="1"/>
  <c r="Q17" i="1"/>
  <c r="AQ20" i="2"/>
  <c r="Q8" i="4"/>
  <c r="Q7" i="4"/>
  <c r="ES8" i="4"/>
  <c r="EL8" i="4"/>
  <c r="EE8" i="4"/>
  <c r="DX8" i="4"/>
  <c r="DQ8" i="4"/>
  <c r="AT8" i="4"/>
  <c r="AS8" i="4"/>
  <c r="ES7" i="4"/>
  <c r="EL7" i="4"/>
  <c r="EE7" i="4"/>
  <c r="DX7" i="4"/>
  <c r="DQ7" i="4"/>
  <c r="AT7" i="4"/>
  <c r="AS7" i="4"/>
  <c r="AR7" i="4"/>
  <c r="AL17" i="1"/>
  <c r="H17" i="1" s="1"/>
  <c r="G24" i="1"/>
  <c r="K7" i="4"/>
  <c r="AU11" i="5"/>
  <c r="J9" i="4"/>
  <c r="K12" i="4"/>
  <c r="AR7" i="8"/>
  <c r="AB7" i="5"/>
  <c r="J7" i="5" s="1"/>
  <c r="N12" i="5"/>
  <c r="N10" i="5"/>
  <c r="ES25" i="1"/>
  <c r="EL25" i="1"/>
  <c r="EE25" i="1"/>
  <c r="DX25" i="1"/>
  <c r="DQ25" i="1"/>
  <c r="DJ25" i="1"/>
  <c r="DC25" i="1"/>
  <c r="AT25" i="1"/>
  <c r="AS25" i="1"/>
  <c r="AR25" i="1"/>
  <c r="Q25" i="1"/>
  <c r="ES21" i="1"/>
  <c r="EL21" i="1"/>
  <c r="EE21" i="1"/>
  <c r="DX21" i="1"/>
  <c r="DQ21" i="1"/>
  <c r="DJ21" i="1"/>
  <c r="DC21" i="1"/>
  <c r="AT21" i="1"/>
  <c r="AQ21" i="1" s="1"/>
  <c r="AS21" i="1"/>
  <c r="AP21" i="1" s="1"/>
  <c r="AR21" i="1"/>
  <c r="AO21" i="1" s="1"/>
  <c r="AL21" i="1"/>
  <c r="J21" i="1" s="1"/>
  <c r="G21" i="1"/>
  <c r="Q21" i="1"/>
  <c r="BW13" i="5"/>
  <c r="BS13" i="5"/>
  <c r="BO13" i="5"/>
  <c r="BK13" i="5"/>
  <c r="BG13" i="5"/>
  <c r="BC13" i="5"/>
  <c r="AY13" i="5"/>
  <c r="AU13" i="5"/>
  <c r="AJ13" i="5"/>
  <c r="AG13" i="5" s="1"/>
  <c r="AI13" i="5"/>
  <c r="AF13" i="5" s="1"/>
  <c r="AH13" i="5"/>
  <c r="AE13" i="5" s="1"/>
  <c r="AB13" i="5"/>
  <c r="I13" i="5"/>
  <c r="N13" i="5"/>
  <c r="BW12" i="5"/>
  <c r="BS12" i="5"/>
  <c r="BO12" i="5"/>
  <c r="BK12" i="5"/>
  <c r="BG12" i="5"/>
  <c r="BC12" i="5"/>
  <c r="AY12" i="5"/>
  <c r="AU12" i="5"/>
  <c r="AJ12" i="5"/>
  <c r="AG12" i="5" s="1"/>
  <c r="AI12" i="5"/>
  <c r="AF12" i="5" s="1"/>
  <c r="AH12" i="5"/>
  <c r="AE12" i="5" s="1"/>
  <c r="AB12" i="5"/>
  <c r="J12" i="5" s="1"/>
  <c r="AL25" i="1"/>
  <c r="K25" i="1" s="1"/>
  <c r="O25" i="1" s="1"/>
  <c r="H13" i="5"/>
  <c r="G13" i="5"/>
  <c r="J13" i="5"/>
  <c r="G12" i="5"/>
  <c r="AZ7" i="8"/>
  <c r="AV7" i="8"/>
  <c r="AR7" i="7"/>
  <c r="AR9" i="7"/>
  <c r="DC14" i="1"/>
  <c r="DC8" i="1"/>
  <c r="DC15" i="1"/>
  <c r="DC18" i="1"/>
  <c r="DC10" i="1"/>
  <c r="ES23" i="1"/>
  <c r="EL23" i="1"/>
  <c r="EE23" i="1"/>
  <c r="DX23" i="1"/>
  <c r="DQ23" i="1"/>
  <c r="DJ23" i="1"/>
  <c r="DC23" i="1"/>
  <c r="AT23" i="1"/>
  <c r="AQ23" i="1" s="1"/>
  <c r="AS23" i="1"/>
  <c r="AP23" i="1" s="1"/>
  <c r="AR23" i="1"/>
  <c r="AO23" i="1" s="1"/>
  <c r="AL23" i="1"/>
  <c r="J23" i="1" s="1"/>
  <c r="Q23" i="1"/>
  <c r="G23" i="1"/>
  <c r="AQ11" i="2"/>
  <c r="AQ16" i="2"/>
  <c r="AQ8" i="2"/>
  <c r="O8" i="2" s="1"/>
  <c r="AQ8" i="6"/>
  <c r="O8" i="6" s="1"/>
  <c r="AQ10" i="6"/>
  <c r="AT7" i="1"/>
  <c r="AQ7" i="1" s="1"/>
  <c r="AY10" i="3"/>
  <c r="AY13" i="3"/>
  <c r="AY8" i="3"/>
  <c r="AY7" i="3"/>
  <c r="AJ13" i="3"/>
  <c r="AV9" i="7"/>
  <c r="AV7" i="7"/>
  <c r="J8" i="1"/>
  <c r="N10" i="3"/>
  <c r="BK10" i="3"/>
  <c r="BG10" i="3"/>
  <c r="BC10" i="3"/>
  <c r="AJ10" i="3"/>
  <c r="AG10" i="3" s="1"/>
  <c r="AI10" i="3"/>
  <c r="AF10" i="3" s="1"/>
  <c r="AH10" i="3"/>
  <c r="AE10" i="3" s="1"/>
  <c r="AB10" i="3"/>
  <c r="H10" i="3" s="1"/>
  <c r="N11" i="5"/>
  <c r="Q17" i="4"/>
  <c r="Q10" i="4"/>
  <c r="Q19" i="1"/>
  <c r="Q15" i="1"/>
  <c r="Q8" i="1"/>
  <c r="ES10" i="4"/>
  <c r="EL10" i="4"/>
  <c r="EE10" i="4"/>
  <c r="DX10" i="4"/>
  <c r="DQ10" i="4"/>
  <c r="AT10" i="4"/>
  <c r="AQ10" i="4" s="1"/>
  <c r="AS10" i="4"/>
  <c r="H10" i="4"/>
  <c r="AR10" i="4"/>
  <c r="Q14" i="4"/>
  <c r="AQ19" i="2"/>
  <c r="AQ14" i="2"/>
  <c r="AQ7" i="2"/>
  <c r="Z7" i="8"/>
  <c r="K7" i="8" s="1"/>
  <c r="M7" i="8" s="1"/>
  <c r="ES10" i="1"/>
  <c r="EL10" i="1"/>
  <c r="EE10" i="1"/>
  <c r="DX10" i="1"/>
  <c r="DQ10" i="1"/>
  <c r="DJ10" i="1"/>
  <c r="AT10" i="1"/>
  <c r="AQ10" i="1" s="1"/>
  <c r="AS10" i="1"/>
  <c r="AR10" i="1"/>
  <c r="AL10" i="1"/>
  <c r="I10" i="1" s="1"/>
  <c r="ES19" i="1"/>
  <c r="EL19" i="1"/>
  <c r="EE19" i="1"/>
  <c r="DX19" i="1"/>
  <c r="DQ19" i="1"/>
  <c r="DJ19" i="1"/>
  <c r="DC19" i="1"/>
  <c r="AT19" i="1"/>
  <c r="AQ19" i="1" s="1"/>
  <c r="AS19" i="1"/>
  <c r="AP19" i="1" s="1"/>
  <c r="AR19" i="1"/>
  <c r="AO19" i="1" s="1"/>
  <c r="AL19" i="1"/>
  <c r="J19" i="1" s="1"/>
  <c r="AT8" i="1"/>
  <c r="AQ8" i="1" s="1"/>
  <c r="ES14" i="4"/>
  <c r="EL14" i="4"/>
  <c r="EE14" i="4"/>
  <c r="DX14" i="4"/>
  <c r="DQ14" i="4"/>
  <c r="AT14" i="4"/>
  <c r="AQ14" i="4" s="1"/>
  <c r="AS14" i="4"/>
  <c r="AP14" i="4" s="1"/>
  <c r="AL14" i="4"/>
  <c r="K14" i="4" s="1"/>
  <c r="O14" i="4" s="1"/>
  <c r="AR14" i="4"/>
  <c r="AO14" i="4" s="1"/>
  <c r="AQ7" i="6"/>
  <c r="O7" i="6" s="1"/>
  <c r="AT7" i="6" s="1"/>
  <c r="P7" i="6" s="1"/>
  <c r="BX9" i="7"/>
  <c r="BT9" i="7"/>
  <c r="BP9" i="7"/>
  <c r="BL9" i="7"/>
  <c r="BH9" i="7"/>
  <c r="BD9" i="7"/>
  <c r="AZ9" i="7"/>
  <c r="AG9" i="7"/>
  <c r="AD9" i="7" s="1"/>
  <c r="AF9" i="7"/>
  <c r="AC9" i="7" s="1"/>
  <c r="AE9" i="7"/>
  <c r="AB9" i="7" s="1"/>
  <c r="Z9" i="7"/>
  <c r="J9" i="7" s="1"/>
  <c r="N9" i="7"/>
  <c r="G9" i="7"/>
  <c r="BW10" i="5"/>
  <c r="BS10" i="5"/>
  <c r="BO10" i="5"/>
  <c r="BK10" i="5"/>
  <c r="BG10" i="5"/>
  <c r="BC10" i="5"/>
  <c r="AY10" i="5"/>
  <c r="AJ10" i="5"/>
  <c r="AG10" i="5" s="1"/>
  <c r="AI10" i="5"/>
  <c r="AB10" i="5"/>
  <c r="K10" i="5" s="1"/>
  <c r="L10" i="5" s="1"/>
  <c r="G10" i="5"/>
  <c r="AH10" i="5"/>
  <c r="AB11" i="5"/>
  <c r="K11" i="5" s="1"/>
  <c r="AH11" i="5"/>
  <c r="AI11" i="5"/>
  <c r="AJ11" i="5"/>
  <c r="AY11" i="5"/>
  <c r="BC11" i="5"/>
  <c r="BG11" i="5"/>
  <c r="BK11" i="5"/>
  <c r="BO11" i="5"/>
  <c r="BS11" i="5"/>
  <c r="BW11" i="5"/>
  <c r="AQ15" i="6"/>
  <c r="AQ11" i="6"/>
  <c r="H9" i="7"/>
  <c r="BX7" i="8"/>
  <c r="BT7" i="8"/>
  <c r="BP7" i="8"/>
  <c r="BL7" i="8"/>
  <c r="BH7" i="8"/>
  <c r="BD7" i="8"/>
  <c r="AG7" i="8"/>
  <c r="AF7" i="8"/>
  <c r="AE7" i="8"/>
  <c r="N7" i="8"/>
  <c r="AQ16" i="6"/>
  <c r="BK13" i="3"/>
  <c r="BG13" i="3"/>
  <c r="BC13" i="3"/>
  <c r="AI13" i="3"/>
  <c r="AF13" i="3" s="1"/>
  <c r="AH13" i="3"/>
  <c r="AE13" i="3" s="1"/>
  <c r="EE18" i="1"/>
  <c r="DX18" i="1"/>
  <c r="DQ18" i="1"/>
  <c r="DJ18" i="1"/>
  <c r="AT18" i="1"/>
  <c r="AQ18" i="1" s="1"/>
  <c r="AS18" i="1"/>
  <c r="AP18" i="1" s="1"/>
  <c r="AR18" i="1"/>
  <c r="AO18" i="1" s="1"/>
  <c r="Q18" i="1"/>
  <c r="K18" i="1"/>
  <c r="BW7" i="5"/>
  <c r="BS7" i="5"/>
  <c r="BO7" i="5"/>
  <c r="BK7" i="5"/>
  <c r="BG7" i="5"/>
  <c r="BC7" i="5"/>
  <c r="AY7" i="5"/>
  <c r="AJ7" i="5"/>
  <c r="N7" i="5"/>
  <c r="AI7" i="5"/>
  <c r="AH7" i="5"/>
  <c r="G7" i="5"/>
  <c r="AL7" i="1"/>
  <c r="J7" i="1" s="1"/>
  <c r="BC8" i="3"/>
  <c r="BC7" i="3"/>
  <c r="AZ7" i="7"/>
  <c r="DX17" i="4"/>
  <c r="DX9" i="4"/>
  <c r="DX12" i="4"/>
  <c r="DQ17" i="4"/>
  <c r="DQ9" i="4"/>
  <c r="DQ12" i="4"/>
  <c r="DQ15" i="1"/>
  <c r="DQ8" i="1"/>
  <c r="DQ14" i="1"/>
  <c r="DQ7" i="1"/>
  <c r="DJ15" i="1"/>
  <c r="DJ8" i="1"/>
  <c r="DJ14" i="1"/>
  <c r="DJ7" i="1"/>
  <c r="DC7" i="1"/>
  <c r="ES17" i="4"/>
  <c r="EL17" i="4"/>
  <c r="EE17" i="4"/>
  <c r="AT17" i="4"/>
  <c r="AQ17" i="4" s="1"/>
  <c r="AS17" i="4"/>
  <c r="G17" i="4"/>
  <c r="AQ9" i="2"/>
  <c r="BG8" i="3"/>
  <c r="BG7" i="3"/>
  <c r="DX14" i="1"/>
  <c r="DX8" i="1"/>
  <c r="EE9" i="4"/>
  <c r="EE12" i="4"/>
  <c r="BK8" i="3"/>
  <c r="BK7" i="3"/>
  <c r="DX15" i="1"/>
  <c r="DX7" i="1"/>
  <c r="AQ17" i="2"/>
  <c r="AJ8" i="3"/>
  <c r="AI8" i="3"/>
  <c r="AH8" i="3"/>
  <c r="K8" i="3"/>
  <c r="EE14" i="1"/>
  <c r="Z7" i="7"/>
  <c r="J7" i="7" s="1"/>
  <c r="BX7" i="7"/>
  <c r="BT7" i="7"/>
  <c r="BP7" i="7"/>
  <c r="BL7" i="7"/>
  <c r="BH7" i="7"/>
  <c r="BD7" i="7"/>
  <c r="AG7" i="7"/>
  <c r="AD7" i="7" s="1"/>
  <c r="AF7" i="7"/>
  <c r="AC7" i="7" s="1"/>
  <c r="AE7" i="7"/>
  <c r="N7" i="7"/>
  <c r="G7" i="7"/>
  <c r="AQ9" i="6"/>
  <c r="O9" i="6" s="1"/>
  <c r="ES9" i="4"/>
  <c r="ES12" i="4"/>
  <c r="EL9" i="4"/>
  <c r="EL12" i="4"/>
  <c r="ES15" i="1"/>
  <c r="EL15" i="1"/>
  <c r="EE15" i="1"/>
  <c r="AT15" i="1"/>
  <c r="AQ15" i="1" s="1"/>
  <c r="ES14" i="1"/>
  <c r="ES8" i="1"/>
  <c r="ES7" i="1"/>
  <c r="EL14" i="1"/>
  <c r="EL8" i="1"/>
  <c r="EL7" i="1"/>
  <c r="EE8" i="1"/>
  <c r="EE7" i="1"/>
  <c r="AJ7" i="3"/>
  <c r="AH7" i="3"/>
  <c r="AI7" i="3"/>
  <c r="B5" i="6"/>
  <c r="B5" i="2"/>
  <c r="B5" i="5"/>
  <c r="B5" i="3"/>
  <c r="J7" i="3"/>
  <c r="N7" i="3"/>
  <c r="G7" i="3"/>
  <c r="B5" i="8"/>
  <c r="B5" i="7"/>
  <c r="B5" i="4"/>
  <c r="G12" i="4"/>
  <c r="B5" i="1"/>
  <c r="G7" i="1"/>
  <c r="G8" i="1"/>
  <c r="AR15" i="1"/>
  <c r="AO15" i="1" s="1"/>
  <c r="AL15" i="1"/>
  <c r="K15" i="1" s="1"/>
  <c r="G9" i="4"/>
  <c r="G14" i="1"/>
  <c r="AS15" i="1"/>
  <c r="AP15" i="1" s="1"/>
  <c r="G8" i="3"/>
  <c r="G15" i="1"/>
  <c r="K14" i="1"/>
  <c r="N8" i="3"/>
  <c r="AL17" i="4"/>
  <c r="I10" i="3"/>
  <c r="G10" i="3"/>
  <c r="G11" i="5"/>
  <c r="H7" i="5"/>
  <c r="H7" i="3"/>
  <c r="N13" i="3"/>
  <c r="I8" i="3"/>
  <c r="G13" i="3"/>
  <c r="AR12" i="4"/>
  <c r="Q12" i="4"/>
  <c r="Q9" i="4"/>
  <c r="AS12" i="4"/>
  <c r="AT12" i="4"/>
  <c r="AT9" i="4"/>
  <c r="AQ9" i="4" s="1"/>
  <c r="AS8" i="1"/>
  <c r="Q14" i="1"/>
  <c r="AS7" i="1"/>
  <c r="I12" i="4"/>
  <c r="G10" i="4"/>
  <c r="G7" i="8"/>
  <c r="AR8" i="1"/>
  <c r="G10" i="1"/>
  <c r="H8" i="1"/>
  <c r="G14" i="4"/>
  <c r="K10" i="3"/>
  <c r="M10" i="3" s="1"/>
  <c r="J10" i="3"/>
  <c r="AG13" i="3"/>
  <c r="K9" i="7"/>
  <c r="L9" i="7" s="1"/>
  <c r="J8" i="3"/>
  <c r="AR9" i="4"/>
  <c r="AS9" i="4"/>
  <c r="AS14" i="1"/>
  <c r="AT14" i="1"/>
  <c r="AR14" i="1"/>
  <c r="AR7" i="1"/>
  <c r="H8" i="3"/>
  <c r="I7" i="3"/>
  <c r="I14" i="1"/>
  <c r="H7" i="7"/>
  <c r="AB7" i="7"/>
  <c r="H9" i="4"/>
  <c r="I9" i="4"/>
  <c r="K7" i="3"/>
  <c r="M7" i="3" s="1"/>
  <c r="G25" i="1"/>
  <c r="K13" i="5"/>
  <c r="L13" i="5" s="1"/>
  <c r="I12" i="5"/>
  <c r="I7" i="5"/>
  <c r="K7" i="5"/>
  <c r="M7" i="5" s="1"/>
  <c r="I7" i="7"/>
  <c r="AF7" i="3" l="1"/>
  <c r="K12" i="5"/>
  <c r="J10" i="5"/>
  <c r="H10" i="5"/>
  <c r="J11" i="5"/>
  <c r="AG7" i="5"/>
  <c r="O16" i="6"/>
  <c r="I16" i="6"/>
  <c r="H16" i="6"/>
  <c r="O11" i="6"/>
  <c r="AT11" i="6" s="1"/>
  <c r="P11" i="6" s="1"/>
  <c r="H11" i="6"/>
  <c r="I11" i="6"/>
  <c r="J7" i="6"/>
  <c r="O15" i="6"/>
  <c r="AT15" i="6" s="1"/>
  <c r="P15" i="6" s="1"/>
  <c r="H15" i="6"/>
  <c r="I15" i="6"/>
  <c r="G15" i="6"/>
  <c r="O10" i="6"/>
  <c r="I10" i="6"/>
  <c r="I7" i="2"/>
  <c r="J7" i="2"/>
  <c r="H11" i="2"/>
  <c r="I11" i="2"/>
  <c r="G11" i="2"/>
  <c r="H14" i="2"/>
  <c r="I14" i="2"/>
  <c r="H16" i="2"/>
  <c r="I16" i="2"/>
  <c r="H20" i="2"/>
  <c r="G20" i="2"/>
  <c r="I20" i="2"/>
  <c r="G12" i="2"/>
  <c r="I12" i="2"/>
  <c r="H12" i="2"/>
  <c r="I17" i="2"/>
  <c r="H17" i="2"/>
  <c r="H9" i="2"/>
  <c r="I9" i="2"/>
  <c r="H19" i="2"/>
  <c r="I19" i="2"/>
  <c r="O19" i="2"/>
  <c r="O20" i="2"/>
  <c r="O14" i="2"/>
  <c r="O17" i="2"/>
  <c r="O11" i="2"/>
  <c r="O7" i="2"/>
  <c r="AT7" i="2" s="1"/>
  <c r="P7" i="2" s="1"/>
  <c r="O12" i="2"/>
  <c r="O16" i="2"/>
  <c r="O9" i="2"/>
  <c r="AT9" i="2" s="1"/>
  <c r="P9" i="2" s="1"/>
  <c r="M13" i="5"/>
  <c r="H11" i="3"/>
  <c r="J11" i="3"/>
  <c r="L10" i="3"/>
  <c r="I10" i="7"/>
  <c r="K10" i="7"/>
  <c r="L10" i="7" s="1"/>
  <c r="AB10" i="7" s="1"/>
  <c r="H10" i="1"/>
  <c r="H14" i="4"/>
  <c r="J14" i="4"/>
  <c r="I11" i="5"/>
  <c r="I14" i="4"/>
  <c r="I10" i="5"/>
  <c r="AG11" i="5"/>
  <c r="K11" i="3"/>
  <c r="L11" i="3" s="1"/>
  <c r="H11" i="5"/>
  <c r="K7" i="7"/>
  <c r="M7" i="7" s="1"/>
  <c r="I9" i="7"/>
  <c r="I13" i="3"/>
  <c r="K13" i="3"/>
  <c r="J13" i="3"/>
  <c r="J14" i="2"/>
  <c r="J10" i="6"/>
  <c r="J9" i="6"/>
  <c r="J12" i="2"/>
  <c r="J15" i="2"/>
  <c r="J8" i="2"/>
  <c r="J16" i="2"/>
  <c r="J20" i="2"/>
  <c r="J10" i="7"/>
  <c r="H12" i="5"/>
  <c r="L7" i="5"/>
  <c r="AE7" i="5" s="1"/>
  <c r="M10" i="5"/>
  <c r="AF10" i="5" s="1"/>
  <c r="O13" i="5"/>
  <c r="E13" i="5" s="1"/>
  <c r="M11" i="5"/>
  <c r="AF11" i="5" s="1"/>
  <c r="L11" i="5"/>
  <c r="AE11" i="5" s="1"/>
  <c r="L8" i="5"/>
  <c r="AE8" i="5" s="1"/>
  <c r="M8" i="5"/>
  <c r="AF8" i="5" s="1"/>
  <c r="AG8" i="5"/>
  <c r="AF7" i="5"/>
  <c r="O7" i="5" s="1"/>
  <c r="E7" i="5" s="1"/>
  <c r="AE10" i="5"/>
  <c r="AG7" i="3"/>
  <c r="H25" i="1"/>
  <c r="I25" i="1"/>
  <c r="J25" i="1"/>
  <c r="I23" i="1"/>
  <c r="G17" i="1"/>
  <c r="K8" i="1"/>
  <c r="O8" i="1" s="1"/>
  <c r="AP8" i="1" s="1"/>
  <c r="J14" i="1"/>
  <c r="I8" i="1"/>
  <c r="H21" i="1"/>
  <c r="K21" i="1"/>
  <c r="M21" i="1" s="1"/>
  <c r="I24" i="1"/>
  <c r="I21" i="1"/>
  <c r="J10" i="1"/>
  <c r="K10" i="1"/>
  <c r="O10" i="1" s="1"/>
  <c r="AP10" i="1" s="1"/>
  <c r="J24" i="1"/>
  <c r="H24" i="1"/>
  <c r="AO24" i="1"/>
  <c r="AQ24" i="1"/>
  <c r="L7" i="3"/>
  <c r="AE7" i="3" s="1"/>
  <c r="O13" i="3"/>
  <c r="O11" i="3"/>
  <c r="L8" i="3"/>
  <c r="AE8" i="3" s="1"/>
  <c r="M8" i="3"/>
  <c r="AF8" i="3" s="1"/>
  <c r="AG8" i="3"/>
  <c r="M11" i="3"/>
  <c r="E11" i="3" s="1"/>
  <c r="J9" i="2"/>
  <c r="J19" i="2"/>
  <c r="J17" i="2"/>
  <c r="J11" i="2"/>
  <c r="J8" i="6"/>
  <c r="I18" i="1"/>
  <c r="O9" i="7"/>
  <c r="O7" i="7"/>
  <c r="M9" i="7"/>
  <c r="M10" i="7"/>
  <c r="AC10" i="7" s="1"/>
  <c r="AD10" i="7"/>
  <c r="AD7" i="8"/>
  <c r="I7" i="8"/>
  <c r="H7" i="8"/>
  <c r="J7" i="8"/>
  <c r="L7" i="8"/>
  <c r="AB7" i="8" s="1"/>
  <c r="AC7" i="8"/>
  <c r="AQ14" i="1"/>
  <c r="H23" i="1"/>
  <c r="I15" i="1"/>
  <c r="K7" i="1"/>
  <c r="O7" i="1" s="1"/>
  <c r="AP7" i="1" s="1"/>
  <c r="K23" i="1"/>
  <c r="K17" i="1"/>
  <c r="M17" i="1" s="1"/>
  <c r="AO17" i="1" s="1"/>
  <c r="G18" i="1"/>
  <c r="AQ25" i="1"/>
  <c r="O24" i="1"/>
  <c r="AP24" i="1" s="1"/>
  <c r="AQ17" i="1"/>
  <c r="AQ12" i="4"/>
  <c r="AQ7" i="4"/>
  <c r="O18" i="1"/>
  <c r="M18" i="1"/>
  <c r="M14" i="1"/>
  <c r="AO14" i="1" s="1"/>
  <c r="O14" i="1"/>
  <c r="AP14" i="1" s="1"/>
  <c r="M15" i="1"/>
  <c r="O15" i="1"/>
  <c r="M25" i="1"/>
  <c r="AO25" i="1" s="1"/>
  <c r="I19" i="1"/>
  <c r="J15" i="1"/>
  <c r="H18" i="1"/>
  <c r="G19" i="1"/>
  <c r="H15" i="1"/>
  <c r="J18" i="1"/>
  <c r="H19" i="1"/>
  <c r="J17" i="1"/>
  <c r="I17" i="1"/>
  <c r="K19" i="1"/>
  <c r="I7" i="1"/>
  <c r="AP25" i="1"/>
  <c r="H14" i="1"/>
  <c r="O7" i="4"/>
  <c r="AP7" i="4" s="1"/>
  <c r="M7" i="4"/>
  <c r="AO7" i="4" s="1"/>
  <c r="G7" i="4"/>
  <c r="J7" i="4"/>
  <c r="H7" i="4"/>
  <c r="I7" i="4"/>
  <c r="J12" i="4"/>
  <c r="K8" i="4"/>
  <c r="M8" i="4" s="1"/>
  <c r="AO8" i="4" s="1"/>
  <c r="J17" i="4"/>
  <c r="AQ8" i="4"/>
  <c r="J10" i="4"/>
  <c r="K17" i="4"/>
  <c r="O17" i="4" s="1"/>
  <c r="AP17" i="4" s="1"/>
  <c r="J16" i="6"/>
  <c r="J15" i="6"/>
  <c r="J11" i="6"/>
  <c r="O12" i="5"/>
  <c r="O10" i="3"/>
  <c r="E10" i="3" s="1"/>
  <c r="M12" i="4"/>
  <c r="AO12" i="4" s="1"/>
  <c r="O12" i="4"/>
  <c r="AP12" i="4" s="1"/>
  <c r="M14" i="4"/>
  <c r="I17" i="4"/>
  <c r="H12" i="4"/>
  <c r="K10" i="4"/>
  <c r="K9" i="4"/>
  <c r="I8" i="4"/>
  <c r="H17" i="4"/>
  <c r="I10" i="4"/>
  <c r="J8" i="4"/>
  <c r="H8" i="4"/>
  <c r="S15" i="1"/>
  <c r="S19" i="1"/>
  <c r="S18" i="1"/>
  <c r="S21" i="1"/>
  <c r="S23" i="1"/>
  <c r="S14" i="4"/>
  <c r="L12" i="5" l="1"/>
  <c r="M12" i="5"/>
  <c r="E12" i="5" s="1"/>
  <c r="E14" i="4"/>
  <c r="E15" i="6"/>
  <c r="E14" i="2"/>
  <c r="E7" i="2"/>
  <c r="E18" i="1"/>
  <c r="E15" i="1"/>
  <c r="E11" i="6"/>
  <c r="E12" i="2"/>
  <c r="E9" i="2"/>
  <c r="E19" i="2"/>
  <c r="O11" i="5"/>
  <c r="E11" i="5" s="1"/>
  <c r="O7" i="3"/>
  <c r="E7" i="3" s="1"/>
  <c r="L7" i="7"/>
  <c r="M13" i="3"/>
  <c r="L13" i="3"/>
  <c r="E20" i="2"/>
  <c r="E15" i="2"/>
  <c r="E9" i="7"/>
  <c r="O10" i="5"/>
  <c r="E10" i="5" s="1"/>
  <c r="O8" i="5"/>
  <c r="E8" i="5" s="1"/>
  <c r="M8" i="1"/>
  <c r="AO8" i="1" s="1"/>
  <c r="S8" i="1" s="1"/>
  <c r="E8" i="1" s="1"/>
  <c r="O21" i="1"/>
  <c r="E21" i="1" s="1"/>
  <c r="S24" i="1"/>
  <c r="E24" i="1" s="1"/>
  <c r="M10" i="1"/>
  <c r="AO10" i="1" s="1"/>
  <c r="S10" i="1" s="1"/>
  <c r="O8" i="3"/>
  <c r="E8" i="3" s="1"/>
  <c r="E17" i="2"/>
  <c r="E8" i="6"/>
  <c r="E16" i="2"/>
  <c r="E11" i="2"/>
  <c r="O17" i="1"/>
  <c r="AP17" i="1" s="1"/>
  <c r="S17" i="1" s="1"/>
  <c r="E17" i="1" s="1"/>
  <c r="E7" i="7"/>
  <c r="O10" i="7"/>
  <c r="E10" i="7" s="1"/>
  <c r="O7" i="8"/>
  <c r="E7" i="8" s="1"/>
  <c r="O8" i="4"/>
  <c r="AP8" i="4" s="1"/>
  <c r="S8" i="4" s="1"/>
  <c r="E8" i="4" s="1"/>
  <c r="M7" i="1"/>
  <c r="AO7" i="1" s="1"/>
  <c r="O23" i="1"/>
  <c r="M23" i="1"/>
  <c r="E23" i="1" s="1"/>
  <c r="S14" i="1"/>
  <c r="E14" i="1" s="1"/>
  <c r="S25" i="1"/>
  <c r="E25" i="1" s="1"/>
  <c r="S7" i="4"/>
  <c r="E7" i="4" s="1"/>
  <c r="M17" i="4"/>
  <c r="AO17" i="4" s="1"/>
  <c r="S17" i="4" s="1"/>
  <c r="E17" i="4" s="1"/>
  <c r="S12" i="4"/>
  <c r="E12" i="4" s="1"/>
  <c r="O19" i="1"/>
  <c r="M19" i="1"/>
  <c r="E16" i="6"/>
  <c r="O9" i="4"/>
  <c r="AP9" i="4" s="1"/>
  <c r="M9" i="4"/>
  <c r="AO9" i="4" s="1"/>
  <c r="M10" i="4"/>
  <c r="AO10" i="4" s="1"/>
  <c r="O10" i="4"/>
  <c r="AP10" i="4" s="1"/>
  <c r="E19" i="1" l="1"/>
  <c r="Q10" i="1"/>
  <c r="E10" i="1" s="1"/>
  <c r="Q7" i="1"/>
  <c r="E7" i="1" s="1"/>
  <c r="E13" i="3"/>
  <c r="E8" i="2"/>
  <c r="S10" i="4"/>
  <c r="E10" i="4" s="1"/>
  <c r="E10" i="6"/>
  <c r="E9" i="6"/>
  <c r="S9" i="4"/>
  <c r="E9" i="4" s="1"/>
  <c r="E7" i="6"/>
</calcChain>
</file>

<file path=xl/sharedStrings.xml><?xml version="1.0" encoding="utf-8"?>
<sst xmlns="http://schemas.openxmlformats.org/spreadsheetml/2006/main" count="1381" uniqueCount="168">
  <si>
    <t>VOL1</t>
  </si>
  <si>
    <t>VOL2</t>
  </si>
  <si>
    <t>PRELIM</t>
  </si>
  <si>
    <t>FINAL</t>
  </si>
  <si>
    <t>BEST</t>
  </si>
  <si>
    <t>VOL 1</t>
  </si>
  <si>
    <t>VOL 2</t>
  </si>
  <si>
    <t>POINTS</t>
  </si>
  <si>
    <t>TOTAL</t>
  </si>
  <si>
    <t>TEAM</t>
  </si>
  <si>
    <t>INTERNATIONAL</t>
  </si>
  <si>
    <t>RESULTS</t>
  </si>
  <si>
    <t>DOMESTIC</t>
  </si>
  <si>
    <t>STD</t>
  </si>
  <si>
    <t>FUND</t>
  </si>
  <si>
    <t>DIFF</t>
  </si>
  <si>
    <t>DIFFERENTIAL</t>
  </si>
  <si>
    <t>PER ROUND</t>
  </si>
  <si>
    <t>TRAMPOLINE</t>
  </si>
  <si>
    <t>SENIOR</t>
  </si>
  <si>
    <t>WOMEN</t>
  </si>
  <si>
    <t>RANKING</t>
  </si>
  <si>
    <t>MEN</t>
  </si>
  <si>
    <t>PROV</t>
  </si>
  <si>
    <t>ON</t>
  </si>
  <si>
    <t>QC</t>
  </si>
  <si>
    <t>BC</t>
  </si>
  <si>
    <t>AB</t>
  </si>
  <si>
    <t>DOUBLE-MINI</t>
  </si>
  <si>
    <t>PREL 1</t>
  </si>
  <si>
    <t>PREL 2</t>
  </si>
  <si>
    <t>PASS 1</t>
  </si>
  <si>
    <t>PASS 2</t>
  </si>
  <si>
    <t>TUMBLING</t>
  </si>
  <si>
    <t>MIN</t>
  </si>
  <si>
    <t>SYNCHRO</t>
  </si>
  <si>
    <t>FINAL 1</t>
  </si>
  <si>
    <t>FINAL 2</t>
  </si>
  <si>
    <t>TOT F</t>
  </si>
  <si>
    <t>TOT P</t>
  </si>
  <si>
    <t>RANK</t>
  </si>
  <si>
    <t>MERIT</t>
  </si>
  <si>
    <t>YEAR</t>
  </si>
  <si>
    <t>IN SR</t>
  </si>
  <si>
    <t>MIN DD</t>
  </si>
  <si>
    <t>YES</t>
  </si>
  <si>
    <t>WAGC results not included because the rules are not the same as Senior</t>
  </si>
  <si>
    <t>SMITH, Samantha</t>
  </si>
  <si>
    <t>TIME 1</t>
  </si>
  <si>
    <t>TIME 2</t>
  </si>
  <si>
    <t>TIME F</t>
  </si>
  <si>
    <t>TIME1</t>
  </si>
  <si>
    <t>Tracking for International Meet only done while part of the Canadian Team</t>
  </si>
  <si>
    <t>SCHWAIGER, Jonathon</t>
  </si>
  <si>
    <t>SOEHN, Keegan</t>
  </si>
  <si>
    <t>ARMSTRONG, Mark</t>
  </si>
  <si>
    <t>FALCONER, Brittany</t>
  </si>
  <si>
    <t>O'BRIEN, Tamara</t>
  </si>
  <si>
    <t>Scores from Junior</t>
  </si>
  <si>
    <t>DUFOUR, Karine</t>
  </si>
  <si>
    <t>Méthot &amp; Millette</t>
  </si>
  <si>
    <t>HESMERT, Tiana</t>
  </si>
  <si>
    <t>** FINDLAY, David</t>
  </si>
  <si>
    <t>WHEATLEY, Sarah</t>
  </si>
  <si>
    <t>MILLER-BURKO, Jordyn</t>
  </si>
  <si>
    <t>CARRAGHER, Kyle</t>
  </si>
  <si>
    <t>BRUNO, Mario</t>
  </si>
  <si>
    <t>** Injury scores for all rounds are now based on average scores from the last 2 domestic qualifications</t>
  </si>
  <si>
    <t>BROWNE, Huston</t>
  </si>
  <si>
    <t>LISKO, Hayley</t>
  </si>
  <si>
    <t>MARTEL, Jean-Christophe</t>
  </si>
  <si>
    <t>(Team Finals)</t>
  </si>
  <si>
    <t>PanAms and Worlds Team Finals cannot be used to replace a score from a salto pass or a twisting pass</t>
  </si>
  <si>
    <t>MÉTHOT, Sophiane</t>
  </si>
  <si>
    <t>MILETTE, Sarah</t>
  </si>
  <si>
    <t>CLARKE, Elias</t>
  </si>
  <si>
    <t>ROWDEN, John</t>
  </si>
  <si>
    <t>MAGAIG, Hailey</t>
  </si>
  <si>
    <t>OH, Arden</t>
  </si>
  <si>
    <t>SHUH, Nathan</t>
  </si>
  <si>
    <t>ARMSTRONG, Douglas</t>
  </si>
  <si>
    <t>2016 NATIONALS</t>
  </si>
  <si>
    <t>Edmonton, AB, June 2016</t>
  </si>
  <si>
    <t>MASSÉ, Gabriel</t>
  </si>
  <si>
    <t>DAGENAIS, Frédéric</t>
  </si>
  <si>
    <t>Chartier &amp; Lagacé</t>
  </si>
  <si>
    <t>Soehn, Ke. &amp; Soehn,Ky.</t>
  </si>
  <si>
    <t>DWORAK, Matthew</t>
  </si>
  <si>
    <t>SENIOR, Benjamin</t>
  </si>
  <si>
    <t>ABOURAJA, Nora</t>
  </si>
  <si>
    <t>CREMER, Loic</t>
  </si>
  <si>
    <t>SOEHN, Kyle</t>
  </si>
  <si>
    <t>GEREIN, Curtis</t>
  </si>
  <si>
    <t>CHAVES, Michael</t>
  </si>
  <si>
    <t>MacLENNAN, Rosannagh</t>
  </si>
  <si>
    <t>2016 OLYMPIC GAMES</t>
  </si>
  <si>
    <t>Rio de Janeiro, BRA, August 2016</t>
  </si>
  <si>
    <t>2016 PAN AMERICAN CHAMPIONSHIPS</t>
  </si>
  <si>
    <t>Bogota, COL, December 2016</t>
  </si>
  <si>
    <t>2016 JR COMMONWEATLH GYM CH</t>
  </si>
  <si>
    <t>Walvis Bay, NAM, October 2016</t>
  </si>
  <si>
    <t>TAM, Rachel</t>
  </si>
  <si>
    <t>2016 THIRD TRIAL</t>
  </si>
  <si>
    <t>Scarborough, ON, December 2016</t>
  </si>
  <si>
    <t>** BURNETT, Jason</t>
  </si>
  <si>
    <t>** STIRLING, Trevor</t>
  </si>
  <si>
    <t>2016 3rd TRIAL</t>
  </si>
  <si>
    <t>ROUX, Laurence</t>
  </si>
  <si>
    <t>CRANHAM, Jacob</t>
  </si>
  <si>
    <t>CARISSE, Jesse</t>
  </si>
  <si>
    <t>2016 INDO-PACIFIC CHAMPIONSHIPS</t>
  </si>
  <si>
    <t>Napier, NZL, October 2016</t>
  </si>
  <si>
    <t>17+ yo</t>
  </si>
  <si>
    <t>17+</t>
  </si>
  <si>
    <t>2017 CANADA CUP</t>
  </si>
  <si>
    <t>Calgary, AB, May 2017</t>
  </si>
  <si>
    <t>2017 FLOWER CUP</t>
  </si>
  <si>
    <t>Aalsmeer, NED, March 2017</t>
  </si>
  <si>
    <t>** Injury scores adjusted to reflect the new rules (+2 pts in Vol1 + 1 pt in Vol2 + 1 pt in Final)</t>
  </si>
  <si>
    <t>2017</t>
  </si>
  <si>
    <t>ADJUST</t>
  </si>
  <si>
    <t>BROWN, Caitlin</t>
  </si>
  <si>
    <t>DUNDAS, Bronte</t>
  </si>
  <si>
    <t>THOMPSON, Taysia</t>
  </si>
  <si>
    <t>** Injury scores adjusted to reflect the new rules (+3 pts in Vol1 + 1 pt in Vol2 + 1 pt in Final)</t>
  </si>
  <si>
    <t>TYO, Benjamin</t>
  </si>
  <si>
    <t>MARTIN, Andrew</t>
  </si>
  <si>
    <t>** THEODORE, Craig</t>
  </si>
  <si>
    <t>RYANE, Casey</t>
  </si>
  <si>
    <t>*** In order to obtain the Team, Funding or Merit Score, Senior Men must also perform a DD of 13.7 in prelims or finals from one of the 3 National Trials</t>
  </si>
  <si>
    <t>McNUTT, Catherine</t>
  </si>
  <si>
    <t>** VILLOTTE, Raphaëlle</t>
  </si>
  <si>
    <t>SUGRIM, Jordan</t>
  </si>
  <si>
    <t>Dufour &amp; Roux</t>
  </si>
  <si>
    <t>Dagenais &amp; Tyo</t>
  </si>
  <si>
    <t>PREL 3</t>
  </si>
  <si>
    <t>PREL 4</t>
  </si>
  <si>
    <t>SUNDQUIST, Callum</t>
  </si>
  <si>
    <t>LEFAIVRE, Justin</t>
  </si>
  <si>
    <t>*** In order to obtain the Team, Funding or Merit Score, Senior Men must also perform a DD of 29.2 in prelims during one of the 3 National Trials</t>
  </si>
  <si>
    <t>*** In order to obtain the Team, Funding or Merit Score, Senior Women must also perform a DD of 22.0 in prelims during one of the 3 National Trials</t>
  </si>
  <si>
    <t>PRCIC, Beatrice</t>
  </si>
  <si>
    <t>PanAms and Worlds Team Finals cannot be used to replace a score</t>
  </si>
  <si>
    <t>INTL'</t>
  </si>
  <si>
    <t>*** In order to obtain the Team, Funding or Merit Score, Senior Men must also perform a DD of 20.8 (14 counting DD elements) during one of the past 3 National Trials</t>
  </si>
  <si>
    <t>*** In order to obtain the Team, Funding or Merit Score, Senior Men must also perform a DD of 17.2 (14 counting DD elements) during one of the past 3 National Trials</t>
  </si>
  <si>
    <t>1-2</t>
  </si>
  <si>
    <t>3-4</t>
  </si>
  <si>
    <t>Temporary 2017 Adjustement scores to reflect 4 passes in prelim</t>
  </si>
  <si>
    <t>Temporary 2017 Adjustement scores for complete routine (+ 3 pts in Vol 1 + 1 pt in Vol 2 + 1 pt in Final)</t>
  </si>
  <si>
    <t>Temporary 2017 Adjustement scores for complete routine (+ 2 pts in Vol 1 + 1 pt in Vol 2 + 1 pt in Final)</t>
  </si>
  <si>
    <t>** HUMBERSTONE, Joey</t>
  </si>
  <si>
    <t>** TOMALTY, Connar</t>
  </si>
  <si>
    <t>2017 NATIONALS</t>
  </si>
  <si>
    <t>Oshawa, ON, July 2017</t>
  </si>
  <si>
    <t>JULY 2017</t>
  </si>
  <si>
    <t>NG, Vincent</t>
  </si>
  <si>
    <t>LAPIERRE, Kyle</t>
  </si>
  <si>
    <t>Gerein &amp; Theodore</t>
  </si>
  <si>
    <t>Aubin &amp; Dwyer</t>
  </si>
  <si>
    <t>QC/NS</t>
  </si>
  <si>
    <t>KHALIFA, Jared</t>
  </si>
  <si>
    <t>SHEEHAN, Ryan</t>
  </si>
  <si>
    <t>*** In order to obtain the Team, Funding or Merit Score, Senior Women must also perform a DD of 9.6 in prelims or finals from one of the 3 National Trials</t>
  </si>
  <si>
    <t>TEMPLETON, Erin</t>
  </si>
  <si>
    <t>TYKHOV, Artem (UKRAINE)</t>
  </si>
  <si>
    <t>2017 WORLD GAMES</t>
  </si>
  <si>
    <t>Wroclaw, POL, July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</si>
</sst>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_);\(0.00\)"/>
    <numFmt numFmtId="165" formatCode="0.000"/>
    <numFmt numFmtId="166" formatCode="0.0"/>
  </numFmts>
  <fonts count="26" x14ac:knownFonts="1">
    <font>
      <sz val="10"/>
      <name val="Arial"/>
    </font>
    <font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52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61"/>
      <name val="Calibri"/>
      <family val="2"/>
      <scheme val="minor"/>
    </font>
    <font>
      <i/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color indexed="5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sz val="10"/>
      <color indexed="6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9900"/>
      <name val="Calibri"/>
      <family val="2"/>
      <scheme val="minor"/>
    </font>
    <font>
      <sz val="10"/>
      <color rgb="FFFFC00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indexed="57"/>
      <name val="Calibri"/>
      <family val="2"/>
      <scheme val="minor"/>
    </font>
    <font>
      <b/>
      <sz val="10"/>
      <color indexed="55"/>
      <name val="Calibri"/>
      <family val="2"/>
      <scheme val="minor"/>
    </font>
    <font>
      <b/>
      <sz val="10"/>
      <color indexed="23"/>
      <name val="Calibri"/>
      <family val="2"/>
      <scheme val="minor"/>
    </font>
    <font>
      <sz val="10"/>
      <color indexed="20"/>
      <name val="Calibri"/>
      <family val="2"/>
      <scheme val="minor"/>
    </font>
    <font>
      <b/>
      <sz val="10"/>
      <color indexed="20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9">
    <xf numFmtId="0" fontId="0" fillId="0" borderId="0" xfId="0"/>
    <xf numFmtId="17" fontId="1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6" fontId="4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1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165" fontId="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7" fillId="0" borderId="0" xfId="0" applyNumberFormat="1" applyFont="1" applyBorder="1" applyAlignment="1">
      <alignment horizontal="center"/>
    </xf>
    <xf numFmtId="165" fontId="7" fillId="0" borderId="2" xfId="0" applyNumberFormat="1" applyFont="1" applyBorder="1" applyAlignment="1">
      <alignment horizontal="center"/>
    </xf>
    <xf numFmtId="165" fontId="9" fillId="0" borderId="0" xfId="0" applyNumberFormat="1" applyFont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1" xfId="0" applyNumberFormat="1" applyFont="1" applyFill="1" applyBorder="1"/>
    <xf numFmtId="165" fontId="6" fillId="0" borderId="0" xfId="0" applyNumberFormat="1" applyFont="1" applyFill="1" applyBorder="1"/>
    <xf numFmtId="165" fontId="6" fillId="0" borderId="2" xfId="0" applyNumberFormat="1" applyFont="1" applyFill="1" applyBorder="1"/>
    <xf numFmtId="2" fontId="6" fillId="0" borderId="1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5" fontId="6" fillId="0" borderId="0" xfId="0" applyNumberFormat="1" applyFont="1" applyBorder="1"/>
    <xf numFmtId="0" fontId="6" fillId="0" borderId="0" xfId="0" applyFont="1" applyBorder="1"/>
    <xf numFmtId="165" fontId="6" fillId="0" borderId="2" xfId="0" applyNumberFormat="1" applyFont="1" applyBorder="1"/>
    <xf numFmtId="17" fontId="2" fillId="0" borderId="0" xfId="0" quotePrefix="1" applyNumberFormat="1" applyFont="1" applyBorder="1" applyAlignment="1">
      <alignment horizontal="center"/>
    </xf>
    <xf numFmtId="17" fontId="6" fillId="0" borderId="0" xfId="0" applyNumberFormat="1" applyFont="1" applyBorder="1" applyAlignment="1">
      <alignment horizontal="center"/>
    </xf>
    <xf numFmtId="166" fontId="9" fillId="0" borderId="0" xfId="0" quotePrefix="1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10" fillId="0" borderId="1" xfId="0" applyNumberFormat="1" applyFont="1" applyBorder="1" applyAlignment="1">
      <alignment horizontal="center"/>
    </xf>
    <xf numFmtId="165" fontId="11" fillId="0" borderId="0" xfId="0" applyNumberFormat="1" applyFont="1" applyBorder="1" applyAlignment="1">
      <alignment horizontal="center"/>
    </xf>
    <xf numFmtId="165" fontId="12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13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5" fontId="6" fillId="4" borderId="0" xfId="0" applyNumberFormat="1" applyFont="1" applyFill="1" applyBorder="1" applyAlignment="1">
      <alignment horizontal="center"/>
    </xf>
    <xf numFmtId="165" fontId="2" fillId="4" borderId="0" xfId="0" applyNumberFormat="1" applyFont="1" applyFill="1" applyBorder="1" applyAlignment="1">
      <alignment horizontal="center"/>
    </xf>
    <xf numFmtId="165" fontId="6" fillId="11" borderId="1" xfId="0" applyNumberFormat="1" applyFont="1" applyFill="1" applyBorder="1" applyAlignment="1">
      <alignment horizontal="center"/>
    </xf>
    <xf numFmtId="165" fontId="6" fillId="11" borderId="0" xfId="0" applyNumberFormat="1" applyFont="1" applyFill="1" applyBorder="1" applyAlignment="1">
      <alignment horizontal="center"/>
    </xf>
    <xf numFmtId="165" fontId="6" fillId="3" borderId="1" xfId="0" applyNumberFormat="1" applyFont="1" applyFill="1" applyBorder="1" applyAlignment="1">
      <alignment horizontal="center"/>
    </xf>
    <xf numFmtId="165" fontId="6" fillId="3" borderId="0" xfId="0" applyNumberFormat="1" applyFont="1" applyFill="1" applyBorder="1" applyAlignment="1">
      <alignment horizontal="center"/>
    </xf>
    <xf numFmtId="165" fontId="15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6" fillId="8" borderId="0" xfId="0" applyFont="1" applyFill="1"/>
    <xf numFmtId="0" fontId="6" fillId="8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0" fontId="6" fillId="0" borderId="0" xfId="0" applyFont="1" applyFill="1"/>
    <xf numFmtId="0" fontId="6" fillId="8" borderId="0" xfId="0" applyFont="1" applyFill="1" applyBorder="1"/>
    <xf numFmtId="0" fontId="6" fillId="0" borderId="0" xfId="0" applyFont="1" applyFill="1" applyAlignment="1">
      <alignment horizontal="center"/>
    </xf>
    <xf numFmtId="165" fontId="16" fillId="0" borderId="0" xfId="0" applyNumberFormat="1" applyFont="1" applyAlignment="1">
      <alignment horizontal="center"/>
    </xf>
    <xf numFmtId="0" fontId="6" fillId="8" borderId="0" xfId="0" applyFont="1" applyFill="1" applyBorder="1" applyAlignment="1">
      <alignment horizontal="center"/>
    </xf>
    <xf numFmtId="165" fontId="6" fillId="3" borderId="0" xfId="0" applyNumberFormat="1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165" fontId="6" fillId="3" borderId="2" xfId="0" applyNumberFormat="1" applyFont="1" applyFill="1" applyBorder="1" applyAlignment="1">
      <alignment horizontal="center"/>
    </xf>
    <xf numFmtId="0" fontId="6" fillId="0" borderId="1" xfId="0" applyFont="1" applyFill="1" applyBorder="1"/>
    <xf numFmtId="0" fontId="18" fillId="0" borderId="0" xfId="0" applyFont="1" applyFill="1" applyBorder="1"/>
    <xf numFmtId="0" fontId="18" fillId="0" borderId="0" xfId="0" applyFont="1" applyFill="1" applyAlignment="1">
      <alignment horizontal="center"/>
    </xf>
    <xf numFmtId="165" fontId="6" fillId="10" borderId="1" xfId="0" applyNumberFormat="1" applyFont="1" applyFill="1" applyBorder="1" applyAlignment="1">
      <alignment horizontal="center"/>
    </xf>
    <xf numFmtId="165" fontId="6" fillId="10" borderId="0" xfId="0" applyNumberFormat="1" applyFont="1" applyFill="1" applyBorder="1" applyAlignment="1">
      <alignment horizontal="center"/>
    </xf>
    <xf numFmtId="165" fontId="2" fillId="10" borderId="0" xfId="0" applyNumberFormat="1" applyFont="1" applyFill="1" applyAlignment="1">
      <alignment horizontal="center"/>
    </xf>
    <xf numFmtId="0" fontId="2" fillId="0" borderId="0" xfId="0" applyFont="1" applyFill="1" applyBorder="1"/>
    <xf numFmtId="165" fontId="10" fillId="0" borderId="0" xfId="0" applyNumberFormat="1" applyFont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6" fillId="11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6" fillId="9" borderId="0" xfId="0" quotePrefix="1" applyNumberFormat="1" applyFont="1" applyFill="1" applyBorder="1" applyAlignment="1">
      <alignment horizontal="center"/>
    </xf>
    <xf numFmtId="165" fontId="6" fillId="9" borderId="0" xfId="0" applyNumberFormat="1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165" fontId="10" fillId="9" borderId="0" xfId="0" applyNumberFormat="1" applyFont="1" applyFill="1" applyBorder="1" applyAlignment="1">
      <alignment horizontal="center"/>
    </xf>
    <xf numFmtId="165" fontId="12" fillId="9" borderId="0" xfId="0" applyNumberFormat="1" applyFont="1" applyFill="1" applyAlignment="1">
      <alignment horizontal="center"/>
    </xf>
    <xf numFmtId="165" fontId="10" fillId="9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165" fontId="6" fillId="0" borderId="1" xfId="0" applyNumberFormat="1" applyFont="1" applyBorder="1"/>
    <xf numFmtId="2" fontId="11" fillId="0" borderId="0" xfId="0" applyNumberFormat="1" applyFont="1" applyBorder="1" applyAlignment="1">
      <alignment horizontal="center"/>
    </xf>
    <xf numFmtId="2" fontId="12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19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8" fillId="0" borderId="0" xfId="0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8" fillId="0" borderId="0" xfId="0" applyFont="1" applyFill="1"/>
    <xf numFmtId="2" fontId="6" fillId="0" borderId="1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19" fillId="0" borderId="0" xfId="0" applyNumberFormat="1" applyFont="1" applyFill="1" applyBorder="1" applyAlignment="1">
      <alignment horizontal="center"/>
    </xf>
    <xf numFmtId="0" fontId="6" fillId="5" borderId="0" xfId="0" applyFont="1" applyFill="1" applyBorder="1"/>
    <xf numFmtId="0" fontId="6" fillId="5" borderId="0" xfId="0" applyFont="1" applyFill="1" applyBorder="1" applyAlignment="1">
      <alignment horizontal="center"/>
    </xf>
    <xf numFmtId="165" fontId="6" fillId="9" borderId="1" xfId="0" applyNumberFormat="1" applyFont="1" applyFill="1" applyBorder="1" applyAlignment="1">
      <alignment horizontal="center"/>
    </xf>
    <xf numFmtId="165" fontId="15" fillId="9" borderId="0" xfId="0" applyNumberFormat="1" applyFont="1" applyFill="1" applyBorder="1" applyAlignment="1">
      <alignment horizontal="center"/>
    </xf>
    <xf numFmtId="165" fontId="2" fillId="9" borderId="0" xfId="0" applyNumberFormat="1" applyFont="1" applyFill="1" applyBorder="1" applyAlignment="1">
      <alignment horizontal="center"/>
    </xf>
    <xf numFmtId="165" fontId="6" fillId="9" borderId="2" xfId="0" applyNumberFormat="1" applyFont="1" applyFill="1" applyBorder="1" applyAlignment="1">
      <alignment horizontal="center"/>
    </xf>
    <xf numFmtId="165" fontId="6" fillId="12" borderId="0" xfId="0" applyNumberFormat="1" applyFont="1" applyFill="1" applyBorder="1" applyAlignment="1">
      <alignment horizontal="center"/>
    </xf>
    <xf numFmtId="165" fontId="6" fillId="9" borderId="0" xfId="0" applyNumberFormat="1" applyFont="1" applyFill="1" applyAlignment="1">
      <alignment horizontal="center"/>
    </xf>
    <xf numFmtId="165" fontId="6" fillId="4" borderId="0" xfId="0" applyNumberFormat="1" applyFont="1" applyFill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11" borderId="0" xfId="0" applyNumberFormat="1" applyFont="1" applyFill="1" applyAlignment="1">
      <alignment horizontal="center"/>
    </xf>
    <xf numFmtId="165" fontId="6" fillId="12" borderId="0" xfId="0" applyNumberFormat="1" applyFont="1" applyFill="1" applyAlignment="1">
      <alignment horizontal="center"/>
    </xf>
    <xf numFmtId="165" fontId="6" fillId="12" borderId="2" xfId="0" applyNumberFormat="1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2" fontId="20" fillId="0" borderId="0" xfId="0" applyNumberFormat="1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20" fillId="0" borderId="0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0" fontId="6" fillId="7" borderId="0" xfId="0" applyFont="1" applyFill="1"/>
    <xf numFmtId="0" fontId="6" fillId="7" borderId="0" xfId="0" applyFont="1" applyFill="1" applyAlignment="1">
      <alignment horizontal="center"/>
    </xf>
    <xf numFmtId="2" fontId="10" fillId="0" borderId="1" xfId="0" applyNumberFormat="1" applyFont="1" applyBorder="1" applyAlignment="1">
      <alignment horizontal="center"/>
    </xf>
    <xf numFmtId="2" fontId="19" fillId="0" borderId="0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19" fillId="0" borderId="0" xfId="0" applyNumberFormat="1" applyFont="1" applyFill="1" applyBorder="1" applyAlignment="1">
      <alignment horizontal="center"/>
    </xf>
    <xf numFmtId="2" fontId="15" fillId="0" borderId="0" xfId="0" applyNumberFormat="1" applyFont="1" applyFill="1" applyBorder="1" applyAlignment="1">
      <alignment horizontal="center"/>
    </xf>
    <xf numFmtId="1" fontId="21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19" fillId="0" borderId="0" xfId="0" applyNumberFormat="1" applyFont="1" applyFill="1" applyAlignment="1">
      <alignment horizontal="center"/>
    </xf>
    <xf numFmtId="2" fontId="15" fillId="0" borderId="2" xfId="0" applyNumberFormat="1" applyFont="1" applyFill="1" applyBorder="1" applyAlignment="1">
      <alignment horizontal="center"/>
    </xf>
    <xf numFmtId="2" fontId="18" fillId="0" borderId="0" xfId="0" applyNumberFormat="1" applyFont="1" applyBorder="1" applyAlignment="1">
      <alignment horizontal="center"/>
    </xf>
    <xf numFmtId="2" fontId="18" fillId="0" borderId="2" xfId="0" applyNumberFormat="1" applyFont="1" applyBorder="1" applyAlignment="1">
      <alignment horizontal="center"/>
    </xf>
    <xf numFmtId="2" fontId="18" fillId="0" borderId="1" xfId="0" applyNumberFormat="1" applyFont="1" applyBorder="1" applyAlignment="1">
      <alignment horizontal="center"/>
    </xf>
    <xf numFmtId="0" fontId="18" fillId="0" borderId="0" xfId="0" applyFont="1"/>
    <xf numFmtId="2" fontId="6" fillId="4" borderId="1" xfId="0" applyNumberFormat="1" applyFont="1" applyFill="1" applyBorder="1" applyAlignment="1">
      <alignment horizontal="center"/>
    </xf>
    <xf numFmtId="2" fontId="6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center"/>
    </xf>
    <xf numFmtId="1" fontId="21" fillId="4" borderId="0" xfId="0" applyNumberFormat="1" applyFont="1" applyFill="1" applyBorder="1" applyAlignment="1">
      <alignment horizontal="center"/>
    </xf>
    <xf numFmtId="1" fontId="22" fillId="4" borderId="0" xfId="0" applyNumberFormat="1" applyFont="1" applyFill="1" applyBorder="1" applyAlignment="1">
      <alignment horizontal="center"/>
    </xf>
    <xf numFmtId="1" fontId="22" fillId="0" borderId="0" xfId="0" applyNumberFormat="1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2" fontId="6" fillId="3" borderId="0" xfId="0" applyNumberFormat="1" applyFont="1" applyFill="1" applyBorder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6" fillId="4" borderId="2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" fontId="14" fillId="0" borderId="2" xfId="0" applyNumberFormat="1" applyFont="1" applyBorder="1" applyAlignment="1">
      <alignment horizontal="center"/>
    </xf>
    <xf numFmtId="1" fontId="14" fillId="0" borderId="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6" fillId="3" borderId="2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7" fillId="0" borderId="0" xfId="0" applyFont="1" applyBorder="1" applyAlignment="1">
      <alignment horizontal="center"/>
    </xf>
    <xf numFmtId="0" fontId="6" fillId="8" borderId="0" xfId="0" applyFont="1" applyFill="1" applyBorder="1" applyAlignment="1">
      <alignment horizontal="left"/>
    </xf>
    <xf numFmtId="2" fontId="7" fillId="0" borderId="2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24" fillId="0" borderId="0" xfId="0" applyNumberFormat="1" applyFont="1" applyAlignment="1">
      <alignment horizontal="center"/>
    </xf>
    <xf numFmtId="1" fontId="25" fillId="0" borderId="2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2" fontId="6" fillId="10" borderId="1" xfId="0" applyNumberFormat="1" applyFont="1" applyFill="1" applyBorder="1" applyAlignment="1">
      <alignment horizontal="center"/>
    </xf>
    <xf numFmtId="2" fontId="6" fillId="6" borderId="1" xfId="0" applyNumberFormat="1" applyFont="1" applyFill="1" applyBorder="1" applyAlignment="1">
      <alignment horizontal="center"/>
    </xf>
    <xf numFmtId="2" fontId="2" fillId="6" borderId="0" xfId="0" applyNumberFormat="1" applyFont="1" applyFill="1" applyBorder="1" applyAlignment="1">
      <alignment horizontal="center"/>
    </xf>
    <xf numFmtId="2" fontId="6" fillId="6" borderId="0" xfId="0" applyNumberFormat="1" applyFont="1" applyFill="1" applyBorder="1" applyAlignment="1">
      <alignment horizontal="center"/>
    </xf>
    <xf numFmtId="1" fontId="25" fillId="6" borderId="2" xfId="0" applyNumberFormat="1" applyFont="1" applyFill="1" applyBorder="1" applyAlignment="1">
      <alignment horizontal="center"/>
    </xf>
    <xf numFmtId="2" fontId="6" fillId="9" borderId="0" xfId="0" applyNumberFormat="1" applyFont="1" applyFill="1" applyBorder="1" applyAlignment="1">
      <alignment horizontal="center"/>
    </xf>
    <xf numFmtId="1" fontId="25" fillId="4" borderId="2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2" fontId="23" fillId="0" borderId="2" xfId="0" applyNumberFormat="1" applyFont="1" applyFill="1" applyBorder="1" applyAlignment="1">
      <alignment horizontal="center"/>
    </xf>
    <xf numFmtId="2" fontId="23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166" fontId="15" fillId="0" borderId="0" xfId="0" applyNumberFormat="1" applyFont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1" fontId="21" fillId="0" borderId="2" xfId="0" applyNumberFormat="1" applyFont="1" applyFill="1" applyBorder="1" applyAlignment="1">
      <alignment horizontal="center"/>
    </xf>
    <xf numFmtId="2" fontId="15" fillId="0" borderId="1" xfId="0" applyNumberFormat="1" applyFont="1" applyFill="1" applyBorder="1" applyAlignment="1">
      <alignment horizontal="center"/>
    </xf>
    <xf numFmtId="1" fontId="21" fillId="4" borderId="2" xfId="0" applyNumberFormat="1" applyFont="1" applyFill="1" applyBorder="1" applyAlignment="1">
      <alignment horizontal="center"/>
    </xf>
    <xf numFmtId="2" fontId="6" fillId="10" borderId="2" xfId="0" applyNumberFormat="1" applyFont="1" applyFill="1" applyBorder="1" applyAlignment="1">
      <alignment horizontal="center"/>
    </xf>
    <xf numFmtId="2" fontId="24" fillId="0" borderId="0" xfId="0" applyNumberFormat="1" applyFont="1" applyBorder="1" applyAlignment="1">
      <alignment horizontal="center"/>
    </xf>
    <xf numFmtId="0" fontId="6" fillId="13" borderId="0" xfId="0" applyFont="1" applyFill="1" applyBorder="1"/>
    <xf numFmtId="0" fontId="6" fillId="13" borderId="0" xfId="0" applyFont="1" applyFill="1" applyBorder="1" applyAlignment="1">
      <alignment horizontal="center"/>
    </xf>
    <xf numFmtId="165" fontId="14" fillId="0" borderId="0" xfId="0" applyNumberFormat="1" applyFont="1" applyFill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1" fontId="21" fillId="6" borderId="0" xfId="0" applyNumberFormat="1" applyFont="1" applyFill="1" applyBorder="1" applyAlignment="1">
      <alignment horizontal="center"/>
    </xf>
    <xf numFmtId="2" fontId="2" fillId="9" borderId="0" xfId="0" applyNumberFormat="1" applyFont="1" applyFill="1" applyBorder="1" applyAlignment="1">
      <alignment horizontal="center"/>
    </xf>
    <xf numFmtId="1" fontId="21" fillId="6" borderId="2" xfId="0" applyNumberFormat="1" applyFont="1" applyFill="1" applyBorder="1" applyAlignment="1">
      <alignment horizontal="center"/>
    </xf>
    <xf numFmtId="0" fontId="6" fillId="9" borderId="0" xfId="0" applyFont="1" applyFill="1" applyBorder="1"/>
    <xf numFmtId="0" fontId="6" fillId="4" borderId="0" xfId="0" applyFont="1" applyFill="1" applyBorder="1"/>
    <xf numFmtId="0" fontId="6" fillId="2" borderId="0" xfId="0" applyFont="1" applyFill="1" applyBorder="1"/>
    <xf numFmtId="0" fontId="6" fillId="6" borderId="0" xfId="0" applyFont="1" applyFill="1" applyBorder="1"/>
    <xf numFmtId="0" fontId="6" fillId="11" borderId="0" xfId="0" applyFont="1" applyFill="1" applyBorder="1"/>
    <xf numFmtId="16" fontId="6" fillId="0" borderId="0" xfId="0" quotePrefix="1" applyNumberFormat="1" applyFont="1" applyBorder="1" applyAlignment="1">
      <alignment horizontal="center"/>
    </xf>
    <xf numFmtId="2" fontId="6" fillId="14" borderId="0" xfId="0" applyNumberFormat="1" applyFont="1" applyFill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165" fontId="6" fillId="15" borderId="0" xfId="0" applyNumberFormat="1" applyFont="1" applyFill="1" applyBorder="1" applyAlignment="1">
      <alignment horizontal="center"/>
    </xf>
    <xf numFmtId="165" fontId="6" fillId="15" borderId="2" xfId="0" applyNumberFormat="1" applyFont="1" applyFill="1" applyBorder="1" applyAlignment="1">
      <alignment horizontal="center"/>
    </xf>
    <xf numFmtId="165" fontId="15" fillId="9" borderId="0" xfId="0" applyNumberFormat="1" applyFont="1" applyFill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/>
    </xf>
    <xf numFmtId="165" fontId="13" fillId="0" borderId="0" xfId="0" applyNumberFormat="1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164" fontId="6" fillId="14" borderId="0" xfId="0" applyNumberFormat="1" applyFont="1" applyFill="1" applyBorder="1" applyAlignment="1">
      <alignment horizontal="center"/>
    </xf>
    <xf numFmtId="2" fontId="6" fillId="14" borderId="1" xfId="0" applyNumberFormat="1" applyFont="1" applyFill="1" applyBorder="1" applyAlignment="1">
      <alignment horizontal="center"/>
    </xf>
    <xf numFmtId="164" fontId="6" fillId="14" borderId="1" xfId="0" applyNumberFormat="1" applyFont="1" applyFill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6" fillId="14" borderId="2" xfId="0" applyNumberFormat="1" applyFont="1" applyFill="1" applyBorder="1" applyAlignment="1">
      <alignment horizontal="center"/>
    </xf>
    <xf numFmtId="164" fontId="6" fillId="14" borderId="2" xfId="0" applyNumberFormat="1" applyFont="1" applyFill="1" applyBorder="1" applyAlignment="1">
      <alignment horizontal="center"/>
    </xf>
    <xf numFmtId="0" fontId="6" fillId="14" borderId="0" xfId="0" applyFont="1" applyFill="1" applyAlignment="1">
      <alignment horizontal="center"/>
    </xf>
    <xf numFmtId="165" fontId="6" fillId="14" borderId="0" xfId="0" applyNumberFormat="1" applyFont="1" applyFill="1" applyBorder="1" applyAlignment="1">
      <alignment horizontal="center"/>
    </xf>
    <xf numFmtId="165" fontId="6" fillId="14" borderId="1" xfId="0" applyNumberFormat="1" applyFont="1" applyFill="1" applyBorder="1" applyAlignment="1">
      <alignment horizontal="center"/>
    </xf>
    <xf numFmtId="165" fontId="6" fillId="14" borderId="2" xfId="0" applyNumberFormat="1" applyFont="1" applyFill="1" applyBorder="1" applyAlignment="1">
      <alignment horizontal="center"/>
    </xf>
    <xf numFmtId="165" fontId="6" fillId="14" borderId="0" xfId="0" applyNumberFormat="1" applyFont="1" applyFill="1" applyAlignment="1">
      <alignment horizontal="center"/>
    </xf>
    <xf numFmtId="165" fontId="6" fillId="14" borderId="2" xfId="0" applyNumberFormat="1" applyFont="1" applyFill="1" applyBorder="1"/>
    <xf numFmtId="165" fontId="6" fillId="4" borderId="1" xfId="0" applyNumberFormat="1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165" fontId="8" fillId="0" borderId="2" xfId="0" applyNumberFormat="1" applyFont="1" applyFill="1" applyBorder="1" applyAlignment="1">
      <alignment horizontal="center"/>
    </xf>
    <xf numFmtId="165" fontId="6" fillId="14" borderId="1" xfId="0" applyNumberFormat="1" applyFont="1" applyFill="1" applyBorder="1" applyAlignment="1">
      <alignment horizontal="center"/>
    </xf>
    <xf numFmtId="165" fontId="6" fillId="14" borderId="0" xfId="0" applyNumberFormat="1" applyFont="1" applyFill="1" applyBorder="1" applyAlignment="1">
      <alignment horizontal="center"/>
    </xf>
    <xf numFmtId="165" fontId="6" fillId="14" borderId="2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165" fontId="8" fillId="0" borderId="2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2" fontId="6" fillId="14" borderId="1" xfId="0" applyNumberFormat="1" applyFont="1" applyFill="1" applyBorder="1" applyAlignment="1">
      <alignment horizontal="center"/>
    </xf>
    <xf numFmtId="2" fontId="6" fillId="14" borderId="0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2" fontId="6" fillId="14" borderId="2" xfId="0" applyNumberFormat="1" applyFont="1" applyFill="1" applyBorder="1" applyAlignment="1">
      <alignment horizontal="center"/>
    </xf>
    <xf numFmtId="2" fontId="8" fillId="0" borderId="1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2" fontId="8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34"/>
  <sheetViews>
    <sheetView tabSelected="1" view="pageBreakPreview" zoomScale="80" zoomScaleNormal="80" zoomScaleSheetLayoutView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9.1796875" defaultRowHeight="13" x14ac:dyDescent="0.3"/>
  <cols>
    <col min="1" max="1" width="5.7265625" style="31" customWidth="1"/>
    <col min="2" max="2" width="25.7265625" style="33" customWidth="1"/>
    <col min="3" max="4" width="7.7265625" style="31" customWidth="1"/>
    <col min="5" max="6" width="8.7265625" style="9" customWidth="1"/>
    <col min="7" max="7" width="8.7265625" style="6" customWidth="1"/>
    <col min="8" max="8" width="8.7265625" style="14" customWidth="1"/>
    <col min="9" max="10" width="8.7265625" style="87" customWidth="1"/>
    <col min="11" max="19" width="8.7265625" style="9" customWidth="1"/>
    <col min="20" max="33" width="9.1796875" style="269" customWidth="1"/>
    <col min="34" max="46" width="9.1796875" style="9" customWidth="1"/>
    <col min="47" max="49" width="9.1796875" style="32"/>
    <col min="50" max="50" width="9.1796875" style="32" customWidth="1"/>
    <col min="51" max="52" width="9.1796875" style="32"/>
    <col min="53" max="53" width="9.1796875" style="32" customWidth="1"/>
    <col min="54" max="67" width="9.1796875" style="269"/>
    <col min="68" max="70" width="9.1796875" style="32"/>
    <col min="71" max="71" width="9.1796875" style="32" customWidth="1"/>
    <col min="72" max="73" width="9.1796875" style="32"/>
    <col min="74" max="74" width="9.1796875" style="32" customWidth="1"/>
    <col min="75" max="109" width="9.1796875" style="9"/>
    <col min="110" max="112" width="9.1796875" style="32"/>
    <col min="113" max="113" width="9.1796875" style="32" customWidth="1"/>
    <col min="114" max="115" width="9.1796875" style="32"/>
    <col min="116" max="116" width="9.1796875" style="32" customWidth="1"/>
    <col min="117" max="119" width="9.1796875" style="32"/>
    <col min="120" max="120" width="9.1796875" style="32" customWidth="1"/>
    <col min="121" max="122" width="9.1796875" style="32"/>
    <col min="123" max="123" width="9.1796875" style="32" customWidth="1"/>
    <col min="124" max="126" width="9.1796875" style="32"/>
    <col min="127" max="127" width="9.1796875" style="32" customWidth="1"/>
    <col min="128" max="129" width="9.1796875" style="32"/>
    <col min="130" max="130" width="9.1796875" style="32" customWidth="1"/>
    <col min="131" max="131" width="9.1796875" style="30"/>
    <col min="132" max="132" width="9.1796875" style="9"/>
    <col min="133" max="133" width="9.1796875" style="30"/>
    <col min="134" max="135" width="9.1796875" style="9"/>
    <col min="136" max="136" width="9.1796875" style="31"/>
    <col min="137" max="137" width="9.1796875" style="9"/>
    <col min="138" max="138" width="9.1796875" style="33"/>
    <col min="139" max="139" width="9.1796875" style="32"/>
    <col min="140" max="140" width="9.1796875" style="33"/>
    <col min="141" max="142" width="9.1796875" style="32"/>
    <col min="143" max="143" width="9.1796875" style="33"/>
    <col min="144" max="144" width="9.1796875" style="32"/>
    <col min="145" max="145" width="9.1796875" style="33"/>
    <col min="146" max="146" width="9.1796875" style="32"/>
    <col min="147" max="147" width="9.1796875" style="33"/>
    <col min="148" max="149" width="9.1796875" style="32"/>
    <col min="150" max="150" width="9.1796875" style="33"/>
    <col min="151" max="151" width="9.1796875" style="32"/>
    <col min="152" max="16384" width="9.1796875" style="33"/>
  </cols>
  <sheetData>
    <row r="1" spans="1:152" s="11" customFormat="1" x14ac:dyDescent="0.3">
      <c r="A1" s="1" t="s">
        <v>155</v>
      </c>
      <c r="B1" s="2" t="s">
        <v>19</v>
      </c>
      <c r="C1" s="2"/>
      <c r="D1" s="3"/>
      <c r="E1" s="4"/>
      <c r="F1" s="5"/>
      <c r="G1" s="6"/>
      <c r="H1" s="7"/>
      <c r="I1" s="8"/>
      <c r="J1" s="8"/>
      <c r="K1" s="344" t="s">
        <v>12</v>
      </c>
      <c r="L1" s="345"/>
      <c r="M1" s="345"/>
      <c r="N1" s="345"/>
      <c r="O1" s="345"/>
      <c r="P1" s="345"/>
      <c r="Q1" s="345"/>
      <c r="R1" s="346"/>
      <c r="S1" s="46" t="s">
        <v>143</v>
      </c>
      <c r="T1" s="344" t="s">
        <v>102</v>
      </c>
      <c r="U1" s="345"/>
      <c r="V1" s="345"/>
      <c r="W1" s="345"/>
      <c r="X1" s="345"/>
      <c r="Y1" s="345"/>
      <c r="Z1" s="346"/>
      <c r="AA1" s="344" t="s">
        <v>114</v>
      </c>
      <c r="AB1" s="345"/>
      <c r="AC1" s="345"/>
      <c r="AD1" s="345"/>
      <c r="AE1" s="345"/>
      <c r="AF1" s="345"/>
      <c r="AG1" s="346"/>
      <c r="AH1" s="344" t="s">
        <v>153</v>
      </c>
      <c r="AI1" s="345"/>
      <c r="AJ1" s="345"/>
      <c r="AK1" s="345"/>
      <c r="AL1" s="345"/>
      <c r="AM1" s="345"/>
      <c r="AN1" s="346"/>
      <c r="AO1" s="350" t="s">
        <v>16</v>
      </c>
      <c r="AP1" s="351"/>
      <c r="AQ1" s="351"/>
      <c r="AR1" s="350" t="s">
        <v>10</v>
      </c>
      <c r="AS1" s="351"/>
      <c r="AT1" s="351"/>
      <c r="AU1" s="344" t="s">
        <v>110</v>
      </c>
      <c r="AV1" s="345"/>
      <c r="AW1" s="345"/>
      <c r="AX1" s="345"/>
      <c r="AY1" s="345"/>
      <c r="AZ1" s="345"/>
      <c r="BA1" s="346"/>
      <c r="BB1" s="344" t="s">
        <v>97</v>
      </c>
      <c r="BC1" s="345"/>
      <c r="BD1" s="345"/>
      <c r="BE1" s="345"/>
      <c r="BF1" s="345"/>
      <c r="BG1" s="345"/>
      <c r="BH1" s="346"/>
      <c r="BI1" s="344" t="s">
        <v>97</v>
      </c>
      <c r="BJ1" s="345"/>
      <c r="BK1" s="345"/>
      <c r="BL1" s="345"/>
      <c r="BM1" s="345"/>
      <c r="BN1" s="345"/>
      <c r="BO1" s="346"/>
      <c r="BP1" s="344"/>
      <c r="BQ1" s="345"/>
      <c r="BR1" s="345"/>
      <c r="BS1" s="345"/>
      <c r="BT1" s="345"/>
      <c r="BU1" s="345"/>
      <c r="BV1" s="346"/>
      <c r="BW1" s="344"/>
      <c r="BX1" s="345"/>
      <c r="BY1" s="345"/>
      <c r="BZ1" s="345"/>
      <c r="CA1" s="345"/>
      <c r="CB1" s="345"/>
      <c r="CC1" s="346"/>
      <c r="CD1" s="344"/>
      <c r="CE1" s="345"/>
      <c r="CF1" s="345"/>
      <c r="CG1" s="345"/>
      <c r="CH1" s="345"/>
      <c r="CI1" s="345"/>
      <c r="CJ1" s="346"/>
      <c r="CK1" s="344"/>
      <c r="CL1" s="345"/>
      <c r="CM1" s="345"/>
      <c r="CN1" s="345"/>
      <c r="CO1" s="345"/>
      <c r="CP1" s="345"/>
      <c r="CQ1" s="346"/>
      <c r="CR1" s="344"/>
      <c r="CS1" s="345"/>
      <c r="CT1" s="345"/>
      <c r="CU1" s="345"/>
      <c r="CV1" s="345"/>
      <c r="CW1" s="345"/>
      <c r="CX1" s="346"/>
      <c r="CY1" s="344"/>
      <c r="CZ1" s="345"/>
      <c r="DA1" s="345"/>
      <c r="DB1" s="345"/>
      <c r="DC1" s="345"/>
      <c r="DD1" s="345"/>
      <c r="DE1" s="346"/>
      <c r="DF1" s="341"/>
      <c r="DG1" s="342"/>
      <c r="DH1" s="342"/>
      <c r="DI1" s="342"/>
      <c r="DJ1" s="342"/>
      <c r="DK1" s="342"/>
      <c r="DL1" s="343"/>
      <c r="DM1" s="341"/>
      <c r="DN1" s="342"/>
      <c r="DO1" s="342"/>
      <c r="DP1" s="342"/>
      <c r="DQ1" s="342"/>
      <c r="DR1" s="342"/>
      <c r="DS1" s="343"/>
      <c r="DT1" s="341"/>
      <c r="DU1" s="342"/>
      <c r="DV1" s="342"/>
      <c r="DW1" s="342"/>
      <c r="DX1" s="342"/>
      <c r="DY1" s="342"/>
      <c r="DZ1" s="343"/>
      <c r="EA1" s="355"/>
      <c r="EB1" s="356"/>
      <c r="EC1" s="356"/>
      <c r="ED1" s="356"/>
      <c r="EE1" s="356"/>
      <c r="EF1" s="356"/>
      <c r="EG1" s="357"/>
      <c r="EH1" s="355"/>
      <c r="EI1" s="356"/>
      <c r="EJ1" s="358"/>
      <c r="EK1" s="358"/>
      <c r="EL1" s="358"/>
      <c r="EM1" s="358"/>
      <c r="EN1" s="359"/>
      <c r="EO1" s="355"/>
      <c r="EP1" s="356"/>
      <c r="EQ1" s="358"/>
      <c r="ER1" s="358"/>
      <c r="ES1" s="358"/>
      <c r="ET1" s="358"/>
      <c r="EU1" s="359"/>
      <c r="EV1" s="10"/>
    </row>
    <row r="2" spans="1:152" s="11" customFormat="1" x14ac:dyDescent="0.3">
      <c r="A2" s="12">
        <v>2017</v>
      </c>
      <c r="B2" s="13" t="s">
        <v>21</v>
      </c>
      <c r="C2" s="13"/>
      <c r="D2" s="13"/>
      <c r="E2" s="4"/>
      <c r="F2" s="5"/>
      <c r="G2" s="14"/>
      <c r="H2" s="5">
        <v>265.89999999999998</v>
      </c>
      <c r="I2" s="5">
        <v>274.3</v>
      </c>
      <c r="J2" s="5">
        <v>285.89999999999998</v>
      </c>
      <c r="K2" s="344" t="s">
        <v>11</v>
      </c>
      <c r="L2" s="345"/>
      <c r="M2" s="345"/>
      <c r="N2" s="345"/>
      <c r="O2" s="345"/>
      <c r="P2" s="345"/>
      <c r="Q2" s="345"/>
      <c r="R2" s="346"/>
      <c r="S2" s="46" t="s">
        <v>11</v>
      </c>
      <c r="T2" s="344" t="s">
        <v>103</v>
      </c>
      <c r="U2" s="345"/>
      <c r="V2" s="345"/>
      <c r="W2" s="345"/>
      <c r="X2" s="345"/>
      <c r="Y2" s="345"/>
      <c r="Z2" s="346"/>
      <c r="AA2" s="344" t="s">
        <v>115</v>
      </c>
      <c r="AB2" s="345"/>
      <c r="AC2" s="345"/>
      <c r="AD2" s="345"/>
      <c r="AE2" s="345"/>
      <c r="AF2" s="345"/>
      <c r="AG2" s="346"/>
      <c r="AH2" s="344" t="s">
        <v>154</v>
      </c>
      <c r="AI2" s="345"/>
      <c r="AJ2" s="345"/>
      <c r="AK2" s="345"/>
      <c r="AL2" s="345"/>
      <c r="AM2" s="345"/>
      <c r="AN2" s="346"/>
      <c r="AO2" s="350" t="s">
        <v>17</v>
      </c>
      <c r="AP2" s="351"/>
      <c r="AQ2" s="352"/>
      <c r="AR2" s="350" t="s">
        <v>11</v>
      </c>
      <c r="AS2" s="351"/>
      <c r="AT2" s="352"/>
      <c r="AU2" s="344" t="s">
        <v>111</v>
      </c>
      <c r="AV2" s="345"/>
      <c r="AW2" s="345"/>
      <c r="AX2" s="345"/>
      <c r="AY2" s="345"/>
      <c r="AZ2" s="345"/>
      <c r="BA2" s="346"/>
      <c r="BB2" s="344" t="s">
        <v>98</v>
      </c>
      <c r="BC2" s="345"/>
      <c r="BD2" s="345"/>
      <c r="BE2" s="345"/>
      <c r="BF2" s="345"/>
      <c r="BG2" s="345"/>
      <c r="BH2" s="346"/>
      <c r="BI2" s="344" t="s">
        <v>98</v>
      </c>
      <c r="BJ2" s="345"/>
      <c r="BK2" s="345"/>
      <c r="BL2" s="345"/>
      <c r="BM2" s="345"/>
      <c r="BN2" s="345"/>
      <c r="BO2" s="346"/>
      <c r="BP2" s="344"/>
      <c r="BQ2" s="345"/>
      <c r="BR2" s="345"/>
      <c r="BS2" s="345"/>
      <c r="BT2" s="345"/>
      <c r="BU2" s="345"/>
      <c r="BV2" s="346"/>
      <c r="BW2" s="344"/>
      <c r="BX2" s="345"/>
      <c r="BY2" s="345"/>
      <c r="BZ2" s="345"/>
      <c r="CA2" s="345"/>
      <c r="CB2" s="345"/>
      <c r="CC2" s="346"/>
      <c r="CD2" s="344"/>
      <c r="CE2" s="345"/>
      <c r="CF2" s="345"/>
      <c r="CG2" s="345"/>
      <c r="CH2" s="345"/>
      <c r="CI2" s="345"/>
      <c r="CJ2" s="346"/>
      <c r="CK2" s="344"/>
      <c r="CL2" s="345"/>
      <c r="CM2" s="345"/>
      <c r="CN2" s="345"/>
      <c r="CO2" s="345"/>
      <c r="CP2" s="345"/>
      <c r="CQ2" s="346"/>
      <c r="CR2" s="344"/>
      <c r="CS2" s="345"/>
      <c r="CT2" s="345"/>
      <c r="CU2" s="345"/>
      <c r="CV2" s="345"/>
      <c r="CW2" s="345"/>
      <c r="CX2" s="346"/>
      <c r="CY2" s="344"/>
      <c r="CZ2" s="345"/>
      <c r="DA2" s="345"/>
      <c r="DB2" s="345"/>
      <c r="DC2" s="345"/>
      <c r="DD2" s="345"/>
      <c r="DE2" s="346"/>
      <c r="DF2" s="341"/>
      <c r="DG2" s="342"/>
      <c r="DH2" s="342"/>
      <c r="DI2" s="342"/>
      <c r="DJ2" s="342"/>
      <c r="DK2" s="342"/>
      <c r="DL2" s="343"/>
      <c r="DM2" s="341"/>
      <c r="DN2" s="342"/>
      <c r="DO2" s="342"/>
      <c r="DP2" s="342"/>
      <c r="DQ2" s="342"/>
      <c r="DR2" s="342"/>
      <c r="DS2" s="343"/>
      <c r="DT2" s="341"/>
      <c r="DU2" s="342"/>
      <c r="DV2" s="342"/>
      <c r="DW2" s="342"/>
      <c r="DX2" s="342"/>
      <c r="DY2" s="342"/>
      <c r="DZ2" s="343"/>
      <c r="EA2" s="355"/>
      <c r="EB2" s="356"/>
      <c r="EC2" s="356"/>
      <c r="ED2" s="356"/>
      <c r="EE2" s="356"/>
      <c r="EF2" s="356"/>
      <c r="EG2" s="357"/>
      <c r="EH2" s="355"/>
      <c r="EI2" s="356"/>
      <c r="EJ2" s="356"/>
      <c r="EK2" s="356"/>
      <c r="EL2" s="356"/>
      <c r="EM2" s="356"/>
      <c r="EN2" s="357"/>
      <c r="EO2" s="355"/>
      <c r="EP2" s="356"/>
      <c r="EQ2" s="356"/>
      <c r="ER2" s="356"/>
      <c r="ES2" s="356"/>
      <c r="ET2" s="356"/>
      <c r="EU2" s="357"/>
      <c r="EV2" s="10"/>
    </row>
    <row r="3" spans="1:152" s="11" customFormat="1" x14ac:dyDescent="0.3">
      <c r="A3" s="15"/>
      <c r="B3" s="2" t="s">
        <v>18</v>
      </c>
      <c r="C3" s="2"/>
      <c r="D3" s="2"/>
      <c r="E3" s="4"/>
      <c r="F3" s="5"/>
      <c r="G3" s="6"/>
      <c r="H3" s="16"/>
      <c r="I3" s="8"/>
      <c r="J3" s="8"/>
      <c r="K3" s="17"/>
      <c r="L3" s="9"/>
      <c r="M3" s="9"/>
      <c r="N3" s="9"/>
      <c r="O3" s="9"/>
      <c r="P3" s="9"/>
      <c r="Q3" s="9"/>
      <c r="R3" s="18"/>
      <c r="S3" s="46"/>
      <c r="T3" s="20">
        <v>95.6</v>
      </c>
      <c r="U3" s="6"/>
      <c r="V3" s="16">
        <v>100</v>
      </c>
      <c r="W3" s="16"/>
      <c r="X3" s="8">
        <v>102.7</v>
      </c>
      <c r="Y3" s="21">
        <v>105.9</v>
      </c>
      <c r="Z3" s="22"/>
      <c r="AA3" s="20">
        <v>100.7</v>
      </c>
      <c r="AB3" s="6"/>
      <c r="AC3" s="16">
        <v>104.9</v>
      </c>
      <c r="AD3" s="16"/>
      <c r="AE3" s="8">
        <v>108.1</v>
      </c>
      <c r="AF3" s="21">
        <v>112.7</v>
      </c>
      <c r="AG3" s="22"/>
      <c r="AH3" s="20">
        <v>100.7</v>
      </c>
      <c r="AI3" s="6"/>
      <c r="AJ3" s="16">
        <v>104.9</v>
      </c>
      <c r="AK3" s="16"/>
      <c r="AL3" s="8">
        <v>108.1</v>
      </c>
      <c r="AM3" s="21">
        <v>112.7</v>
      </c>
      <c r="AN3" s="22"/>
      <c r="AO3" s="336"/>
      <c r="AP3" s="335"/>
      <c r="AQ3" s="337"/>
      <c r="AR3" s="336"/>
      <c r="AS3" s="335"/>
      <c r="AT3" s="337"/>
      <c r="AU3" s="347"/>
      <c r="AV3" s="348"/>
      <c r="AW3" s="348"/>
      <c r="AX3" s="348"/>
      <c r="AY3" s="348"/>
      <c r="AZ3" s="348"/>
      <c r="BA3" s="348"/>
      <c r="BB3" s="347"/>
      <c r="BC3" s="348"/>
      <c r="BD3" s="348"/>
      <c r="BE3" s="348"/>
      <c r="BF3" s="348"/>
      <c r="BG3" s="348"/>
      <c r="BH3" s="348"/>
      <c r="BI3" s="347" t="s">
        <v>71</v>
      </c>
      <c r="BJ3" s="348"/>
      <c r="BK3" s="348"/>
      <c r="BL3" s="348"/>
      <c r="BM3" s="348"/>
      <c r="BN3" s="348"/>
      <c r="BO3" s="348"/>
      <c r="BP3" s="347"/>
      <c r="BQ3" s="348"/>
      <c r="BR3" s="348"/>
      <c r="BS3" s="348"/>
      <c r="BT3" s="348"/>
      <c r="BU3" s="348"/>
      <c r="BV3" s="348"/>
      <c r="BW3" s="347"/>
      <c r="BX3" s="348"/>
      <c r="BY3" s="348"/>
      <c r="BZ3" s="348"/>
      <c r="CA3" s="348"/>
      <c r="CB3" s="348"/>
      <c r="CC3" s="348"/>
      <c r="CD3" s="347"/>
      <c r="CE3" s="348"/>
      <c r="CF3" s="348"/>
      <c r="CG3" s="348"/>
      <c r="CH3" s="348"/>
      <c r="CI3" s="348"/>
      <c r="CJ3" s="348"/>
      <c r="CK3" s="347"/>
      <c r="CL3" s="348"/>
      <c r="CM3" s="348"/>
      <c r="CN3" s="348"/>
      <c r="CO3" s="348"/>
      <c r="CP3" s="348"/>
      <c r="CQ3" s="348"/>
      <c r="CR3" s="347"/>
      <c r="CS3" s="348"/>
      <c r="CT3" s="348"/>
      <c r="CU3" s="348"/>
      <c r="CV3" s="348"/>
      <c r="CW3" s="348"/>
      <c r="CX3" s="348"/>
      <c r="CY3" s="347"/>
      <c r="CZ3" s="348"/>
      <c r="DA3" s="348"/>
      <c r="DB3" s="348"/>
      <c r="DC3" s="348"/>
      <c r="DD3" s="348"/>
      <c r="DE3" s="348"/>
      <c r="DF3" s="347"/>
      <c r="DG3" s="348"/>
      <c r="DH3" s="348"/>
      <c r="DI3" s="348"/>
      <c r="DJ3" s="348"/>
      <c r="DK3" s="348"/>
      <c r="DL3" s="349"/>
      <c r="DM3" s="347"/>
      <c r="DN3" s="348"/>
      <c r="DO3" s="348"/>
      <c r="DP3" s="348"/>
      <c r="DQ3" s="348"/>
      <c r="DR3" s="348"/>
      <c r="DS3" s="349"/>
      <c r="DT3" s="347"/>
      <c r="DU3" s="348"/>
      <c r="DV3" s="348"/>
      <c r="DW3" s="348"/>
      <c r="DX3" s="348"/>
      <c r="DY3" s="348"/>
      <c r="DZ3" s="349"/>
      <c r="EA3" s="353"/>
      <c r="EB3" s="354"/>
      <c r="EC3" s="354"/>
      <c r="ED3" s="354"/>
      <c r="EE3" s="354"/>
      <c r="EF3" s="354"/>
      <c r="EG3" s="354"/>
      <c r="EH3" s="353"/>
      <c r="EI3" s="354"/>
      <c r="EJ3" s="354"/>
      <c r="EK3" s="354"/>
      <c r="EL3" s="354"/>
      <c r="EM3" s="354"/>
      <c r="EN3" s="360"/>
      <c r="EO3" s="353"/>
      <c r="EP3" s="354"/>
      <c r="EQ3" s="354"/>
      <c r="ER3" s="354"/>
      <c r="ES3" s="354"/>
      <c r="ET3" s="354"/>
      <c r="EU3" s="360"/>
      <c r="EV3" s="10"/>
    </row>
    <row r="4" spans="1:152" s="11" customFormat="1" x14ac:dyDescent="0.3">
      <c r="A4" s="15"/>
      <c r="B4" s="2" t="s">
        <v>22</v>
      </c>
      <c r="C4" s="2"/>
      <c r="D4" s="15" t="s">
        <v>42</v>
      </c>
      <c r="E4" s="17" t="s">
        <v>8</v>
      </c>
      <c r="F4" s="23" t="s">
        <v>44</v>
      </c>
      <c r="G4" s="6" t="s">
        <v>34</v>
      </c>
      <c r="H4" s="16" t="s">
        <v>9</v>
      </c>
      <c r="I4" s="8" t="s">
        <v>14</v>
      </c>
      <c r="J4" s="21" t="s">
        <v>41</v>
      </c>
      <c r="K4" s="17" t="s">
        <v>4</v>
      </c>
      <c r="L4" s="88" t="s">
        <v>119</v>
      </c>
      <c r="M4" s="9" t="s">
        <v>4</v>
      </c>
      <c r="N4" s="88" t="s">
        <v>119</v>
      </c>
      <c r="O4" s="9" t="s">
        <v>4</v>
      </c>
      <c r="P4" s="88" t="s">
        <v>119</v>
      </c>
      <c r="Q4" s="9" t="s">
        <v>4</v>
      </c>
      <c r="R4" s="88" t="s">
        <v>119</v>
      </c>
      <c r="S4" s="46" t="s">
        <v>4</v>
      </c>
      <c r="T4" s="20" t="s">
        <v>34</v>
      </c>
      <c r="U4" s="6"/>
      <c r="V4" s="16" t="s">
        <v>9</v>
      </c>
      <c r="W4" s="16"/>
      <c r="X4" s="8" t="s">
        <v>14</v>
      </c>
      <c r="Y4" s="21" t="s">
        <v>41</v>
      </c>
      <c r="Z4" s="22"/>
      <c r="AA4" s="20" t="s">
        <v>34</v>
      </c>
      <c r="AB4" s="6"/>
      <c r="AC4" s="16" t="s">
        <v>9</v>
      </c>
      <c r="AD4" s="16"/>
      <c r="AE4" s="8" t="s">
        <v>14</v>
      </c>
      <c r="AF4" s="21" t="s">
        <v>41</v>
      </c>
      <c r="AG4" s="22"/>
      <c r="AH4" s="20" t="s">
        <v>34</v>
      </c>
      <c r="AI4" s="6"/>
      <c r="AJ4" s="16" t="s">
        <v>9</v>
      </c>
      <c r="AK4" s="16"/>
      <c r="AL4" s="8" t="s">
        <v>14</v>
      </c>
      <c r="AM4" s="21" t="s">
        <v>41</v>
      </c>
      <c r="AN4" s="22"/>
      <c r="AO4" s="336" t="s">
        <v>4</v>
      </c>
      <c r="AP4" s="335" t="s">
        <v>4</v>
      </c>
      <c r="AQ4" s="337" t="s">
        <v>4</v>
      </c>
      <c r="AR4" s="336" t="s">
        <v>4</v>
      </c>
      <c r="AS4" s="335" t="s">
        <v>4</v>
      </c>
      <c r="AT4" s="337" t="s">
        <v>4</v>
      </c>
      <c r="AU4" s="271"/>
      <c r="AV4" s="272"/>
      <c r="AW4" s="272"/>
      <c r="AX4" s="272"/>
      <c r="AY4" s="272"/>
      <c r="AZ4" s="272"/>
      <c r="BA4" s="272"/>
      <c r="BB4" s="271"/>
      <c r="BC4" s="272"/>
      <c r="BD4" s="272"/>
      <c r="BE4" s="272"/>
      <c r="BF4" s="272"/>
      <c r="BG4" s="272"/>
      <c r="BH4" s="272"/>
      <c r="BI4" s="271"/>
      <c r="BJ4" s="272"/>
      <c r="BK4" s="272"/>
      <c r="BL4" s="272"/>
      <c r="BM4" s="272"/>
      <c r="BN4" s="272"/>
      <c r="BO4" s="272"/>
      <c r="BP4" s="24"/>
      <c r="BQ4" s="25"/>
      <c r="BR4" s="25"/>
      <c r="BS4" s="25"/>
      <c r="BT4" s="25"/>
      <c r="BU4" s="25"/>
      <c r="BV4" s="25"/>
      <c r="BW4" s="24"/>
      <c r="BX4" s="25"/>
      <c r="BY4" s="25"/>
      <c r="BZ4" s="25"/>
      <c r="CA4" s="25"/>
      <c r="CB4" s="25"/>
      <c r="CC4" s="25"/>
      <c r="CD4" s="24"/>
      <c r="CE4" s="25"/>
      <c r="CF4" s="25"/>
      <c r="CG4" s="25"/>
      <c r="CH4" s="25"/>
      <c r="CI4" s="25"/>
      <c r="CJ4" s="25"/>
      <c r="CK4" s="24"/>
      <c r="CL4" s="25"/>
      <c r="CM4" s="25"/>
      <c r="CN4" s="25"/>
      <c r="CO4" s="25"/>
      <c r="CP4" s="25"/>
      <c r="CQ4" s="25"/>
      <c r="CR4" s="24"/>
      <c r="CS4" s="25"/>
      <c r="CT4" s="25"/>
      <c r="CU4" s="25"/>
      <c r="CV4" s="25"/>
      <c r="CW4" s="25"/>
      <c r="CX4" s="25"/>
      <c r="CY4" s="24"/>
      <c r="CZ4" s="25"/>
      <c r="DA4" s="25"/>
      <c r="DB4" s="25"/>
      <c r="DC4" s="25"/>
      <c r="DD4" s="25"/>
      <c r="DE4" s="25"/>
      <c r="DF4" s="26"/>
      <c r="DG4" s="27"/>
      <c r="DH4" s="27"/>
      <c r="DI4" s="27"/>
      <c r="DJ4" s="27"/>
      <c r="DK4" s="27"/>
      <c r="DL4" s="28"/>
      <c r="DM4" s="26"/>
      <c r="DN4" s="27"/>
      <c r="DO4" s="27"/>
      <c r="DP4" s="27"/>
      <c r="DQ4" s="27"/>
      <c r="DR4" s="27"/>
      <c r="DS4" s="28"/>
      <c r="DT4" s="26"/>
      <c r="DU4" s="27"/>
      <c r="DV4" s="27"/>
      <c r="DW4" s="27"/>
      <c r="DX4" s="27"/>
      <c r="DY4" s="27"/>
      <c r="DZ4" s="28"/>
      <c r="EA4" s="29"/>
      <c r="EB4" s="9"/>
      <c r="EC4" s="30"/>
      <c r="ED4" s="9"/>
      <c r="EE4" s="9"/>
      <c r="EF4" s="31"/>
      <c r="EG4" s="9"/>
      <c r="EH4" s="10"/>
      <c r="EI4" s="32"/>
      <c r="EJ4" s="33"/>
      <c r="EK4" s="32"/>
      <c r="EL4" s="32"/>
      <c r="EM4" s="33"/>
      <c r="EN4" s="34"/>
      <c r="EO4" s="10"/>
      <c r="EP4" s="32"/>
      <c r="EQ4" s="33"/>
      <c r="ER4" s="32"/>
      <c r="ES4" s="32"/>
      <c r="ET4" s="33"/>
      <c r="EU4" s="34"/>
      <c r="EV4" s="10"/>
    </row>
    <row r="5" spans="1:152" s="11" customFormat="1" x14ac:dyDescent="0.3">
      <c r="A5" s="15"/>
      <c r="B5" s="35" t="str">
        <f>+A1</f>
        <v>JULY 2017</v>
      </c>
      <c r="C5" s="36" t="s">
        <v>23</v>
      </c>
      <c r="D5" s="36" t="s">
        <v>43</v>
      </c>
      <c r="E5" s="17" t="s">
        <v>7</v>
      </c>
      <c r="F5" s="37">
        <v>20.8</v>
      </c>
      <c r="G5" s="6" t="s">
        <v>13</v>
      </c>
      <c r="H5" s="16" t="s">
        <v>13</v>
      </c>
      <c r="I5" s="8" t="s">
        <v>13</v>
      </c>
      <c r="J5" s="38" t="s">
        <v>13</v>
      </c>
      <c r="K5" s="17" t="s">
        <v>2</v>
      </c>
      <c r="L5" s="89" t="s">
        <v>120</v>
      </c>
      <c r="M5" s="9" t="s">
        <v>5</v>
      </c>
      <c r="N5" s="89" t="s">
        <v>120</v>
      </c>
      <c r="O5" s="9" t="s">
        <v>6</v>
      </c>
      <c r="P5" s="89" t="s">
        <v>120</v>
      </c>
      <c r="Q5" s="9" t="s">
        <v>3</v>
      </c>
      <c r="R5" s="89" t="s">
        <v>120</v>
      </c>
      <c r="S5" s="46" t="s">
        <v>15</v>
      </c>
      <c r="T5" s="268" t="s">
        <v>5</v>
      </c>
      <c r="U5" s="269" t="s">
        <v>48</v>
      </c>
      <c r="V5" s="269" t="s">
        <v>6</v>
      </c>
      <c r="W5" s="269" t="s">
        <v>49</v>
      </c>
      <c r="X5" s="269" t="s">
        <v>2</v>
      </c>
      <c r="Y5" s="269" t="s">
        <v>3</v>
      </c>
      <c r="Z5" s="270" t="s">
        <v>50</v>
      </c>
      <c r="AA5" s="268" t="s">
        <v>5</v>
      </c>
      <c r="AB5" s="269" t="s">
        <v>48</v>
      </c>
      <c r="AC5" s="269" t="s">
        <v>6</v>
      </c>
      <c r="AD5" s="269" t="s">
        <v>49</v>
      </c>
      <c r="AE5" s="269" t="s">
        <v>2</v>
      </c>
      <c r="AF5" s="269" t="s">
        <v>3</v>
      </c>
      <c r="AG5" s="270" t="s">
        <v>50</v>
      </c>
      <c r="AH5" s="17" t="s">
        <v>5</v>
      </c>
      <c r="AI5" s="9" t="s">
        <v>48</v>
      </c>
      <c r="AJ5" s="9" t="s">
        <v>6</v>
      </c>
      <c r="AK5" s="9" t="s">
        <v>49</v>
      </c>
      <c r="AL5" s="9" t="s">
        <v>2</v>
      </c>
      <c r="AM5" s="9" t="s">
        <v>3</v>
      </c>
      <c r="AN5" s="18" t="s">
        <v>50</v>
      </c>
      <c r="AO5" s="336" t="s">
        <v>5</v>
      </c>
      <c r="AP5" s="335" t="s">
        <v>6</v>
      </c>
      <c r="AQ5" s="337" t="s">
        <v>3</v>
      </c>
      <c r="AR5" s="336" t="s">
        <v>5</v>
      </c>
      <c r="AS5" s="335" t="s">
        <v>6</v>
      </c>
      <c r="AT5" s="337" t="s">
        <v>3</v>
      </c>
      <c r="AU5" s="271" t="s">
        <v>0</v>
      </c>
      <c r="AV5" s="272" t="s">
        <v>51</v>
      </c>
      <c r="AW5" s="272" t="s">
        <v>1</v>
      </c>
      <c r="AX5" s="272" t="s">
        <v>49</v>
      </c>
      <c r="AY5" s="272" t="s">
        <v>2</v>
      </c>
      <c r="AZ5" s="272" t="s">
        <v>3</v>
      </c>
      <c r="BA5" s="272" t="s">
        <v>50</v>
      </c>
      <c r="BB5" s="271" t="s">
        <v>0</v>
      </c>
      <c r="BC5" s="272" t="s">
        <v>51</v>
      </c>
      <c r="BD5" s="272" t="s">
        <v>1</v>
      </c>
      <c r="BE5" s="272" t="s">
        <v>49</v>
      </c>
      <c r="BF5" s="272" t="s">
        <v>2</v>
      </c>
      <c r="BG5" s="272" t="s">
        <v>3</v>
      </c>
      <c r="BH5" s="272" t="s">
        <v>50</v>
      </c>
      <c r="BI5" s="271" t="s">
        <v>0</v>
      </c>
      <c r="BJ5" s="272" t="s">
        <v>51</v>
      </c>
      <c r="BK5" s="272" t="s">
        <v>1</v>
      </c>
      <c r="BL5" s="272" t="s">
        <v>49</v>
      </c>
      <c r="BM5" s="272" t="s">
        <v>2</v>
      </c>
      <c r="BN5" s="272" t="s">
        <v>3</v>
      </c>
      <c r="BO5" s="272" t="s">
        <v>50</v>
      </c>
      <c r="BP5" s="24" t="s">
        <v>0</v>
      </c>
      <c r="BQ5" s="25" t="s">
        <v>51</v>
      </c>
      <c r="BR5" s="25" t="s">
        <v>1</v>
      </c>
      <c r="BS5" s="25" t="s">
        <v>49</v>
      </c>
      <c r="BT5" s="25" t="s">
        <v>2</v>
      </c>
      <c r="BU5" s="25" t="s">
        <v>3</v>
      </c>
      <c r="BV5" s="25" t="s">
        <v>50</v>
      </c>
      <c r="BW5" s="24" t="s">
        <v>0</v>
      </c>
      <c r="BX5" s="25" t="s">
        <v>51</v>
      </c>
      <c r="BY5" s="25" t="s">
        <v>1</v>
      </c>
      <c r="BZ5" s="25" t="s">
        <v>49</v>
      </c>
      <c r="CA5" s="25" t="s">
        <v>2</v>
      </c>
      <c r="CB5" s="25" t="s">
        <v>3</v>
      </c>
      <c r="CC5" s="25" t="s">
        <v>50</v>
      </c>
      <c r="CD5" s="24" t="s">
        <v>0</v>
      </c>
      <c r="CE5" s="25" t="s">
        <v>51</v>
      </c>
      <c r="CF5" s="25" t="s">
        <v>1</v>
      </c>
      <c r="CG5" s="25" t="s">
        <v>49</v>
      </c>
      <c r="CH5" s="25" t="s">
        <v>2</v>
      </c>
      <c r="CI5" s="25" t="s">
        <v>3</v>
      </c>
      <c r="CJ5" s="25" t="s">
        <v>50</v>
      </c>
      <c r="CK5" s="24" t="s">
        <v>0</v>
      </c>
      <c r="CL5" s="25" t="s">
        <v>51</v>
      </c>
      <c r="CM5" s="25" t="s">
        <v>1</v>
      </c>
      <c r="CN5" s="25" t="s">
        <v>49</v>
      </c>
      <c r="CO5" s="25" t="s">
        <v>2</v>
      </c>
      <c r="CP5" s="25" t="s">
        <v>3</v>
      </c>
      <c r="CQ5" s="25" t="s">
        <v>50</v>
      </c>
      <c r="CR5" s="24" t="s">
        <v>0</v>
      </c>
      <c r="CS5" s="25" t="s">
        <v>51</v>
      </c>
      <c r="CT5" s="25" t="s">
        <v>1</v>
      </c>
      <c r="CU5" s="25" t="s">
        <v>49</v>
      </c>
      <c r="CV5" s="25" t="s">
        <v>2</v>
      </c>
      <c r="CW5" s="25" t="s">
        <v>3</v>
      </c>
      <c r="CX5" s="25" t="s">
        <v>50</v>
      </c>
      <c r="CY5" s="24" t="s">
        <v>0</v>
      </c>
      <c r="CZ5" s="25" t="s">
        <v>51</v>
      </c>
      <c r="DA5" s="25" t="s">
        <v>1</v>
      </c>
      <c r="DB5" s="25" t="s">
        <v>49</v>
      </c>
      <c r="DC5" s="25" t="s">
        <v>2</v>
      </c>
      <c r="DD5" s="25" t="s">
        <v>3</v>
      </c>
      <c r="DE5" s="25" t="s">
        <v>50</v>
      </c>
      <c r="DF5" s="24" t="s">
        <v>0</v>
      </c>
      <c r="DG5" s="25" t="s">
        <v>51</v>
      </c>
      <c r="DH5" s="25" t="s">
        <v>1</v>
      </c>
      <c r="DI5" s="25" t="s">
        <v>49</v>
      </c>
      <c r="DJ5" s="25" t="s">
        <v>2</v>
      </c>
      <c r="DK5" s="25" t="s">
        <v>3</v>
      </c>
      <c r="DL5" s="39" t="s">
        <v>50</v>
      </c>
      <c r="DM5" s="24" t="s">
        <v>0</v>
      </c>
      <c r="DN5" s="25" t="s">
        <v>51</v>
      </c>
      <c r="DO5" s="25" t="s">
        <v>1</v>
      </c>
      <c r="DP5" s="25" t="s">
        <v>49</v>
      </c>
      <c r="DQ5" s="25" t="s">
        <v>2</v>
      </c>
      <c r="DR5" s="25" t="s">
        <v>3</v>
      </c>
      <c r="DS5" s="39" t="s">
        <v>50</v>
      </c>
      <c r="DT5" s="24" t="s">
        <v>0</v>
      </c>
      <c r="DU5" s="25" t="s">
        <v>51</v>
      </c>
      <c r="DV5" s="25" t="s">
        <v>1</v>
      </c>
      <c r="DW5" s="25" t="s">
        <v>49</v>
      </c>
      <c r="DX5" s="25" t="s">
        <v>2</v>
      </c>
      <c r="DY5" s="25" t="s">
        <v>3</v>
      </c>
      <c r="DZ5" s="39" t="s">
        <v>50</v>
      </c>
      <c r="EA5" s="29" t="s">
        <v>0</v>
      </c>
      <c r="EB5" s="9" t="s">
        <v>51</v>
      </c>
      <c r="EC5" s="30" t="s">
        <v>1</v>
      </c>
      <c r="ED5" s="9" t="s">
        <v>49</v>
      </c>
      <c r="EE5" s="9" t="s">
        <v>2</v>
      </c>
      <c r="EF5" s="30" t="s">
        <v>3</v>
      </c>
      <c r="EG5" s="9" t="s">
        <v>50</v>
      </c>
      <c r="EH5" s="29" t="s">
        <v>0</v>
      </c>
      <c r="EI5" s="9" t="s">
        <v>51</v>
      </c>
      <c r="EJ5" s="30" t="s">
        <v>1</v>
      </c>
      <c r="EK5" s="9" t="s">
        <v>49</v>
      </c>
      <c r="EL5" s="9" t="s">
        <v>2</v>
      </c>
      <c r="EM5" s="30" t="s">
        <v>3</v>
      </c>
      <c r="EN5" s="18" t="s">
        <v>50</v>
      </c>
      <c r="EO5" s="29" t="s">
        <v>0</v>
      </c>
      <c r="EP5" s="9" t="s">
        <v>51</v>
      </c>
      <c r="EQ5" s="30" t="s">
        <v>1</v>
      </c>
      <c r="ER5" s="9" t="s">
        <v>49</v>
      </c>
      <c r="ES5" s="9" t="s">
        <v>2</v>
      </c>
      <c r="ET5" s="30" t="s">
        <v>3</v>
      </c>
      <c r="EU5" s="18" t="s">
        <v>50</v>
      </c>
      <c r="EV5" s="10"/>
    </row>
    <row r="6" spans="1:152" s="11" customFormat="1" x14ac:dyDescent="0.3">
      <c r="A6" s="15"/>
      <c r="C6" s="15"/>
      <c r="D6" s="15"/>
      <c r="E6" s="17"/>
      <c r="F6" s="9"/>
      <c r="G6" s="6"/>
      <c r="H6" s="16"/>
      <c r="I6" s="8"/>
      <c r="J6" s="38"/>
      <c r="K6" s="17"/>
      <c r="L6" s="25"/>
      <c r="M6" s="9"/>
      <c r="N6" s="25"/>
      <c r="O6" s="25"/>
      <c r="P6" s="25"/>
      <c r="Q6" s="25"/>
      <c r="R6" s="25"/>
      <c r="S6" s="46"/>
      <c r="T6" s="268"/>
      <c r="U6" s="269"/>
      <c r="V6" s="269"/>
      <c r="W6" s="269"/>
      <c r="X6" s="269"/>
      <c r="Y6" s="269"/>
      <c r="Z6" s="270"/>
      <c r="AA6" s="268"/>
      <c r="AB6" s="269"/>
      <c r="AC6" s="269"/>
      <c r="AD6" s="269"/>
      <c r="AE6" s="269"/>
      <c r="AF6" s="269"/>
      <c r="AG6" s="270"/>
      <c r="AH6" s="17"/>
      <c r="AI6" s="9"/>
      <c r="AJ6" s="9"/>
      <c r="AK6" s="9"/>
      <c r="AL6" s="9"/>
      <c r="AM6" s="9"/>
      <c r="AN6" s="18"/>
      <c r="AO6" s="336"/>
      <c r="AP6" s="335"/>
      <c r="AQ6" s="337"/>
      <c r="AR6" s="336"/>
      <c r="AS6" s="335"/>
      <c r="AT6" s="337"/>
      <c r="AU6" s="271"/>
      <c r="AV6" s="272"/>
      <c r="AW6" s="272"/>
      <c r="AX6" s="272"/>
      <c r="AY6" s="272"/>
      <c r="AZ6" s="272"/>
      <c r="BA6" s="272"/>
      <c r="BB6" s="271"/>
      <c r="BC6" s="272"/>
      <c r="BD6" s="272"/>
      <c r="BE6" s="272"/>
      <c r="BF6" s="272"/>
      <c r="BG6" s="272"/>
      <c r="BH6" s="272"/>
      <c r="BI6" s="271"/>
      <c r="BJ6" s="272"/>
      <c r="BK6" s="272"/>
      <c r="BL6" s="272"/>
      <c r="BM6" s="272"/>
      <c r="BN6" s="272"/>
      <c r="BO6" s="272"/>
      <c r="BP6" s="24"/>
      <c r="BQ6" s="25"/>
      <c r="BR6" s="25"/>
      <c r="BS6" s="25"/>
      <c r="BT6" s="25"/>
      <c r="BU6" s="25"/>
      <c r="BV6" s="25"/>
      <c r="BW6" s="24"/>
      <c r="BX6" s="25"/>
      <c r="BY6" s="25"/>
      <c r="BZ6" s="25"/>
      <c r="CA6" s="25"/>
      <c r="CB6" s="25"/>
      <c r="CC6" s="25"/>
      <c r="CD6" s="24"/>
      <c r="CE6" s="25"/>
      <c r="CF6" s="25"/>
      <c r="CG6" s="25"/>
      <c r="CH6" s="25"/>
      <c r="CI6" s="25"/>
      <c r="CJ6" s="25"/>
      <c r="CK6" s="24"/>
      <c r="CL6" s="25"/>
      <c r="CM6" s="25"/>
      <c r="CN6" s="25"/>
      <c r="CO6" s="25"/>
      <c r="CP6" s="25"/>
      <c r="CQ6" s="25"/>
      <c r="CR6" s="24"/>
      <c r="CS6" s="25"/>
      <c r="CT6" s="25"/>
      <c r="CU6" s="25"/>
      <c r="CV6" s="25"/>
      <c r="CW6" s="25"/>
      <c r="CX6" s="25"/>
      <c r="CY6" s="24"/>
      <c r="CZ6" s="25"/>
      <c r="DA6" s="25"/>
      <c r="DB6" s="25"/>
      <c r="DC6" s="25"/>
      <c r="DD6" s="25"/>
      <c r="DE6" s="25"/>
      <c r="DF6" s="26"/>
      <c r="DG6" s="27"/>
      <c r="DH6" s="27"/>
      <c r="DI6" s="27"/>
      <c r="DJ6" s="27"/>
      <c r="DK6" s="27"/>
      <c r="DL6" s="28"/>
      <c r="DM6" s="26"/>
      <c r="DN6" s="27"/>
      <c r="DO6" s="27"/>
      <c r="DP6" s="27"/>
      <c r="DQ6" s="27"/>
      <c r="DR6" s="27"/>
      <c r="DS6" s="28"/>
      <c r="DT6" s="26"/>
      <c r="DU6" s="27"/>
      <c r="DV6" s="27"/>
      <c r="DW6" s="27"/>
      <c r="DX6" s="27"/>
      <c r="DY6" s="27"/>
      <c r="DZ6" s="28"/>
      <c r="EA6" s="29"/>
      <c r="EB6" s="9"/>
      <c r="EC6" s="30"/>
      <c r="ED6" s="9"/>
      <c r="EE6" s="9"/>
      <c r="EF6" s="31"/>
      <c r="EG6" s="9"/>
      <c r="EH6" s="10"/>
      <c r="EI6" s="32"/>
      <c r="EJ6" s="33"/>
      <c r="EK6" s="32"/>
      <c r="EL6" s="32"/>
      <c r="EM6" s="33"/>
      <c r="EN6" s="34"/>
      <c r="EO6" s="10"/>
      <c r="EP6" s="32"/>
      <c r="EQ6" s="33"/>
      <c r="ER6" s="32"/>
      <c r="ES6" s="32"/>
      <c r="ET6" s="33"/>
      <c r="EU6" s="34"/>
      <c r="EV6" s="10"/>
    </row>
    <row r="7" spans="1:152" s="11" customFormat="1" x14ac:dyDescent="0.3">
      <c r="A7" s="15">
        <v>1</v>
      </c>
      <c r="B7" s="59" t="s">
        <v>104</v>
      </c>
      <c r="C7" s="60" t="s">
        <v>24</v>
      </c>
      <c r="D7" s="15">
        <v>2004</v>
      </c>
      <c r="E7" s="40">
        <f t="shared" ref="E7:E25" si="0">IF(S7="",SUM(K7:R7),SUM(K7:R7)+S7)</f>
        <v>274.28199999999998</v>
      </c>
      <c r="F7" s="41" t="s">
        <v>45</v>
      </c>
      <c r="G7" s="42" t="str">
        <f>IF('TRA-M'!$A$2-D7&lt;=1,IF(X7&gt;=$T$3,"YES",IF(AE7&gt;=$AA$3,"YES",IF(AL7&gt;=$AH$3,"YES",""))),"")</f>
        <v/>
      </c>
      <c r="H7" s="43" t="str">
        <f t="shared" ref="H7:H25" si="1">IF(X7&gt;=$V$3,IF(F7="YES","YES",""),IF(AE7&gt;=$AC$3,IF(F7="YES","YES",""),IF(AL7&gt;=$AJ$3,IF(F7="YES","YES",""),"")))</f>
        <v>YES</v>
      </c>
      <c r="I7" s="44" t="str">
        <f t="shared" ref="I7:I25" si="2">IF(X7&gt;=$X$3,IF(F7="YES","YES",""),IF(AE7&gt;=$AE$3,IF(F7="YES","YES",""),IF(AL7&gt;=$AL$3,IF(F7="YES","YES",""),"")))</f>
        <v>YES</v>
      </c>
      <c r="J7" s="45" t="str">
        <f t="shared" ref="J7:J25" si="3">IF(X7&gt;=$Y$3,IF(F7="YES","YES",""),IF(AE7&gt;=$AF$3,IF(F7="YES","YES",""),IF(AL7&gt;=$AM$3,IF(F7="YES","YES",""),"")))</f>
        <v/>
      </c>
      <c r="K7" s="17">
        <f t="shared" ref="K7:K25" si="4">MAX($AL7,$AE7,$X7)</f>
        <v>108.084</v>
      </c>
      <c r="L7" s="25"/>
      <c r="M7" s="9">
        <f t="shared" ref="M7:M25" si="5">IF($K7=$AL7,MAX($AA7+$AB7,$T7+$U7),IF($K7=$AE7,MAX($AH7+$AI7,$T7+$U7),MAX($AH7+$AI7,$AA7+$AB7)))</f>
        <v>47.555</v>
      </c>
      <c r="N7" s="89">
        <v>3</v>
      </c>
      <c r="O7" s="9">
        <f t="shared" ref="O7:O25" si="6">IF($K7=$AL7,MAX($AC7+$AD7,$V7+$W7),IF($K7=$AE7,MAX($AJ7+$AK7,$V7+$W7),MAX($AJ7+$AK7,$AC7+$AD7)))</f>
        <v>56.442999999999998</v>
      </c>
      <c r="P7" s="89">
        <v>1</v>
      </c>
      <c r="Q7" s="9">
        <f t="shared" ref="Q7:Q25" si="7">MAX($AM7+$AN7,$AF7+$AG7,$Y7+$Z7)</f>
        <v>58.2</v>
      </c>
      <c r="R7" s="25"/>
      <c r="S7" s="46" t="str">
        <f>IF(MAX(AO7:AQ7)&lt;=0,"",MAX(AO7:AQ7))</f>
        <v/>
      </c>
      <c r="T7" s="138">
        <v>30.3</v>
      </c>
      <c r="U7" s="89">
        <v>17.254999999999999</v>
      </c>
      <c r="V7" s="89">
        <v>40.15</v>
      </c>
      <c r="W7" s="89">
        <v>16.292999999999999</v>
      </c>
      <c r="X7" s="49">
        <f t="shared" ref="X7:X25" si="8">SUM(T7:W7)</f>
        <v>103.99799999999999</v>
      </c>
      <c r="Y7" s="48">
        <v>40.9</v>
      </c>
      <c r="Z7" s="48">
        <v>16.3</v>
      </c>
      <c r="AA7" s="50">
        <f>30.4+3</f>
        <v>33.4</v>
      </c>
      <c r="AB7" s="48">
        <v>17.260000000000002</v>
      </c>
      <c r="AC7" s="51">
        <f>40.075+1</f>
        <v>41.075000000000003</v>
      </c>
      <c r="AD7" s="48">
        <v>16.349</v>
      </c>
      <c r="AE7" s="49">
        <f t="shared" ref="AE7:AE25" si="9">SUM(AA7:AD7)</f>
        <v>108.084</v>
      </c>
      <c r="AF7" s="51">
        <f>40.9+1</f>
        <v>41.9</v>
      </c>
      <c r="AG7" s="48">
        <v>16.3</v>
      </c>
      <c r="AH7" s="340"/>
      <c r="AI7" s="48"/>
      <c r="AJ7" s="48"/>
      <c r="AK7" s="48"/>
      <c r="AL7" s="49">
        <f t="shared" ref="AL7:AL25" si="10">SUM(AH7:AK7)</f>
        <v>0</v>
      </c>
      <c r="AM7" s="48"/>
      <c r="AN7" s="48"/>
      <c r="AO7" s="336" t="str">
        <f t="shared" ref="AO7:AO25" si="11">IF(AR7="","",AR7-M7)</f>
        <v/>
      </c>
      <c r="AP7" s="335" t="str">
        <f t="shared" ref="AP7:AP25" si="12">IF(AS7="","",AS7-O7)</f>
        <v/>
      </c>
      <c r="AQ7" s="337" t="str">
        <f t="shared" ref="AQ7:AQ25" si="13">IF(AT7="","",AT7-Q7)</f>
        <v/>
      </c>
      <c r="AR7" s="336" t="str">
        <f t="shared" ref="AR7:AR25" si="14">IF(MAX($AU7+$AV7,$BB7+$BC7,$BI7+$BJ7,$BP7+$BQ7,$BW7+$BX7,$CD7+$CE7,$CK7+$CL7,$CR7+$CS7,$CY7+$CZ7,$DF7+$DG7,$DM7+$DN7,$DT7+$DU7,$EA7+$EB7,$EH7+$EI7,$EO7+$EP7)=0,"",MAX($AU7+$AV7,$BB7+$BC7,$BI7+$BJ7,$BP7+$BQ7,$BW7+$BX7,$CD7+$CE7,$CK7+$CL7,$CR7+$CS7,$CY7+$CZ7,$DF7+$DG7,$DM7+$DN7,$DT7+$DU7,$EA7+$EB7,$EH7+$EI7,$EO7+$EP7))</f>
        <v/>
      </c>
      <c r="AS7" s="335" t="str">
        <f t="shared" ref="AS7:AS25" si="15">IF(MAX($AW7+$AX7,$BD7+$BE7,$BK7+$BL7,$BR7+$BS7,$BY7+$BZ7,$CF7+$CG7,$CM7+$CN7,$CT7+$CU7,$DA7+$DB7,$DH7+$DI7,$DO7+$DP7,$DV7+$DW7,$EC7+$ED7,$EJ7+$EK7,$EQ7+$ER7)=0,"",MAX($AW7+$AX7,$BD7+$BE7,$BK7+$BL7,$BR7+$BS7,$BY7+$BZ7,$CF7+$CG7,$CM7+$CN7,$CT7+$CU7,$DA7+$DB7,$DH7+$DI7,$DO7+$DP7,$DV7+$DW7,$EC7+$ED7,$EJ7+$EK7,$EQ7+$ER7))</f>
        <v/>
      </c>
      <c r="AT7" s="337" t="str">
        <f t="shared" ref="AT7:AT25" si="16">IF(MAX($AZ7+$BA7,$BG7+$BH7,$BN7+$BO7,$BU7+$BV7,$CB7+$CC7,$CI7+$CJ7,$CP7+$CQ7,$CW7+$CX7,$DD7+$DE7,$DK7+$DL7,$DR7+$DS7,$DY7+$DZ7,$EF7+$EG7,$EM7+$EN7,$ET7+$EU7)=0,"",MAX($AZ7+$BA7,$BG7+$BH7,$BN7+$BO7,$BU7+$BV7,$CB7+$CC7,$CI7+$CJ7,$CP7+$CQ7,$CW7+$CX7,$DD7+$DE7,$DK7+$DL7,$DR7+$DS7,$DY7+$DZ7,$EF7+$EG7,$EM7+$EN7,$ET7+$EU7))</f>
        <v/>
      </c>
      <c r="AU7" s="271"/>
      <c r="AV7" s="272"/>
      <c r="AW7" s="272"/>
      <c r="AX7" s="272"/>
      <c r="AY7" s="55" t="str">
        <f t="shared" ref="AY7:AY25" si="17">IF(AW7&lt;&gt;"",SUM(AU7:AX7),"")</f>
        <v/>
      </c>
      <c r="AZ7" s="272"/>
      <c r="BA7" s="272"/>
      <c r="BB7" s="271"/>
      <c r="BC7" s="272"/>
      <c r="BD7" s="272"/>
      <c r="BE7" s="272"/>
      <c r="BF7" s="55" t="str">
        <f t="shared" ref="BF7:BF25" si="18">IF(BD7&lt;&gt;"",SUM(BB7:BE7),"")</f>
        <v/>
      </c>
      <c r="BG7" s="272"/>
      <c r="BH7" s="272"/>
      <c r="BI7" s="271"/>
      <c r="BJ7" s="272"/>
      <c r="BK7" s="272"/>
      <c r="BL7" s="272"/>
      <c r="BM7" s="55" t="str">
        <f t="shared" ref="BM7:BM25" si="19">IF(BK7&lt;&gt;"",SUM(BI7:BL7),"")</f>
        <v/>
      </c>
      <c r="BN7" s="272"/>
      <c r="BO7" s="272"/>
      <c r="BP7" s="24"/>
      <c r="BQ7" s="25"/>
      <c r="BR7" s="25"/>
      <c r="BS7" s="25"/>
      <c r="BT7" s="55" t="str">
        <f t="shared" ref="BT7:BT25" si="20">IF(BR7&lt;&gt;"",SUM(BP7:BS7),"")</f>
        <v/>
      </c>
      <c r="BU7" s="25"/>
      <c r="BV7" s="25"/>
      <c r="BW7" s="24"/>
      <c r="BX7" s="25"/>
      <c r="BY7" s="25"/>
      <c r="BZ7" s="25"/>
      <c r="CA7" s="55" t="str">
        <f t="shared" ref="CA7:CA25" si="21">IF(BY7&lt;&gt;"",SUM(BW7:BZ7),"")</f>
        <v/>
      </c>
      <c r="CB7" s="25"/>
      <c r="CC7" s="25"/>
      <c r="CD7" s="24"/>
      <c r="CE7" s="25"/>
      <c r="CF7" s="25"/>
      <c r="CG7" s="25"/>
      <c r="CH7" s="55" t="str">
        <f t="shared" ref="CH7:CH25" si="22">IF(CF7&lt;&gt;"",SUM(CD7:CG7),"")</f>
        <v/>
      </c>
      <c r="CI7" s="25"/>
      <c r="CJ7" s="25"/>
      <c r="CK7" s="24"/>
      <c r="CL7" s="25"/>
      <c r="CM7" s="25"/>
      <c r="CN7" s="25"/>
      <c r="CO7" s="55" t="str">
        <f t="shared" ref="CO7:CO25" si="23">IF(CM7&lt;&gt;"",SUM(CK7:CN7),"")</f>
        <v/>
      </c>
      <c r="CP7" s="25"/>
      <c r="CQ7" s="25"/>
      <c r="CR7" s="24"/>
      <c r="CS7" s="25"/>
      <c r="CT7" s="25"/>
      <c r="CU7" s="25"/>
      <c r="CV7" s="55" t="str">
        <f t="shared" ref="CV7:CV25" si="24">IF(CT7&lt;&gt;"",SUM(CR7:CU7),"")</f>
        <v/>
      </c>
      <c r="CW7" s="25"/>
      <c r="CX7" s="25"/>
      <c r="CY7" s="24"/>
      <c r="CZ7" s="25"/>
      <c r="DA7" s="25"/>
      <c r="DB7" s="25"/>
      <c r="DC7" s="55" t="str">
        <f t="shared" ref="DC7:DC25" si="25">IF(DA7&lt;&gt;"",SUM(CY7:DB7),"")</f>
        <v/>
      </c>
      <c r="DD7" s="25"/>
      <c r="DE7" s="25"/>
      <c r="DF7" s="24"/>
      <c r="DG7" s="25"/>
      <c r="DH7" s="25"/>
      <c r="DI7" s="25"/>
      <c r="DJ7" s="55" t="str">
        <f t="shared" ref="DJ7:DJ25" si="26">IF(DH7&lt;&gt;"",SUM(DF7:DI7),"")</f>
        <v/>
      </c>
      <c r="DK7" s="25"/>
      <c r="DL7" s="39"/>
      <c r="DM7" s="24"/>
      <c r="DN7" s="25"/>
      <c r="DO7" s="25"/>
      <c r="DP7" s="25"/>
      <c r="DQ7" s="55" t="str">
        <f t="shared" ref="DQ7:DQ25" si="27">IF(DO7&lt;&gt;"",SUM(DM7:DP7),"")</f>
        <v/>
      </c>
      <c r="DR7" s="25"/>
      <c r="DS7" s="39"/>
      <c r="DT7" s="24"/>
      <c r="DU7" s="25"/>
      <c r="DV7" s="25"/>
      <c r="DW7" s="25"/>
      <c r="DX7" s="55" t="str">
        <f t="shared" ref="DX7:DX25" si="28">IF(DV7&lt;&gt;"",SUM(DT7:DW7),"")</f>
        <v/>
      </c>
      <c r="DY7" s="25"/>
      <c r="DZ7" s="39"/>
      <c r="EA7" s="56"/>
      <c r="EB7" s="25"/>
      <c r="EC7" s="57"/>
      <c r="ED7" s="25"/>
      <c r="EE7" s="55" t="str">
        <f t="shared" ref="EE7:EE25" si="29">IF(EC7&lt;&gt;"",SUM(EA7:ED7),"")</f>
        <v/>
      </c>
      <c r="EF7" s="57"/>
      <c r="EG7" s="25"/>
      <c r="EH7" s="56"/>
      <c r="EI7" s="25"/>
      <c r="EJ7" s="30"/>
      <c r="EK7" s="9"/>
      <c r="EL7" s="55" t="str">
        <f>IF(EJ7&lt;&gt;"",SUM(EH7:EK7),"")</f>
        <v/>
      </c>
      <c r="EM7" s="58"/>
      <c r="EN7" s="9"/>
      <c r="EO7" s="29"/>
      <c r="EP7" s="9"/>
      <c r="EQ7" s="30"/>
      <c r="ER7" s="9"/>
      <c r="ES7" s="47" t="str">
        <f>IF(EQ7&lt;&gt;"",SUM(EO7:ER7),"")</f>
        <v/>
      </c>
      <c r="ET7" s="58"/>
      <c r="EU7" s="18"/>
      <c r="EV7" s="10"/>
    </row>
    <row r="8" spans="1:152" s="62" customFormat="1" x14ac:dyDescent="0.3">
      <c r="A8" s="320">
        <v>2</v>
      </c>
      <c r="B8" s="63" t="s">
        <v>91</v>
      </c>
      <c r="C8" s="66" t="s">
        <v>27</v>
      </c>
      <c r="D8" s="316">
        <v>2007</v>
      </c>
      <c r="E8" s="40">
        <f t="shared" si="0"/>
        <v>267.91999999999996</v>
      </c>
      <c r="F8" s="41" t="s">
        <v>45</v>
      </c>
      <c r="G8" s="42" t="str">
        <f>IF('TRA-M'!$A$2-D8&lt;=1,IF(X8&gt;=$T$3,"YES",IF(AE8&gt;=$AA$3,"YES",IF(AL8&gt;=$AH$3,"YES",""))),"")</f>
        <v/>
      </c>
      <c r="H8" s="43" t="str">
        <f t="shared" si="1"/>
        <v>YES</v>
      </c>
      <c r="I8" s="44" t="str">
        <f t="shared" si="2"/>
        <v/>
      </c>
      <c r="J8" s="45" t="str">
        <f t="shared" si="3"/>
        <v/>
      </c>
      <c r="K8" s="17">
        <f t="shared" si="4"/>
        <v>105.70499999999998</v>
      </c>
      <c r="L8" s="308"/>
      <c r="M8" s="9">
        <f t="shared" si="5"/>
        <v>47.814999999999998</v>
      </c>
      <c r="N8" s="89">
        <v>3</v>
      </c>
      <c r="O8" s="9">
        <f t="shared" si="6"/>
        <v>54.354999999999997</v>
      </c>
      <c r="P8" s="272"/>
      <c r="Q8" s="9">
        <f t="shared" si="7"/>
        <v>57.045000000000002</v>
      </c>
      <c r="R8" s="308"/>
      <c r="S8" s="46" t="str">
        <f t="shared" ref="S8:S25" si="30">IF(MAX(AO8:AQ8)&lt;=0,"",MAX(AO8:AQ8))</f>
        <v/>
      </c>
      <c r="T8" s="138">
        <f>27.8+2.9</f>
        <v>30.7</v>
      </c>
      <c r="U8" s="89">
        <v>17.114999999999998</v>
      </c>
      <c r="V8" s="53">
        <f>10.9+7.7</f>
        <v>18.600000000000001</v>
      </c>
      <c r="W8" s="67">
        <v>8.01</v>
      </c>
      <c r="X8" s="47">
        <f t="shared" si="8"/>
        <v>74.424999999999997</v>
      </c>
      <c r="Y8" s="308">
        <f>22.8+14</f>
        <v>36.799999999999997</v>
      </c>
      <c r="Z8" s="309">
        <v>15.67</v>
      </c>
      <c r="AA8" s="271">
        <f>17.9+9.4+5.8</f>
        <v>33.099999999999994</v>
      </c>
      <c r="AB8" s="272">
        <v>16.899999999999999</v>
      </c>
      <c r="AC8" s="308">
        <f>15.5+9.3+15</f>
        <v>39.799999999999997</v>
      </c>
      <c r="AD8" s="61">
        <v>15.904999999999999</v>
      </c>
      <c r="AE8" s="135">
        <f t="shared" si="9"/>
        <v>105.70499999999998</v>
      </c>
      <c r="AF8" s="272">
        <f>15.9+9.6+15</f>
        <v>40.5</v>
      </c>
      <c r="AG8" s="309">
        <v>16.545000000000002</v>
      </c>
      <c r="AH8" s="307">
        <f>16.6+8.8+5.6</f>
        <v>31</v>
      </c>
      <c r="AI8" s="308">
        <v>16.47</v>
      </c>
      <c r="AJ8" s="308">
        <f>14.1+9+15.2</f>
        <v>38.299999999999997</v>
      </c>
      <c r="AK8" s="61">
        <v>16.055</v>
      </c>
      <c r="AL8" s="135">
        <f t="shared" si="10"/>
        <v>101.82499999999999</v>
      </c>
      <c r="AM8" s="272">
        <f>16.2+9+13.8</f>
        <v>39</v>
      </c>
      <c r="AN8" s="309">
        <v>15.97</v>
      </c>
      <c r="AO8" s="336" t="str">
        <f t="shared" si="11"/>
        <v/>
      </c>
      <c r="AP8" s="335" t="str">
        <f t="shared" si="12"/>
        <v/>
      </c>
      <c r="AQ8" s="337" t="str">
        <f t="shared" si="13"/>
        <v/>
      </c>
      <c r="AR8" s="336" t="str">
        <f t="shared" si="14"/>
        <v/>
      </c>
      <c r="AS8" s="335" t="str">
        <f t="shared" si="15"/>
        <v/>
      </c>
      <c r="AT8" s="337" t="str">
        <f t="shared" si="16"/>
        <v/>
      </c>
      <c r="AU8" s="271"/>
      <c r="AV8" s="272"/>
      <c r="AW8" s="272"/>
      <c r="AX8" s="272"/>
      <c r="AY8" s="55" t="str">
        <f t="shared" si="17"/>
        <v/>
      </c>
      <c r="AZ8" s="272"/>
      <c r="BA8" s="272"/>
      <c r="BB8" s="271"/>
      <c r="BC8" s="272"/>
      <c r="BD8" s="308"/>
      <c r="BE8" s="308"/>
      <c r="BF8" s="55" t="str">
        <f t="shared" si="18"/>
        <v/>
      </c>
      <c r="BG8" s="272"/>
      <c r="BH8" s="272"/>
      <c r="BI8" s="271"/>
      <c r="BJ8" s="272"/>
      <c r="BK8" s="272"/>
      <c r="BL8" s="272"/>
      <c r="BM8" s="55" t="str">
        <f t="shared" si="19"/>
        <v/>
      </c>
      <c r="BN8" s="272"/>
      <c r="BO8" s="272"/>
      <c r="BP8" s="24"/>
      <c r="BQ8" s="25"/>
      <c r="BR8" s="25"/>
      <c r="BS8" s="25"/>
      <c r="BT8" s="55" t="str">
        <f t="shared" si="20"/>
        <v/>
      </c>
      <c r="BU8" s="25"/>
      <c r="BV8" s="25"/>
      <c r="BW8" s="271"/>
      <c r="BX8" s="272"/>
      <c r="BY8" s="272"/>
      <c r="BZ8" s="272"/>
      <c r="CA8" s="55" t="str">
        <f t="shared" si="21"/>
        <v/>
      </c>
      <c r="CB8" s="25"/>
      <c r="CC8" s="25"/>
      <c r="CD8" s="24"/>
      <c r="CE8" s="25"/>
      <c r="CF8" s="25"/>
      <c r="CG8" s="25"/>
      <c r="CH8" s="55" t="str">
        <f t="shared" si="22"/>
        <v/>
      </c>
      <c r="CI8" s="25"/>
      <c r="CJ8" s="25"/>
      <c r="CK8" s="24"/>
      <c r="CL8" s="25"/>
      <c r="CM8" s="25"/>
      <c r="CN8" s="25"/>
      <c r="CO8" s="55" t="str">
        <f t="shared" si="23"/>
        <v/>
      </c>
      <c r="CP8" s="25"/>
      <c r="CQ8" s="25"/>
      <c r="CR8" s="24"/>
      <c r="CS8" s="25"/>
      <c r="CT8" s="25"/>
      <c r="CU8" s="25"/>
      <c r="CV8" s="55" t="str">
        <f t="shared" si="24"/>
        <v/>
      </c>
      <c r="CW8" s="25"/>
      <c r="CX8" s="25"/>
      <c r="CY8" s="24"/>
      <c r="CZ8" s="25"/>
      <c r="DA8" s="25"/>
      <c r="DB8" s="25"/>
      <c r="DC8" s="55" t="str">
        <f t="shared" si="25"/>
        <v/>
      </c>
      <c r="DD8" s="25"/>
      <c r="DE8" s="25"/>
      <c r="DF8" s="24"/>
      <c r="DG8" s="25"/>
      <c r="DH8" s="25"/>
      <c r="DI8" s="25"/>
      <c r="DJ8" s="55" t="str">
        <f t="shared" si="26"/>
        <v/>
      </c>
      <c r="DK8" s="25"/>
      <c r="DL8" s="39"/>
      <c r="DM8" s="24"/>
      <c r="DN8" s="25"/>
      <c r="DO8" s="25"/>
      <c r="DP8" s="25"/>
      <c r="DQ8" s="55" t="str">
        <f t="shared" si="27"/>
        <v/>
      </c>
      <c r="DR8" s="25"/>
      <c r="DS8" s="39"/>
      <c r="DT8" s="24"/>
      <c r="DU8" s="25"/>
      <c r="DV8" s="25"/>
      <c r="DW8" s="25"/>
      <c r="DX8" s="55" t="str">
        <f t="shared" si="28"/>
        <v/>
      </c>
      <c r="DY8" s="25"/>
      <c r="DZ8" s="39"/>
      <c r="EA8" s="56"/>
      <c r="EB8" s="25"/>
      <c r="EC8" s="57"/>
      <c r="ED8" s="25"/>
      <c r="EE8" s="55" t="str">
        <f t="shared" si="29"/>
        <v/>
      </c>
      <c r="EF8" s="57"/>
      <c r="EG8" s="25"/>
      <c r="EH8" s="56"/>
      <c r="EI8" s="25"/>
      <c r="EJ8" s="314"/>
      <c r="EK8" s="311"/>
      <c r="EL8" s="55" t="str">
        <f>IF(EJ8&lt;&gt;"",SUM(EH8:EK8),"")</f>
        <v/>
      </c>
      <c r="EM8" s="58"/>
      <c r="EN8" s="311"/>
      <c r="EO8" s="29"/>
      <c r="EP8" s="9"/>
      <c r="EQ8" s="314"/>
      <c r="ER8" s="311"/>
      <c r="ES8" s="47" t="str">
        <f>IF(EQ8&lt;&gt;"",SUM(EO8:ER8),"")</f>
        <v/>
      </c>
      <c r="ET8" s="58"/>
      <c r="EU8" s="312"/>
      <c r="EV8" s="10"/>
    </row>
    <row r="9" spans="1:152" s="11" customFormat="1" x14ac:dyDescent="0.3">
      <c r="A9" s="71"/>
      <c r="B9" s="69" t="s">
        <v>108</v>
      </c>
      <c r="C9" s="321" t="s">
        <v>24</v>
      </c>
      <c r="D9" s="320">
        <v>2012</v>
      </c>
      <c r="E9" s="40">
        <f t="shared" si="0"/>
        <v>260.60499999999996</v>
      </c>
      <c r="F9" s="41" t="s">
        <v>45</v>
      </c>
      <c r="G9" s="42" t="str">
        <f>IF('TRA-M'!$A$2-D9&lt;=1,IF(X9&gt;=$T$3,"YES",IF(AE9&gt;=$AA$3,"YES",IF(AL9&gt;=$AH$3,"YES",""))),"")</f>
        <v/>
      </c>
      <c r="H9" s="43" t="str">
        <f t="shared" si="1"/>
        <v/>
      </c>
      <c r="I9" s="44" t="str">
        <f t="shared" si="2"/>
        <v/>
      </c>
      <c r="J9" s="45" t="str">
        <f t="shared" si="3"/>
        <v/>
      </c>
      <c r="K9" s="17">
        <f t="shared" si="4"/>
        <v>104.07</v>
      </c>
      <c r="L9" s="25"/>
      <c r="M9" s="9">
        <f t="shared" si="5"/>
        <v>48.820000000000007</v>
      </c>
      <c r="N9" s="308"/>
      <c r="O9" s="9">
        <f t="shared" si="6"/>
        <v>51.005000000000003</v>
      </c>
      <c r="P9" s="89">
        <v>1</v>
      </c>
      <c r="Q9" s="9">
        <f t="shared" si="7"/>
        <v>55.71</v>
      </c>
      <c r="R9" s="25"/>
      <c r="S9" s="46" t="str">
        <f t="shared" si="30"/>
        <v/>
      </c>
      <c r="T9" s="307">
        <f>27.9+2.7</f>
        <v>30.599999999999998</v>
      </c>
      <c r="U9" s="308">
        <v>16.760000000000002</v>
      </c>
      <c r="V9" s="292">
        <f>19.5+16</f>
        <v>35.5</v>
      </c>
      <c r="W9" s="143">
        <v>15.505000000000001</v>
      </c>
      <c r="X9" s="140">
        <f t="shared" si="8"/>
        <v>98.364999999999995</v>
      </c>
      <c r="Y9" s="53">
        <f>15.6+11.3</f>
        <v>26.9</v>
      </c>
      <c r="Z9" s="53">
        <v>11.195</v>
      </c>
      <c r="AA9" s="271">
        <f>17.6+9+5.6</f>
        <v>32.200000000000003</v>
      </c>
      <c r="AB9" s="272">
        <v>16.62</v>
      </c>
      <c r="AC9" s="67">
        <f>11.1+7+12.7</f>
        <v>30.8</v>
      </c>
      <c r="AD9" s="67">
        <v>12.83</v>
      </c>
      <c r="AE9" s="47">
        <f t="shared" si="9"/>
        <v>92.45</v>
      </c>
      <c r="AF9" s="53">
        <f>14.1+8+13.6</f>
        <v>35.700000000000003</v>
      </c>
      <c r="AG9" s="53">
        <v>14.34</v>
      </c>
      <c r="AH9" s="271">
        <f>17.7+8.8+5.8</f>
        <v>32.299999999999997</v>
      </c>
      <c r="AI9" s="272">
        <v>16.579999999999998</v>
      </c>
      <c r="AJ9" s="61">
        <f>14.6+9.2+15.6</f>
        <v>39.4</v>
      </c>
      <c r="AK9" s="61">
        <v>15.79</v>
      </c>
      <c r="AL9" s="135">
        <f t="shared" si="10"/>
        <v>104.07</v>
      </c>
      <c r="AM9" s="272">
        <f>15.3+9.1+15.6</f>
        <v>40</v>
      </c>
      <c r="AN9" s="272">
        <v>15.71</v>
      </c>
      <c r="AO9" s="336" t="str">
        <f t="shared" si="11"/>
        <v/>
      </c>
      <c r="AP9" s="335" t="str">
        <f t="shared" si="12"/>
        <v/>
      </c>
      <c r="AQ9" s="337" t="str">
        <f t="shared" si="13"/>
        <v/>
      </c>
      <c r="AR9" s="336" t="str">
        <f t="shared" si="14"/>
        <v/>
      </c>
      <c r="AS9" s="335" t="str">
        <f t="shared" si="15"/>
        <v/>
      </c>
      <c r="AT9" s="337" t="str">
        <f t="shared" si="16"/>
        <v/>
      </c>
      <c r="AU9" s="310"/>
      <c r="AV9" s="311"/>
      <c r="AW9" s="311"/>
      <c r="AX9" s="311"/>
      <c r="AY9" s="55" t="str">
        <f t="shared" si="17"/>
        <v/>
      </c>
      <c r="AZ9" s="311"/>
      <c r="BA9" s="311"/>
      <c r="BB9" s="310"/>
      <c r="BC9" s="311"/>
      <c r="BD9" s="311"/>
      <c r="BE9" s="311"/>
      <c r="BF9" s="55" t="str">
        <f t="shared" si="18"/>
        <v/>
      </c>
      <c r="BG9" s="311"/>
      <c r="BH9" s="311"/>
      <c r="BI9" s="310"/>
      <c r="BJ9" s="311"/>
      <c r="BK9" s="311"/>
      <c r="BL9" s="311"/>
      <c r="BM9" s="55" t="str">
        <f t="shared" si="19"/>
        <v/>
      </c>
      <c r="BN9" s="311"/>
      <c r="BO9" s="311"/>
      <c r="BP9" s="310"/>
      <c r="BQ9" s="311"/>
      <c r="BR9" s="311"/>
      <c r="BS9" s="311"/>
      <c r="BT9" s="55" t="str">
        <f t="shared" si="20"/>
        <v/>
      </c>
      <c r="BU9" s="311"/>
      <c r="BV9" s="311"/>
      <c r="BW9" s="271"/>
      <c r="BX9" s="272"/>
      <c r="BY9" s="272"/>
      <c r="BZ9" s="272"/>
      <c r="CA9" s="55" t="str">
        <f t="shared" si="21"/>
        <v/>
      </c>
      <c r="CB9" s="311"/>
      <c r="CC9" s="311"/>
      <c r="CD9" s="310"/>
      <c r="CE9" s="311"/>
      <c r="CF9" s="311"/>
      <c r="CG9" s="311"/>
      <c r="CH9" s="55" t="str">
        <f t="shared" si="22"/>
        <v/>
      </c>
      <c r="CI9" s="311"/>
      <c r="CJ9" s="311"/>
      <c r="CK9" s="310"/>
      <c r="CL9" s="311"/>
      <c r="CM9" s="311"/>
      <c r="CN9" s="311"/>
      <c r="CO9" s="55" t="str">
        <f t="shared" si="23"/>
        <v/>
      </c>
      <c r="CP9" s="311"/>
      <c r="CQ9" s="311"/>
      <c r="CR9" s="310"/>
      <c r="CS9" s="311"/>
      <c r="CT9" s="311"/>
      <c r="CU9" s="311"/>
      <c r="CV9" s="55" t="str">
        <f t="shared" si="24"/>
        <v/>
      </c>
      <c r="CW9" s="311"/>
      <c r="CX9" s="311"/>
      <c r="CY9" s="24"/>
      <c r="CZ9" s="25"/>
      <c r="DA9" s="25"/>
      <c r="DB9" s="25"/>
      <c r="DC9" s="55" t="str">
        <f t="shared" si="25"/>
        <v/>
      </c>
      <c r="DD9" s="25"/>
      <c r="DE9" s="25"/>
      <c r="DF9" s="310"/>
      <c r="DG9" s="311"/>
      <c r="DH9" s="311"/>
      <c r="DI9" s="311"/>
      <c r="DJ9" s="55" t="str">
        <f t="shared" si="26"/>
        <v/>
      </c>
      <c r="DK9" s="311"/>
      <c r="DL9" s="312"/>
      <c r="DM9" s="310"/>
      <c r="DN9" s="311"/>
      <c r="DO9" s="311"/>
      <c r="DP9" s="311"/>
      <c r="DQ9" s="55" t="str">
        <f t="shared" si="27"/>
        <v/>
      </c>
      <c r="DR9" s="311"/>
      <c r="DS9" s="312"/>
      <c r="DT9" s="310"/>
      <c r="DU9" s="311"/>
      <c r="DV9" s="311"/>
      <c r="DW9" s="311"/>
      <c r="DX9" s="55" t="str">
        <f t="shared" si="28"/>
        <v/>
      </c>
      <c r="DY9" s="311"/>
      <c r="DZ9" s="312"/>
      <c r="EA9" s="313"/>
      <c r="EB9" s="311"/>
      <c r="EC9" s="314"/>
      <c r="ED9" s="311"/>
      <c r="EE9" s="55" t="str">
        <f t="shared" si="29"/>
        <v/>
      </c>
      <c r="EF9" s="314"/>
      <c r="EG9" s="311"/>
      <c r="EH9" s="313"/>
      <c r="EI9" s="311"/>
      <c r="EJ9" s="30"/>
      <c r="EK9" s="9"/>
      <c r="EL9" s="55"/>
      <c r="EM9" s="58"/>
      <c r="EN9" s="9"/>
      <c r="EO9" s="29"/>
      <c r="EP9" s="9"/>
      <c r="EQ9" s="30"/>
      <c r="ER9" s="9"/>
      <c r="ES9" s="47"/>
      <c r="ET9" s="58"/>
      <c r="EU9" s="18"/>
      <c r="EV9" s="10"/>
    </row>
    <row r="10" spans="1:152" s="11" customFormat="1" x14ac:dyDescent="0.3">
      <c r="A10" s="320"/>
      <c r="B10" s="69" t="s">
        <v>105</v>
      </c>
      <c r="C10" s="64" t="s">
        <v>26</v>
      </c>
      <c r="D10" s="321">
        <v>2014</v>
      </c>
      <c r="E10" s="40">
        <f t="shared" si="0"/>
        <v>250.512</v>
      </c>
      <c r="F10" s="41" t="s">
        <v>45</v>
      </c>
      <c r="G10" s="65" t="str">
        <f>IF('TRA-M'!$A$2-D10&lt;=1,IF(X10&gt;=$T$3,"YES",IF(AE10&gt;=$AA$3,"YES",IF(AL10&gt;=$AH$3,"YES",""))),"")</f>
        <v/>
      </c>
      <c r="H10" s="43" t="str">
        <f t="shared" si="1"/>
        <v/>
      </c>
      <c r="I10" s="44" t="str">
        <f t="shared" si="2"/>
        <v/>
      </c>
      <c r="J10" s="45" t="str">
        <f t="shared" si="3"/>
        <v/>
      </c>
      <c r="K10" s="17">
        <f t="shared" si="4"/>
        <v>100.41200000000001</v>
      </c>
      <c r="L10" s="272"/>
      <c r="M10" s="9">
        <f t="shared" si="5"/>
        <v>47.42</v>
      </c>
      <c r="N10" s="89">
        <v>3</v>
      </c>
      <c r="O10" s="9">
        <f t="shared" si="6"/>
        <v>43.268000000000001</v>
      </c>
      <c r="P10" s="89">
        <v>1</v>
      </c>
      <c r="Q10" s="9">
        <f t="shared" si="7"/>
        <v>55.412000000000006</v>
      </c>
      <c r="R10" s="25"/>
      <c r="S10" s="46" t="str">
        <f t="shared" si="30"/>
        <v/>
      </c>
      <c r="T10" s="138">
        <v>30.1</v>
      </c>
      <c r="U10" s="89">
        <v>17.32</v>
      </c>
      <c r="V10" s="89">
        <v>29.95</v>
      </c>
      <c r="W10" s="89">
        <v>13.318</v>
      </c>
      <c r="X10" s="49">
        <f t="shared" si="8"/>
        <v>90.688000000000002</v>
      </c>
      <c r="Y10" s="48">
        <v>37.15</v>
      </c>
      <c r="Z10" s="48">
        <v>16.382999999999999</v>
      </c>
      <c r="AA10" s="50">
        <f>30+3</f>
        <v>33</v>
      </c>
      <c r="AB10" s="48">
        <v>17.358000000000001</v>
      </c>
      <c r="AC10" s="51">
        <f>34.025+1</f>
        <v>35.024999999999999</v>
      </c>
      <c r="AD10" s="48">
        <v>15.029</v>
      </c>
      <c r="AE10" s="49">
        <f t="shared" si="9"/>
        <v>100.41200000000001</v>
      </c>
      <c r="AF10" s="51">
        <f>37.825+1</f>
        <v>38.825000000000003</v>
      </c>
      <c r="AG10" s="48">
        <v>16.587</v>
      </c>
      <c r="AH10" s="340"/>
      <c r="AI10" s="48"/>
      <c r="AJ10" s="48"/>
      <c r="AK10" s="48"/>
      <c r="AL10" s="49">
        <f t="shared" si="10"/>
        <v>0</v>
      </c>
      <c r="AM10" s="48"/>
      <c r="AN10" s="48"/>
      <c r="AO10" s="336" t="str">
        <f t="shared" si="11"/>
        <v/>
      </c>
      <c r="AP10" s="335" t="str">
        <f t="shared" si="12"/>
        <v/>
      </c>
      <c r="AQ10" s="337" t="str">
        <f t="shared" si="13"/>
        <v/>
      </c>
      <c r="AR10" s="336" t="str">
        <f t="shared" si="14"/>
        <v/>
      </c>
      <c r="AS10" s="335" t="str">
        <f t="shared" si="15"/>
        <v/>
      </c>
      <c r="AT10" s="337" t="str">
        <f t="shared" si="16"/>
        <v/>
      </c>
      <c r="AU10" s="307"/>
      <c r="AV10" s="308"/>
      <c r="AW10" s="308"/>
      <c r="AX10" s="308"/>
      <c r="AY10" s="55" t="str">
        <f t="shared" si="17"/>
        <v/>
      </c>
      <c r="AZ10" s="308"/>
      <c r="BA10" s="308"/>
      <c r="BB10" s="307"/>
      <c r="BC10" s="308"/>
      <c r="BD10" s="308"/>
      <c r="BE10" s="308"/>
      <c r="BF10" s="55" t="str">
        <f t="shared" si="18"/>
        <v/>
      </c>
      <c r="BG10" s="308"/>
      <c r="BH10" s="308"/>
      <c r="BI10" s="307"/>
      <c r="BJ10" s="308"/>
      <c r="BK10" s="308"/>
      <c r="BL10" s="308"/>
      <c r="BM10" s="55" t="str">
        <f t="shared" si="19"/>
        <v/>
      </c>
      <c r="BN10" s="308"/>
      <c r="BO10" s="308"/>
      <c r="BP10" s="307"/>
      <c r="BQ10" s="308"/>
      <c r="BR10" s="308"/>
      <c r="BS10" s="308"/>
      <c r="BT10" s="55" t="str">
        <f t="shared" si="20"/>
        <v/>
      </c>
      <c r="BU10" s="308"/>
      <c r="BV10" s="308"/>
      <c r="BW10" s="271"/>
      <c r="BX10" s="272"/>
      <c r="BY10" s="272"/>
      <c r="BZ10" s="272"/>
      <c r="CA10" s="55" t="str">
        <f t="shared" si="21"/>
        <v/>
      </c>
      <c r="CB10" s="308"/>
      <c r="CC10" s="308"/>
      <c r="CD10" s="307"/>
      <c r="CE10" s="308"/>
      <c r="CF10" s="308"/>
      <c r="CG10" s="308"/>
      <c r="CH10" s="55" t="str">
        <f t="shared" si="22"/>
        <v/>
      </c>
      <c r="CI10" s="308"/>
      <c r="CJ10" s="308"/>
      <c r="CK10" s="307"/>
      <c r="CL10" s="308"/>
      <c r="CM10" s="308"/>
      <c r="CN10" s="308"/>
      <c r="CO10" s="55" t="str">
        <f t="shared" si="23"/>
        <v/>
      </c>
      <c r="CP10" s="308"/>
      <c r="CQ10" s="308"/>
      <c r="CR10" s="307"/>
      <c r="CS10" s="308"/>
      <c r="CT10" s="308"/>
      <c r="CU10" s="308"/>
      <c r="CV10" s="55" t="str">
        <f t="shared" si="24"/>
        <v/>
      </c>
      <c r="CW10" s="308"/>
      <c r="CX10" s="308"/>
      <c r="CY10" s="24"/>
      <c r="CZ10" s="25"/>
      <c r="DA10" s="25"/>
      <c r="DB10" s="25"/>
      <c r="DC10" s="55" t="str">
        <f t="shared" si="25"/>
        <v/>
      </c>
      <c r="DD10" s="25"/>
      <c r="DE10" s="25"/>
      <c r="DF10" s="307"/>
      <c r="DG10" s="308"/>
      <c r="DH10" s="308"/>
      <c r="DI10" s="308"/>
      <c r="DJ10" s="55" t="str">
        <f t="shared" si="26"/>
        <v/>
      </c>
      <c r="DK10" s="308"/>
      <c r="DL10" s="309"/>
      <c r="DM10" s="307"/>
      <c r="DN10" s="308"/>
      <c r="DO10" s="308"/>
      <c r="DP10" s="308"/>
      <c r="DQ10" s="55" t="str">
        <f t="shared" si="27"/>
        <v/>
      </c>
      <c r="DR10" s="308"/>
      <c r="DS10" s="309"/>
      <c r="DT10" s="307"/>
      <c r="DU10" s="308"/>
      <c r="DV10" s="308"/>
      <c r="DW10" s="308"/>
      <c r="DX10" s="55" t="str">
        <f t="shared" si="28"/>
        <v/>
      </c>
      <c r="DY10" s="308"/>
      <c r="DZ10" s="309"/>
      <c r="EA10" s="317"/>
      <c r="EB10" s="308"/>
      <c r="EC10" s="318"/>
      <c r="ED10" s="308"/>
      <c r="EE10" s="55" t="str">
        <f t="shared" si="29"/>
        <v/>
      </c>
      <c r="EF10" s="318"/>
      <c r="EG10" s="308"/>
      <c r="EH10" s="317"/>
      <c r="EI10" s="308"/>
      <c r="EJ10" s="30"/>
      <c r="EK10" s="9"/>
      <c r="EL10" s="55" t="str">
        <f>IF(EJ10&lt;&gt;"",SUM(EH10:EK10),"")</f>
        <v/>
      </c>
      <c r="EM10" s="58"/>
      <c r="EN10" s="9"/>
      <c r="EO10" s="29"/>
      <c r="EP10" s="9"/>
      <c r="EQ10" s="30"/>
      <c r="ER10" s="9"/>
      <c r="ES10" s="47" t="str">
        <f>IF(EQ10&lt;&gt;"",SUM(EO10:ER10),"")</f>
        <v/>
      </c>
      <c r="ET10" s="58"/>
      <c r="EU10" s="18"/>
      <c r="EV10" s="10"/>
    </row>
    <row r="11" spans="1:152" s="11" customFormat="1" x14ac:dyDescent="0.3">
      <c r="A11" s="68"/>
      <c r="B11" s="69" t="s">
        <v>126</v>
      </c>
      <c r="C11" s="70" t="s">
        <v>26</v>
      </c>
      <c r="D11" s="316">
        <v>2015</v>
      </c>
      <c r="E11" s="40">
        <f t="shared" si="0"/>
        <v>201.64000000000001</v>
      </c>
      <c r="F11" s="41" t="s">
        <v>45</v>
      </c>
      <c r="G11" s="42" t="str">
        <f>IF('TRA-M'!$A$2-D11&lt;=1,IF(X11&gt;=$T$3,"YES",IF(AE11&gt;=$AA$3,"YES",IF(AL11&gt;=$AH$3,"YES",""))),"")</f>
        <v/>
      </c>
      <c r="H11" s="43" t="str">
        <f t="shared" si="1"/>
        <v/>
      </c>
      <c r="I11" s="44" t="str">
        <f t="shared" si="2"/>
        <v/>
      </c>
      <c r="J11" s="45" t="str">
        <f t="shared" si="3"/>
        <v/>
      </c>
      <c r="K11" s="17">
        <f t="shared" si="4"/>
        <v>102.18</v>
      </c>
      <c r="L11" s="25"/>
      <c r="M11" s="9">
        <f t="shared" si="5"/>
        <v>13.984999999999999</v>
      </c>
      <c r="N11" s="308"/>
      <c r="O11" s="9">
        <f t="shared" si="6"/>
        <v>31.435000000000002</v>
      </c>
      <c r="P11" s="308"/>
      <c r="Q11" s="9">
        <f t="shared" si="7"/>
        <v>54.039999999999992</v>
      </c>
      <c r="R11" s="133"/>
      <c r="S11" s="46" t="str">
        <f t="shared" si="30"/>
        <v/>
      </c>
      <c r="T11" s="307"/>
      <c r="U11" s="308"/>
      <c r="V11" s="61"/>
      <c r="W11" s="61"/>
      <c r="X11" s="47">
        <f t="shared" si="8"/>
        <v>0</v>
      </c>
      <c r="Y11" s="308"/>
      <c r="Z11" s="309"/>
      <c r="AA11" s="52">
        <f>5.5+3+0</f>
        <v>8.5</v>
      </c>
      <c r="AB11" s="53">
        <v>5.4850000000000003</v>
      </c>
      <c r="AC11" s="67">
        <f>7.8+5+9</f>
        <v>21.8</v>
      </c>
      <c r="AD11" s="67">
        <v>9.6349999999999998</v>
      </c>
      <c r="AE11" s="47">
        <f t="shared" si="9"/>
        <v>45.419999999999995</v>
      </c>
      <c r="AF11" s="308"/>
      <c r="AG11" s="309"/>
      <c r="AH11" s="271">
        <f>16.7+9.4+5.6</f>
        <v>31.700000000000003</v>
      </c>
      <c r="AI11" s="272">
        <v>16.895</v>
      </c>
      <c r="AJ11" s="61">
        <f>14.1+8.7+15.2</f>
        <v>38</v>
      </c>
      <c r="AK11" s="61">
        <v>15.585000000000001</v>
      </c>
      <c r="AL11" s="135">
        <f t="shared" si="10"/>
        <v>102.18</v>
      </c>
      <c r="AM11" s="272">
        <f>14.1+8.7+15.4</f>
        <v>38.199999999999996</v>
      </c>
      <c r="AN11" s="273">
        <v>15.84</v>
      </c>
      <c r="AO11" s="336" t="str">
        <f t="shared" si="11"/>
        <v/>
      </c>
      <c r="AP11" s="335" t="str">
        <f t="shared" si="12"/>
        <v/>
      </c>
      <c r="AQ11" s="337" t="str">
        <f t="shared" si="13"/>
        <v/>
      </c>
      <c r="AR11" s="336" t="str">
        <f t="shared" si="14"/>
        <v/>
      </c>
      <c r="AS11" s="335" t="str">
        <f t="shared" si="15"/>
        <v/>
      </c>
      <c r="AT11" s="337" t="str">
        <f t="shared" si="16"/>
        <v/>
      </c>
      <c r="AU11" s="271"/>
      <c r="AV11" s="272"/>
      <c r="AW11" s="272"/>
      <c r="AX11" s="272"/>
      <c r="AY11" s="55" t="str">
        <f t="shared" si="17"/>
        <v/>
      </c>
      <c r="AZ11" s="272"/>
      <c r="BA11" s="272"/>
      <c r="BB11" s="271"/>
      <c r="BC11" s="272"/>
      <c r="BD11" s="272"/>
      <c r="BE11" s="272"/>
      <c r="BF11" s="55" t="str">
        <f t="shared" si="18"/>
        <v/>
      </c>
      <c r="BG11" s="272"/>
      <c r="BH11" s="272"/>
      <c r="BI11" s="271"/>
      <c r="BJ11" s="272"/>
      <c r="BK11" s="272"/>
      <c r="BL11" s="272"/>
      <c r="BM11" s="55" t="str">
        <f t="shared" si="19"/>
        <v/>
      </c>
      <c r="BN11" s="272"/>
      <c r="BO11" s="272"/>
      <c r="BP11" s="24"/>
      <c r="BQ11" s="25"/>
      <c r="BR11" s="25"/>
      <c r="BS11" s="25"/>
      <c r="BT11" s="55" t="str">
        <f t="shared" si="20"/>
        <v/>
      </c>
      <c r="BU11" s="25"/>
      <c r="BV11" s="25"/>
      <c r="BW11" s="271"/>
      <c r="BX11" s="272"/>
      <c r="BY11" s="272"/>
      <c r="BZ11" s="272"/>
      <c r="CA11" s="55" t="str">
        <f t="shared" si="21"/>
        <v/>
      </c>
      <c r="CB11" s="25"/>
      <c r="CC11" s="25"/>
      <c r="CD11" s="24"/>
      <c r="CE11" s="25"/>
      <c r="CF11" s="25"/>
      <c r="CG11" s="25"/>
      <c r="CH11" s="55" t="str">
        <f t="shared" si="22"/>
        <v/>
      </c>
      <c r="CI11" s="25"/>
      <c r="CJ11" s="25"/>
      <c r="CK11" s="24"/>
      <c r="CL11" s="25"/>
      <c r="CM11" s="25"/>
      <c r="CN11" s="25"/>
      <c r="CO11" s="55" t="str">
        <f t="shared" si="23"/>
        <v/>
      </c>
      <c r="CP11" s="25"/>
      <c r="CQ11" s="25"/>
      <c r="CR11" s="24"/>
      <c r="CS11" s="25"/>
      <c r="CT11" s="25"/>
      <c r="CU11" s="25"/>
      <c r="CV11" s="55" t="str">
        <f t="shared" si="24"/>
        <v/>
      </c>
      <c r="CW11" s="25"/>
      <c r="CX11" s="25"/>
      <c r="CY11" s="24"/>
      <c r="CZ11" s="25"/>
      <c r="DA11" s="25"/>
      <c r="DB11" s="25"/>
      <c r="DC11" s="55" t="str">
        <f t="shared" si="25"/>
        <v/>
      </c>
      <c r="DD11" s="25"/>
      <c r="DE11" s="25"/>
      <c r="DF11" s="271"/>
      <c r="DG11" s="272"/>
      <c r="DH11" s="272"/>
      <c r="DI11" s="272"/>
      <c r="DJ11" s="55" t="str">
        <f t="shared" si="26"/>
        <v/>
      </c>
      <c r="DK11" s="272"/>
      <c r="DL11" s="273"/>
      <c r="DM11" s="271"/>
      <c r="DN11" s="272"/>
      <c r="DO11" s="272"/>
      <c r="DP11" s="272"/>
      <c r="DQ11" s="55" t="str">
        <f t="shared" si="27"/>
        <v/>
      </c>
      <c r="DR11" s="272"/>
      <c r="DS11" s="273"/>
      <c r="DT11" s="271"/>
      <c r="DU11" s="272"/>
      <c r="DV11" s="272"/>
      <c r="DW11" s="272"/>
      <c r="DX11" s="55" t="str">
        <f t="shared" si="28"/>
        <v/>
      </c>
      <c r="DY11" s="272"/>
      <c r="DZ11" s="273"/>
      <c r="EA11" s="56"/>
      <c r="EB11" s="25"/>
      <c r="EC11" s="57"/>
      <c r="ED11" s="25"/>
      <c r="EE11" s="55" t="str">
        <f t="shared" si="29"/>
        <v/>
      </c>
      <c r="EF11" s="57"/>
      <c r="EG11" s="25"/>
      <c r="EH11" s="274"/>
      <c r="EI11" s="272"/>
      <c r="EJ11" s="266"/>
      <c r="EK11" s="269"/>
      <c r="EL11" s="55" t="str">
        <f>IF(EJ11&lt;&gt;"",SUM(EH11:EK11),"")</f>
        <v/>
      </c>
      <c r="EM11" s="58"/>
      <c r="EN11" s="9"/>
      <c r="EO11" s="265"/>
      <c r="EP11" s="269"/>
      <c r="EQ11" s="266"/>
      <c r="ER11" s="269"/>
      <c r="ES11" s="47" t="str">
        <f>IF(EQ11&lt;&gt;"",SUM(EO11:ER11),"")</f>
        <v/>
      </c>
      <c r="ET11" s="58"/>
      <c r="EU11" s="18"/>
      <c r="EV11" s="10"/>
    </row>
    <row r="12" spans="1:152" s="11" customFormat="1" x14ac:dyDescent="0.3">
      <c r="A12" s="71"/>
      <c r="B12" s="69" t="s">
        <v>109</v>
      </c>
      <c r="C12" s="321" t="s">
        <v>24</v>
      </c>
      <c r="D12" s="320">
        <v>2006</v>
      </c>
      <c r="E12" s="40">
        <f t="shared" si="0"/>
        <v>174.14000000000001</v>
      </c>
      <c r="F12" s="41" t="s">
        <v>45</v>
      </c>
      <c r="G12" s="42" t="str">
        <f>IF('TRA-M'!$A$2-D12&lt;=1,IF(X12&gt;=$T$3,"YES",IF(AE12&gt;=$AA$3,"YES",IF(AL12&gt;=$AH$3,"YES",""))),"")</f>
        <v/>
      </c>
      <c r="H12" s="43" t="str">
        <f t="shared" si="1"/>
        <v/>
      </c>
      <c r="I12" s="44" t="str">
        <f t="shared" si="2"/>
        <v/>
      </c>
      <c r="J12" s="45" t="str">
        <f t="shared" si="3"/>
        <v/>
      </c>
      <c r="K12" s="17">
        <f t="shared" si="4"/>
        <v>101.765</v>
      </c>
      <c r="L12" s="272"/>
      <c r="M12" s="9">
        <f t="shared" si="5"/>
        <v>43.005000000000003</v>
      </c>
      <c r="N12" s="89">
        <v>3</v>
      </c>
      <c r="O12" s="9">
        <f t="shared" si="6"/>
        <v>25.869999999999997</v>
      </c>
      <c r="P12" s="142">
        <v>0.5</v>
      </c>
      <c r="Q12" s="9">
        <f t="shared" si="7"/>
        <v>0</v>
      </c>
      <c r="R12" s="133"/>
      <c r="S12" s="46" t="str">
        <f t="shared" si="30"/>
        <v/>
      </c>
      <c r="T12" s="138">
        <f>23.6+3.1</f>
        <v>26.700000000000003</v>
      </c>
      <c r="U12" s="89">
        <v>16.305</v>
      </c>
      <c r="V12" s="153">
        <f>10.2+8.2</f>
        <v>18.399999999999999</v>
      </c>
      <c r="W12" s="153">
        <v>7.47</v>
      </c>
      <c r="X12" s="47">
        <f t="shared" si="8"/>
        <v>68.875</v>
      </c>
      <c r="Y12" s="272"/>
      <c r="Z12" s="273"/>
      <c r="AA12" s="307">
        <f>16.5+9+5.6</f>
        <v>31.1</v>
      </c>
      <c r="AB12" s="308">
        <v>16.335000000000001</v>
      </c>
      <c r="AC12" s="61">
        <f>14.8+9.1+15.2</f>
        <v>39.099999999999994</v>
      </c>
      <c r="AD12" s="61">
        <v>15.23</v>
      </c>
      <c r="AE12" s="135">
        <f t="shared" si="9"/>
        <v>101.765</v>
      </c>
      <c r="AF12" s="48"/>
      <c r="AG12" s="114"/>
      <c r="AH12" s="271"/>
      <c r="AI12" s="272"/>
      <c r="AJ12" s="61"/>
      <c r="AK12" s="61"/>
      <c r="AL12" s="47">
        <f t="shared" si="10"/>
        <v>0</v>
      </c>
      <c r="AM12" s="272"/>
      <c r="AN12" s="273"/>
      <c r="AO12" s="336" t="str">
        <f t="shared" si="11"/>
        <v/>
      </c>
      <c r="AP12" s="335" t="str">
        <f t="shared" si="12"/>
        <v/>
      </c>
      <c r="AQ12" s="337" t="str">
        <f t="shared" si="13"/>
        <v/>
      </c>
      <c r="AR12" s="336" t="str">
        <f t="shared" si="14"/>
        <v/>
      </c>
      <c r="AS12" s="335" t="str">
        <f t="shared" si="15"/>
        <v/>
      </c>
      <c r="AT12" s="337" t="str">
        <f t="shared" si="16"/>
        <v/>
      </c>
      <c r="AU12" s="310"/>
      <c r="AV12" s="311"/>
      <c r="AW12" s="311"/>
      <c r="AX12" s="311"/>
      <c r="AY12" s="55" t="str">
        <f t="shared" si="17"/>
        <v/>
      </c>
      <c r="AZ12" s="311"/>
      <c r="BA12" s="311"/>
      <c r="BB12" s="310"/>
      <c r="BC12" s="311"/>
      <c r="BD12" s="311"/>
      <c r="BE12" s="311"/>
      <c r="BF12" s="55" t="str">
        <f t="shared" si="18"/>
        <v/>
      </c>
      <c r="BG12" s="311"/>
      <c r="BH12" s="311"/>
      <c r="BI12" s="310"/>
      <c r="BJ12" s="311"/>
      <c r="BK12" s="311"/>
      <c r="BL12" s="311"/>
      <c r="BM12" s="55" t="str">
        <f t="shared" si="19"/>
        <v/>
      </c>
      <c r="BN12" s="311"/>
      <c r="BO12" s="311"/>
      <c r="BP12" s="310"/>
      <c r="BQ12" s="311"/>
      <c r="BR12" s="311"/>
      <c r="BS12" s="311"/>
      <c r="BT12" s="55" t="str">
        <f t="shared" si="20"/>
        <v/>
      </c>
      <c r="BU12" s="311"/>
      <c r="BV12" s="311"/>
      <c r="BW12" s="310"/>
      <c r="BX12" s="311"/>
      <c r="BY12" s="311"/>
      <c r="BZ12" s="311"/>
      <c r="CA12" s="55" t="str">
        <f t="shared" si="21"/>
        <v/>
      </c>
      <c r="CB12" s="311"/>
      <c r="CC12" s="311"/>
      <c r="CD12" s="310"/>
      <c r="CE12" s="311"/>
      <c r="CF12" s="311"/>
      <c r="CG12" s="311"/>
      <c r="CH12" s="55" t="str">
        <f t="shared" si="22"/>
        <v/>
      </c>
      <c r="CI12" s="311"/>
      <c r="CJ12" s="311"/>
      <c r="CK12" s="310"/>
      <c r="CL12" s="311"/>
      <c r="CM12" s="311"/>
      <c r="CN12" s="311"/>
      <c r="CO12" s="55" t="str">
        <f t="shared" si="23"/>
        <v/>
      </c>
      <c r="CP12" s="311"/>
      <c r="CQ12" s="311"/>
      <c r="CR12" s="310"/>
      <c r="CS12" s="311"/>
      <c r="CT12" s="311"/>
      <c r="CU12" s="311"/>
      <c r="CV12" s="55" t="str">
        <f t="shared" si="24"/>
        <v/>
      </c>
      <c r="CW12" s="311"/>
      <c r="CX12" s="311"/>
      <c r="CY12" s="24"/>
      <c r="CZ12" s="25"/>
      <c r="DA12" s="25"/>
      <c r="DB12" s="25"/>
      <c r="DC12" s="55" t="str">
        <f t="shared" si="25"/>
        <v/>
      </c>
      <c r="DD12" s="25"/>
      <c r="DE12" s="25"/>
      <c r="DF12" s="310"/>
      <c r="DG12" s="311"/>
      <c r="DH12" s="311"/>
      <c r="DI12" s="311"/>
      <c r="DJ12" s="55" t="str">
        <f t="shared" si="26"/>
        <v/>
      </c>
      <c r="DK12" s="311"/>
      <c r="DL12" s="312"/>
      <c r="DM12" s="310"/>
      <c r="DN12" s="311"/>
      <c r="DO12" s="311"/>
      <c r="DP12" s="311"/>
      <c r="DQ12" s="55" t="str">
        <f t="shared" si="27"/>
        <v/>
      </c>
      <c r="DR12" s="311"/>
      <c r="DS12" s="312"/>
      <c r="DT12" s="310"/>
      <c r="DU12" s="311"/>
      <c r="DV12" s="311"/>
      <c r="DW12" s="311"/>
      <c r="DX12" s="55" t="str">
        <f t="shared" si="28"/>
        <v/>
      </c>
      <c r="DY12" s="311"/>
      <c r="DZ12" s="312"/>
      <c r="EA12" s="313"/>
      <c r="EB12" s="311"/>
      <c r="EC12" s="314"/>
      <c r="ED12" s="311"/>
      <c r="EE12" s="55" t="str">
        <f t="shared" si="29"/>
        <v/>
      </c>
      <c r="EF12" s="314"/>
      <c r="EG12" s="311"/>
      <c r="EH12" s="313"/>
      <c r="EI12" s="311"/>
      <c r="EJ12" s="30"/>
      <c r="EK12" s="9"/>
      <c r="EL12" s="55"/>
      <c r="EM12" s="58"/>
      <c r="EN12" s="9"/>
      <c r="EO12" s="29"/>
      <c r="EP12" s="9"/>
      <c r="EQ12" s="30"/>
      <c r="ER12" s="9"/>
      <c r="ES12" s="47"/>
      <c r="ET12" s="58"/>
      <c r="EU12" s="18"/>
      <c r="EV12" s="10"/>
    </row>
    <row r="13" spans="1:152" s="11" customFormat="1" x14ac:dyDescent="0.3">
      <c r="A13" s="321"/>
      <c r="B13" s="69" t="s">
        <v>156</v>
      </c>
      <c r="C13" s="70" t="s">
        <v>24</v>
      </c>
      <c r="D13" s="316"/>
      <c r="E13" s="40">
        <f t="shared" si="0"/>
        <v>152.21</v>
      </c>
      <c r="F13" s="41" t="s">
        <v>45</v>
      </c>
      <c r="G13" s="42" t="str">
        <f>IF('TRA-M'!$A$2-D13&lt;=1,IF(X13&gt;=$T$3,"YES",IF(AE13&gt;=$AA$3,"YES",IF(AL13&gt;=$AH$3,"YES",""))),"")</f>
        <v/>
      </c>
      <c r="H13" s="43" t="str">
        <f t="shared" si="1"/>
        <v/>
      </c>
      <c r="I13" s="44" t="str">
        <f t="shared" si="2"/>
        <v/>
      </c>
      <c r="J13" s="45" t="str">
        <f t="shared" si="3"/>
        <v/>
      </c>
      <c r="K13" s="17">
        <f t="shared" si="4"/>
        <v>101.43</v>
      </c>
      <c r="L13" s="272"/>
      <c r="M13" s="9">
        <f t="shared" si="5"/>
        <v>0</v>
      </c>
      <c r="N13" s="308"/>
      <c r="O13" s="9">
        <f t="shared" si="6"/>
        <v>0</v>
      </c>
      <c r="P13" s="308"/>
      <c r="Q13" s="9">
        <f t="shared" si="7"/>
        <v>50.78</v>
      </c>
      <c r="R13" s="272"/>
      <c r="S13" s="46" t="str">
        <f t="shared" si="30"/>
        <v/>
      </c>
      <c r="T13" s="307"/>
      <c r="U13" s="308"/>
      <c r="V13" s="61"/>
      <c r="W13" s="61"/>
      <c r="X13" s="47">
        <f t="shared" si="8"/>
        <v>0</v>
      </c>
      <c r="Y13" s="272"/>
      <c r="Z13" s="273"/>
      <c r="AA13" s="271"/>
      <c r="AB13" s="272"/>
      <c r="AC13" s="61"/>
      <c r="AD13" s="61"/>
      <c r="AE13" s="47">
        <f t="shared" si="9"/>
        <v>0</v>
      </c>
      <c r="AF13" s="308"/>
      <c r="AG13" s="309"/>
      <c r="AH13" s="271">
        <f>16+9.4+6.5</f>
        <v>31.9</v>
      </c>
      <c r="AI13" s="272">
        <v>15.555</v>
      </c>
      <c r="AJ13" s="61">
        <f>14.9+9.4+14.3</f>
        <v>38.6</v>
      </c>
      <c r="AK13" s="61">
        <v>15.375</v>
      </c>
      <c r="AL13" s="135">
        <f t="shared" si="10"/>
        <v>101.43</v>
      </c>
      <c r="AM13" s="272">
        <f>14.3+8.6+12.6</f>
        <v>35.5</v>
      </c>
      <c r="AN13" s="273">
        <v>15.28</v>
      </c>
      <c r="AO13" s="336" t="str">
        <f t="shared" si="11"/>
        <v/>
      </c>
      <c r="AP13" s="335" t="str">
        <f t="shared" si="12"/>
        <v/>
      </c>
      <c r="AQ13" s="337" t="str">
        <f t="shared" si="13"/>
        <v/>
      </c>
      <c r="AR13" s="336" t="str">
        <f t="shared" si="14"/>
        <v/>
      </c>
      <c r="AS13" s="335" t="str">
        <f t="shared" si="15"/>
        <v/>
      </c>
      <c r="AT13" s="337" t="str">
        <f t="shared" si="16"/>
        <v/>
      </c>
      <c r="AU13" s="307"/>
      <c r="AV13" s="308"/>
      <c r="AW13" s="308"/>
      <c r="AX13" s="308"/>
      <c r="AY13" s="55" t="str">
        <f t="shared" si="17"/>
        <v/>
      </c>
      <c r="AZ13" s="308"/>
      <c r="BA13" s="308"/>
      <c r="BB13" s="307"/>
      <c r="BC13" s="308"/>
      <c r="BD13" s="308"/>
      <c r="BE13" s="308"/>
      <c r="BF13" s="55" t="str">
        <f t="shared" si="18"/>
        <v/>
      </c>
      <c r="BG13" s="308"/>
      <c r="BH13" s="308"/>
      <c r="BI13" s="307"/>
      <c r="BJ13" s="308"/>
      <c r="BK13" s="308"/>
      <c r="BL13" s="308"/>
      <c r="BM13" s="55" t="str">
        <f t="shared" si="19"/>
        <v/>
      </c>
      <c r="BN13" s="308"/>
      <c r="BO13" s="308"/>
      <c r="BP13" s="307"/>
      <c r="BQ13" s="308"/>
      <c r="BR13" s="308"/>
      <c r="BS13" s="308"/>
      <c r="BT13" s="55" t="str">
        <f t="shared" si="20"/>
        <v/>
      </c>
      <c r="BU13" s="308"/>
      <c r="BV13" s="308"/>
      <c r="BW13" s="307"/>
      <c r="BX13" s="308"/>
      <c r="BY13" s="308"/>
      <c r="BZ13" s="308"/>
      <c r="CA13" s="55" t="str">
        <f t="shared" si="21"/>
        <v/>
      </c>
      <c r="CB13" s="308"/>
      <c r="CC13" s="308"/>
      <c r="CD13" s="307"/>
      <c r="CE13" s="308"/>
      <c r="CF13" s="308"/>
      <c r="CG13" s="308"/>
      <c r="CH13" s="55" t="str">
        <f t="shared" si="22"/>
        <v/>
      </c>
      <c r="CI13" s="308"/>
      <c r="CJ13" s="308"/>
      <c r="CK13" s="307"/>
      <c r="CL13" s="308"/>
      <c r="CM13" s="308"/>
      <c r="CN13" s="308"/>
      <c r="CO13" s="55" t="str">
        <f t="shared" si="23"/>
        <v/>
      </c>
      <c r="CP13" s="308"/>
      <c r="CQ13" s="308"/>
      <c r="CR13" s="307"/>
      <c r="CS13" s="308"/>
      <c r="CT13" s="308"/>
      <c r="CU13" s="308"/>
      <c r="CV13" s="55" t="str">
        <f t="shared" si="24"/>
        <v/>
      </c>
      <c r="CW13" s="308"/>
      <c r="CX13" s="308"/>
      <c r="CY13" s="24"/>
      <c r="CZ13" s="25"/>
      <c r="DA13" s="25"/>
      <c r="DB13" s="25"/>
      <c r="DC13" s="55" t="str">
        <f t="shared" si="25"/>
        <v/>
      </c>
      <c r="DD13" s="25"/>
      <c r="DE13" s="25"/>
      <c r="DF13" s="307"/>
      <c r="DG13" s="308"/>
      <c r="DH13" s="308"/>
      <c r="DI13" s="308"/>
      <c r="DJ13" s="55" t="str">
        <f t="shared" si="26"/>
        <v/>
      </c>
      <c r="DK13" s="308"/>
      <c r="DL13" s="309"/>
      <c r="DM13" s="307"/>
      <c r="DN13" s="308"/>
      <c r="DO13" s="308"/>
      <c r="DP13" s="308"/>
      <c r="DQ13" s="55" t="str">
        <f t="shared" si="27"/>
        <v/>
      </c>
      <c r="DR13" s="308"/>
      <c r="DS13" s="309"/>
      <c r="DT13" s="307"/>
      <c r="DU13" s="308"/>
      <c r="DV13" s="308"/>
      <c r="DW13" s="308"/>
      <c r="DX13" s="55" t="str">
        <f t="shared" si="28"/>
        <v/>
      </c>
      <c r="DY13" s="308"/>
      <c r="DZ13" s="309"/>
      <c r="EA13" s="317"/>
      <c r="EB13" s="308"/>
      <c r="EC13" s="318"/>
      <c r="ED13" s="308"/>
      <c r="EE13" s="55" t="str">
        <f t="shared" si="29"/>
        <v/>
      </c>
      <c r="EF13" s="318"/>
      <c r="EG13" s="308"/>
      <c r="EH13" s="317"/>
      <c r="EI13" s="308"/>
      <c r="EJ13" s="30"/>
      <c r="EK13" s="9"/>
      <c r="EL13" s="55" t="str">
        <f>IF(EJ13&lt;&gt;"",SUM(EH13:EK13),"")</f>
        <v/>
      </c>
      <c r="EM13" s="58"/>
      <c r="EN13" s="9"/>
      <c r="EO13" s="29"/>
      <c r="EP13" s="9"/>
      <c r="EQ13" s="30"/>
      <c r="ER13" s="9"/>
      <c r="ES13" s="47" t="str">
        <f>IF(EQ13&lt;&gt;"",SUM(EO13:ER13),"")</f>
        <v/>
      </c>
      <c r="ET13" s="58"/>
      <c r="EU13" s="18"/>
      <c r="EV13" s="10"/>
    </row>
    <row r="14" spans="1:152" s="11" customFormat="1" x14ac:dyDescent="0.3">
      <c r="A14" s="115">
        <v>3</v>
      </c>
      <c r="B14" s="59" t="s">
        <v>54</v>
      </c>
      <c r="C14" s="60" t="s">
        <v>27</v>
      </c>
      <c r="D14" s="320">
        <v>2010</v>
      </c>
      <c r="E14" s="40">
        <f t="shared" si="0"/>
        <v>272.29999999999995</v>
      </c>
      <c r="F14" s="41"/>
      <c r="G14" s="42" t="str">
        <f>IF('TRA-M'!$A$2-D14&lt;=1,IF(X14&gt;=$T$3,"YES",IF(AE14&gt;=$AA$3,"YES",IF(AL14&gt;=$AH$3,"YES",""))),"")</f>
        <v/>
      </c>
      <c r="H14" s="43" t="str">
        <f t="shared" si="1"/>
        <v/>
      </c>
      <c r="I14" s="44" t="str">
        <f t="shared" si="2"/>
        <v/>
      </c>
      <c r="J14" s="45" t="str">
        <f t="shared" si="3"/>
        <v/>
      </c>
      <c r="K14" s="17">
        <f t="shared" si="4"/>
        <v>103.255</v>
      </c>
      <c r="L14" s="89">
        <v>4</v>
      </c>
      <c r="M14" s="9">
        <f t="shared" si="5"/>
        <v>50.75</v>
      </c>
      <c r="N14" s="308"/>
      <c r="O14" s="9">
        <f t="shared" si="6"/>
        <v>56.58</v>
      </c>
      <c r="P14" s="133"/>
      <c r="Q14" s="9">
        <f t="shared" si="7"/>
        <v>56.715000000000003</v>
      </c>
      <c r="R14" s="89">
        <v>1</v>
      </c>
      <c r="S14" s="46" t="str">
        <f t="shared" si="30"/>
        <v/>
      </c>
      <c r="T14" s="307">
        <f>28+2.7</f>
        <v>30.7</v>
      </c>
      <c r="U14" s="308">
        <v>17.09</v>
      </c>
      <c r="V14" s="61">
        <f>24+15</f>
        <v>39</v>
      </c>
      <c r="W14" s="61">
        <v>16.465</v>
      </c>
      <c r="X14" s="140">
        <f t="shared" si="8"/>
        <v>103.255</v>
      </c>
      <c r="Y14" s="89">
        <f>25.1+15</f>
        <v>40.1</v>
      </c>
      <c r="Z14" s="141">
        <v>16.614999999999998</v>
      </c>
      <c r="AA14" s="271">
        <f>17.5+9.7+6.6</f>
        <v>33.799999999999997</v>
      </c>
      <c r="AB14" s="272">
        <v>16.95</v>
      </c>
      <c r="AC14" s="67">
        <f>6.8+3.7+6.3</f>
        <v>16.8</v>
      </c>
      <c r="AD14" s="67">
        <v>6.83</v>
      </c>
      <c r="AE14" s="47">
        <f t="shared" si="9"/>
        <v>74.38</v>
      </c>
      <c r="AF14" s="272"/>
      <c r="AG14" s="273"/>
      <c r="AH14" s="52">
        <f>4+1.9+0.7</f>
        <v>6.6000000000000005</v>
      </c>
      <c r="AI14" s="53">
        <v>3.7250000000000001</v>
      </c>
      <c r="AJ14" s="61">
        <f>16.2+9+15</f>
        <v>40.200000000000003</v>
      </c>
      <c r="AK14" s="61">
        <v>16.38</v>
      </c>
      <c r="AL14" s="47">
        <f t="shared" si="10"/>
        <v>66.905000000000001</v>
      </c>
      <c r="AM14" s="278"/>
      <c r="AN14" s="279"/>
      <c r="AO14" s="336">
        <f t="shared" si="11"/>
        <v>-3.5049999999999955</v>
      </c>
      <c r="AP14" s="335">
        <f t="shared" si="12"/>
        <v>-33.224999999999994</v>
      </c>
      <c r="AQ14" s="337">
        <f t="shared" si="13"/>
        <v>-4.8050000000000068</v>
      </c>
      <c r="AR14" s="336">
        <f t="shared" si="14"/>
        <v>47.245000000000005</v>
      </c>
      <c r="AS14" s="335">
        <f t="shared" si="15"/>
        <v>23.355</v>
      </c>
      <c r="AT14" s="337">
        <f t="shared" si="16"/>
        <v>51.91</v>
      </c>
      <c r="AU14" s="271"/>
      <c r="AV14" s="272"/>
      <c r="AW14" s="272"/>
      <c r="AX14" s="272"/>
      <c r="AY14" s="55" t="str">
        <f t="shared" si="17"/>
        <v/>
      </c>
      <c r="AZ14" s="272"/>
      <c r="BA14" s="272"/>
      <c r="BB14" s="271">
        <f>26.2+3.3</f>
        <v>29.5</v>
      </c>
      <c r="BC14" s="272">
        <v>17.745000000000001</v>
      </c>
      <c r="BD14" s="53">
        <f>9.1+7.5</f>
        <v>16.600000000000001</v>
      </c>
      <c r="BE14" s="53">
        <v>6.7549999999999999</v>
      </c>
      <c r="BF14" s="55">
        <f t="shared" si="18"/>
        <v>70.600000000000009</v>
      </c>
      <c r="BG14" s="272"/>
      <c r="BH14" s="272"/>
      <c r="BI14" s="271"/>
      <c r="BJ14" s="272"/>
      <c r="BK14" s="272"/>
      <c r="BL14" s="272"/>
      <c r="BM14" s="55" t="str">
        <f t="shared" si="19"/>
        <v/>
      </c>
      <c r="BN14" s="272">
        <f>21.3+15</f>
        <v>36.299999999999997</v>
      </c>
      <c r="BO14" s="272">
        <v>15.61</v>
      </c>
      <c r="BP14" s="24"/>
      <c r="BQ14" s="25"/>
      <c r="BR14" s="25"/>
      <c r="BS14" s="25"/>
      <c r="BT14" s="55" t="str">
        <f t="shared" si="20"/>
        <v/>
      </c>
      <c r="BU14" s="25"/>
      <c r="BV14" s="25"/>
      <c r="BW14" s="271"/>
      <c r="BX14" s="272"/>
      <c r="BY14" s="272"/>
      <c r="BZ14" s="272"/>
      <c r="CA14" s="55" t="str">
        <f t="shared" si="21"/>
        <v/>
      </c>
      <c r="CB14" s="25"/>
      <c r="CC14" s="25"/>
      <c r="CD14" s="24"/>
      <c r="CE14" s="25"/>
      <c r="CF14" s="25"/>
      <c r="CG14" s="25"/>
      <c r="CH14" s="55" t="str">
        <f t="shared" si="22"/>
        <v/>
      </c>
      <c r="CI14" s="25"/>
      <c r="CJ14" s="25"/>
      <c r="CK14" s="24"/>
      <c r="CL14" s="25"/>
      <c r="CM14" s="25"/>
      <c r="CN14" s="25"/>
      <c r="CO14" s="55" t="str">
        <f t="shared" si="23"/>
        <v/>
      </c>
      <c r="CP14" s="25"/>
      <c r="CQ14" s="25"/>
      <c r="CR14" s="24"/>
      <c r="CS14" s="25"/>
      <c r="CT14" s="25"/>
      <c r="CU14" s="25"/>
      <c r="CV14" s="55" t="str">
        <f t="shared" si="24"/>
        <v/>
      </c>
      <c r="CW14" s="25"/>
      <c r="CX14" s="25"/>
      <c r="CY14" s="24"/>
      <c r="CZ14" s="25"/>
      <c r="DA14" s="25"/>
      <c r="DB14" s="25"/>
      <c r="DC14" s="55" t="str">
        <f t="shared" si="25"/>
        <v/>
      </c>
      <c r="DD14" s="25"/>
      <c r="DE14" s="25"/>
      <c r="DF14" s="307"/>
      <c r="DG14" s="308"/>
      <c r="DH14" s="308"/>
      <c r="DI14" s="308"/>
      <c r="DJ14" s="55" t="str">
        <f t="shared" si="26"/>
        <v/>
      </c>
      <c r="DK14" s="308"/>
      <c r="DL14" s="309"/>
      <c r="DM14" s="307"/>
      <c r="DN14" s="308"/>
      <c r="DO14" s="308"/>
      <c r="DP14" s="308"/>
      <c r="DQ14" s="55" t="str">
        <f t="shared" si="27"/>
        <v/>
      </c>
      <c r="DR14" s="308"/>
      <c r="DS14" s="309"/>
      <c r="DT14" s="307"/>
      <c r="DU14" s="308"/>
      <c r="DV14" s="308"/>
      <c r="DW14" s="308"/>
      <c r="DX14" s="55" t="str">
        <f t="shared" si="28"/>
        <v/>
      </c>
      <c r="DY14" s="308"/>
      <c r="DZ14" s="309"/>
      <c r="EA14" s="56"/>
      <c r="EB14" s="25"/>
      <c r="EC14" s="57"/>
      <c r="ED14" s="25"/>
      <c r="EE14" s="55" t="str">
        <f t="shared" si="29"/>
        <v/>
      </c>
      <c r="EF14" s="57"/>
      <c r="EG14" s="25"/>
      <c r="EH14" s="317"/>
      <c r="EI14" s="308"/>
      <c r="EJ14" s="318"/>
      <c r="EK14" s="308"/>
      <c r="EL14" s="55" t="str">
        <f>IF(EJ14&lt;&gt;"",SUM(EH14:EK14),"")</f>
        <v/>
      </c>
      <c r="EM14" s="58"/>
      <c r="EN14" s="308"/>
      <c r="EO14" s="313"/>
      <c r="EP14" s="311"/>
      <c r="EQ14" s="318"/>
      <c r="ER14" s="308"/>
      <c r="ES14" s="47" t="str">
        <f>IF(EQ14&lt;&gt;"",SUM(EO14:ER14),"")</f>
        <v/>
      </c>
      <c r="ET14" s="58"/>
      <c r="EU14" s="309"/>
      <c r="EV14" s="10"/>
    </row>
    <row r="15" spans="1:152" x14ac:dyDescent="0.3">
      <c r="A15" s="71"/>
      <c r="B15" s="69" t="s">
        <v>92</v>
      </c>
      <c r="C15" s="70" t="s">
        <v>26</v>
      </c>
      <c r="D15" s="267">
        <v>2011</v>
      </c>
      <c r="E15" s="40">
        <f t="shared" si="0"/>
        <v>252.29999999999995</v>
      </c>
      <c r="F15" s="72"/>
      <c r="G15" s="42" t="str">
        <f>IF('TRA-M'!$A$2-D15&lt;=1,IF(X15&gt;=$T$3,"YES",IF(AE15&gt;=$AA$3,"YES",IF(AL15&gt;=$AH$3,"YES",""))),"")</f>
        <v/>
      </c>
      <c r="H15" s="43" t="str">
        <f t="shared" si="1"/>
        <v/>
      </c>
      <c r="I15" s="44" t="str">
        <f t="shared" si="2"/>
        <v/>
      </c>
      <c r="J15" s="45" t="str">
        <f t="shared" si="3"/>
        <v/>
      </c>
      <c r="K15" s="17">
        <f t="shared" si="4"/>
        <v>98.299999999999983</v>
      </c>
      <c r="L15" s="272"/>
      <c r="M15" s="9">
        <f t="shared" si="5"/>
        <v>46.21</v>
      </c>
      <c r="N15" s="89">
        <v>3</v>
      </c>
      <c r="O15" s="9">
        <f t="shared" si="6"/>
        <v>51.019999999999996</v>
      </c>
      <c r="P15" s="272"/>
      <c r="Q15" s="9">
        <f t="shared" si="7"/>
        <v>53.769999999999996</v>
      </c>
      <c r="R15" s="272"/>
      <c r="S15" s="46" t="str">
        <f t="shared" si="30"/>
        <v/>
      </c>
      <c r="T15" s="138">
        <f>26.8+2.7</f>
        <v>29.5</v>
      </c>
      <c r="U15" s="89">
        <v>16.71</v>
      </c>
      <c r="V15" s="308">
        <f>19.7+13.5</f>
        <v>33.200000000000003</v>
      </c>
      <c r="W15" s="308">
        <v>15.82</v>
      </c>
      <c r="X15" s="47">
        <f t="shared" si="8"/>
        <v>95.22999999999999</v>
      </c>
      <c r="Y15" s="53">
        <f>5.7+3.8</f>
        <v>9.5</v>
      </c>
      <c r="Z15" s="73">
        <v>4.5049999999999999</v>
      </c>
      <c r="AA15" s="271">
        <f>14.8+9.1+6.1</f>
        <v>30</v>
      </c>
      <c r="AB15" s="272">
        <v>15.984999999999999</v>
      </c>
      <c r="AC15" s="308">
        <f>13.4+9+13.5</f>
        <v>35.9</v>
      </c>
      <c r="AD15" s="308">
        <v>15.12</v>
      </c>
      <c r="AE15" s="47">
        <f t="shared" si="9"/>
        <v>97.004999999999995</v>
      </c>
      <c r="AF15" s="272">
        <f>12.6+9+14.2</f>
        <v>35.799999999999997</v>
      </c>
      <c r="AG15" s="273">
        <v>16.254999999999999</v>
      </c>
      <c r="AH15" s="271">
        <f>14.9+9.1+6</f>
        <v>30</v>
      </c>
      <c r="AI15" s="272">
        <v>16.18</v>
      </c>
      <c r="AJ15" s="308">
        <f>14+9.4+13.4</f>
        <v>36.799999999999997</v>
      </c>
      <c r="AK15" s="308">
        <v>15.32</v>
      </c>
      <c r="AL15" s="47">
        <f t="shared" si="10"/>
        <v>98.299999999999983</v>
      </c>
      <c r="AM15" s="272">
        <f>14.3+8.9+14.8</f>
        <v>38</v>
      </c>
      <c r="AN15" s="273">
        <v>15.77</v>
      </c>
      <c r="AO15" s="336" t="str">
        <f t="shared" si="11"/>
        <v/>
      </c>
      <c r="AP15" s="335" t="str">
        <f t="shared" si="12"/>
        <v/>
      </c>
      <c r="AQ15" s="337" t="str">
        <f t="shared" si="13"/>
        <v/>
      </c>
      <c r="AR15" s="336" t="str">
        <f t="shared" si="14"/>
        <v/>
      </c>
      <c r="AS15" s="335" t="str">
        <f t="shared" si="15"/>
        <v/>
      </c>
      <c r="AT15" s="337" t="str">
        <f t="shared" si="16"/>
        <v/>
      </c>
      <c r="AU15" s="271"/>
      <c r="AV15" s="272"/>
      <c r="AW15" s="272"/>
      <c r="AX15" s="272"/>
      <c r="AY15" s="55" t="str">
        <f t="shared" si="17"/>
        <v/>
      </c>
      <c r="AZ15" s="272"/>
      <c r="BA15" s="272"/>
      <c r="BB15" s="271"/>
      <c r="BC15" s="272"/>
      <c r="BD15" s="272"/>
      <c r="BE15" s="272"/>
      <c r="BF15" s="55" t="str">
        <f t="shared" si="18"/>
        <v/>
      </c>
      <c r="BG15" s="272"/>
      <c r="BH15" s="272"/>
      <c r="BI15" s="271"/>
      <c r="BJ15" s="272"/>
      <c r="BK15" s="272"/>
      <c r="BL15" s="272"/>
      <c r="BM15" s="55" t="str">
        <f t="shared" si="19"/>
        <v/>
      </c>
      <c r="BN15" s="272"/>
      <c r="BO15" s="272"/>
      <c r="BP15" s="132"/>
      <c r="BQ15" s="133"/>
      <c r="BR15" s="133"/>
      <c r="BS15" s="133"/>
      <c r="BT15" s="55" t="str">
        <f t="shared" si="20"/>
        <v/>
      </c>
      <c r="BU15" s="133"/>
      <c r="BV15" s="133"/>
      <c r="BW15" s="271"/>
      <c r="BX15" s="272"/>
      <c r="BY15" s="272"/>
      <c r="BZ15" s="272"/>
      <c r="CA15" s="55" t="str">
        <f t="shared" si="21"/>
        <v/>
      </c>
      <c r="CB15" s="25"/>
      <c r="CC15" s="25"/>
      <c r="CD15" s="24"/>
      <c r="CE15" s="25"/>
      <c r="CF15" s="25"/>
      <c r="CG15" s="25"/>
      <c r="CH15" s="55" t="str">
        <f t="shared" si="22"/>
        <v/>
      </c>
      <c r="CI15" s="25"/>
      <c r="CJ15" s="25"/>
      <c r="CK15" s="24"/>
      <c r="CL15" s="25"/>
      <c r="CM15" s="25"/>
      <c r="CN15" s="25"/>
      <c r="CO15" s="55" t="str">
        <f t="shared" si="23"/>
        <v/>
      </c>
      <c r="CP15" s="25"/>
      <c r="CQ15" s="25"/>
      <c r="CR15" s="24"/>
      <c r="CS15" s="25"/>
      <c r="CT15" s="25"/>
      <c r="CU15" s="25"/>
      <c r="CV15" s="55" t="str">
        <f t="shared" si="24"/>
        <v/>
      </c>
      <c r="CW15" s="25"/>
      <c r="CX15" s="25"/>
      <c r="CY15" s="24"/>
      <c r="CZ15" s="25"/>
      <c r="DA15" s="25"/>
      <c r="DB15" s="25"/>
      <c r="DC15" s="55" t="str">
        <f t="shared" si="25"/>
        <v/>
      </c>
      <c r="DD15" s="25"/>
      <c r="DE15" s="25"/>
      <c r="DF15" s="26"/>
      <c r="DG15" s="27"/>
      <c r="DH15" s="27"/>
      <c r="DI15" s="27"/>
      <c r="DJ15" s="55" t="str">
        <f t="shared" si="26"/>
        <v/>
      </c>
      <c r="DK15" s="311"/>
      <c r="DL15" s="312"/>
      <c r="DM15" s="26"/>
      <c r="DN15" s="27"/>
      <c r="DO15" s="27"/>
      <c r="DP15" s="27"/>
      <c r="DQ15" s="55" t="str">
        <f t="shared" si="27"/>
        <v/>
      </c>
      <c r="DR15" s="311"/>
      <c r="DS15" s="312"/>
      <c r="DT15" s="26"/>
      <c r="DU15" s="27"/>
      <c r="DV15" s="27"/>
      <c r="DW15" s="27"/>
      <c r="DX15" s="55" t="str">
        <f t="shared" si="28"/>
        <v/>
      </c>
      <c r="DY15" s="311"/>
      <c r="DZ15" s="312"/>
      <c r="EA15" s="56"/>
      <c r="EB15" s="25"/>
      <c r="EC15" s="57"/>
      <c r="ED15" s="25"/>
      <c r="EE15" s="55" t="str">
        <f t="shared" si="29"/>
        <v/>
      </c>
      <c r="EF15" s="57"/>
      <c r="EG15" s="25"/>
      <c r="EH15" s="74"/>
      <c r="EI15" s="27"/>
      <c r="EL15" s="55" t="str">
        <f>IF(EJ15&lt;&gt;"",SUM(EH15:EK15),"")</f>
        <v/>
      </c>
      <c r="EM15" s="58"/>
      <c r="EN15" s="9"/>
      <c r="EO15" s="10"/>
      <c r="ES15" s="47" t="str">
        <f>IF(EQ15&lt;&gt;"",SUM(EO15:ER15),"")</f>
        <v/>
      </c>
      <c r="ET15" s="58"/>
      <c r="EU15" s="18"/>
      <c r="EV15" s="10"/>
    </row>
    <row r="16" spans="1:152" x14ac:dyDescent="0.3">
      <c r="A16" s="321"/>
      <c r="B16" s="69" t="s">
        <v>125</v>
      </c>
      <c r="C16" s="70" t="s">
        <v>25</v>
      </c>
      <c r="D16" s="126">
        <v>2017</v>
      </c>
      <c r="E16" s="40">
        <f t="shared" si="0"/>
        <v>241.125</v>
      </c>
      <c r="F16" s="41"/>
      <c r="G16" s="42" t="str">
        <f>IF('TRA-M'!$A$2-D16&lt;=1,IF(X16&gt;=$T$3,"YES",IF(AE16&gt;=$AA$3,"YES",IF(AL16&gt;=$AH$3,"YES",""))),"")</f>
        <v/>
      </c>
      <c r="H16" s="43" t="str">
        <f t="shared" si="1"/>
        <v/>
      </c>
      <c r="I16" s="44" t="str">
        <f t="shared" si="2"/>
        <v/>
      </c>
      <c r="J16" s="45" t="str">
        <f t="shared" si="3"/>
        <v/>
      </c>
      <c r="K16" s="17">
        <f t="shared" si="4"/>
        <v>97.495000000000005</v>
      </c>
      <c r="L16" s="308"/>
      <c r="M16" s="9">
        <f t="shared" si="5"/>
        <v>43.835000000000001</v>
      </c>
      <c r="N16" s="25"/>
      <c r="O16" s="9">
        <f t="shared" si="6"/>
        <v>48.715000000000003</v>
      </c>
      <c r="P16" s="133"/>
      <c r="Q16" s="9">
        <f t="shared" si="7"/>
        <v>51.08</v>
      </c>
      <c r="R16" s="308"/>
      <c r="S16" s="46" t="str">
        <f t="shared" si="30"/>
        <v/>
      </c>
      <c r="T16" s="271"/>
      <c r="U16" s="272"/>
      <c r="V16" s="61"/>
      <c r="W16" s="61"/>
      <c r="X16" s="47">
        <f t="shared" si="8"/>
        <v>0</v>
      </c>
      <c r="Y16" s="308"/>
      <c r="Z16" s="309"/>
      <c r="AA16" s="307">
        <f>15+9.1+3.4</f>
        <v>27.5</v>
      </c>
      <c r="AB16" s="308">
        <v>16.335000000000001</v>
      </c>
      <c r="AC16" s="61">
        <f>12.8+9+11.3</f>
        <v>33.1</v>
      </c>
      <c r="AD16" s="61">
        <v>15.615</v>
      </c>
      <c r="AE16" s="47">
        <f t="shared" si="9"/>
        <v>92.55</v>
      </c>
      <c r="AF16" s="272">
        <f>14.1+8.9+12.1</f>
        <v>35.1</v>
      </c>
      <c r="AG16" s="273">
        <v>15.98</v>
      </c>
      <c r="AH16" s="271">
        <f>15.6+9.3+5.7</f>
        <v>30.599999999999998</v>
      </c>
      <c r="AI16" s="272">
        <v>16.28</v>
      </c>
      <c r="AJ16" s="61">
        <f>14+9.3+11.4</f>
        <v>34.700000000000003</v>
      </c>
      <c r="AK16" s="61">
        <v>15.914999999999999</v>
      </c>
      <c r="AL16" s="47">
        <f t="shared" si="10"/>
        <v>97.495000000000005</v>
      </c>
      <c r="AM16" s="272"/>
      <c r="AN16" s="273"/>
      <c r="AO16" s="336" t="str">
        <f t="shared" si="11"/>
        <v/>
      </c>
      <c r="AP16" s="335" t="str">
        <f t="shared" si="12"/>
        <v/>
      </c>
      <c r="AQ16" s="337" t="str">
        <f t="shared" si="13"/>
        <v/>
      </c>
      <c r="AR16" s="336" t="str">
        <f t="shared" si="14"/>
        <v/>
      </c>
      <c r="AS16" s="335" t="str">
        <f t="shared" si="15"/>
        <v/>
      </c>
      <c r="AT16" s="337" t="str">
        <f t="shared" si="16"/>
        <v/>
      </c>
      <c r="AU16" s="271"/>
      <c r="AV16" s="272"/>
      <c r="AW16" s="272"/>
      <c r="AX16" s="272"/>
      <c r="AY16" s="55" t="str">
        <f t="shared" si="17"/>
        <v/>
      </c>
      <c r="AZ16" s="272"/>
      <c r="BA16" s="272"/>
      <c r="BB16" s="271"/>
      <c r="BC16" s="272"/>
      <c r="BD16" s="272"/>
      <c r="BE16" s="272"/>
      <c r="BF16" s="55" t="str">
        <f t="shared" si="18"/>
        <v/>
      </c>
      <c r="BG16" s="272"/>
      <c r="BH16" s="272"/>
      <c r="BI16" s="271"/>
      <c r="BJ16" s="272"/>
      <c r="BK16" s="272"/>
      <c r="BL16" s="272"/>
      <c r="BM16" s="55" t="str">
        <f t="shared" si="19"/>
        <v/>
      </c>
      <c r="BN16" s="272"/>
      <c r="BO16" s="272"/>
      <c r="BP16" s="271"/>
      <c r="BQ16" s="272"/>
      <c r="BR16" s="272"/>
      <c r="BS16" s="272"/>
      <c r="BT16" s="55" t="str">
        <f t="shared" si="20"/>
        <v/>
      </c>
      <c r="BU16" s="272"/>
      <c r="BV16" s="272"/>
      <c r="BW16" s="271"/>
      <c r="BX16" s="272"/>
      <c r="BY16" s="272"/>
      <c r="BZ16" s="272"/>
      <c r="CA16" s="55" t="str">
        <f t="shared" si="21"/>
        <v/>
      </c>
      <c r="CB16" s="133"/>
      <c r="CC16" s="133"/>
      <c r="CD16" s="132"/>
      <c r="CE16" s="133"/>
      <c r="CF16" s="133"/>
      <c r="CG16" s="133"/>
      <c r="CH16" s="55" t="str">
        <f t="shared" si="22"/>
        <v/>
      </c>
      <c r="CI16" s="133"/>
      <c r="CJ16" s="133"/>
      <c r="CK16" s="132"/>
      <c r="CL16" s="133"/>
      <c r="CM16" s="133"/>
      <c r="CN16" s="133"/>
      <c r="CO16" s="55" t="str">
        <f t="shared" si="23"/>
        <v/>
      </c>
      <c r="CP16" s="133"/>
      <c r="CQ16" s="133"/>
      <c r="CR16" s="132"/>
      <c r="CS16" s="133"/>
      <c r="CT16" s="133"/>
      <c r="CU16" s="133"/>
      <c r="CV16" s="55" t="str">
        <f t="shared" si="24"/>
        <v/>
      </c>
      <c r="CW16" s="133"/>
      <c r="CX16" s="133"/>
      <c r="CY16" s="24"/>
      <c r="CZ16" s="25"/>
      <c r="DA16" s="25"/>
      <c r="DB16" s="25"/>
      <c r="DC16" s="55" t="str">
        <f t="shared" si="25"/>
        <v/>
      </c>
      <c r="DD16" s="25"/>
      <c r="DE16" s="25"/>
      <c r="DF16" s="132"/>
      <c r="DG16" s="133"/>
      <c r="DH16" s="133"/>
      <c r="DI16" s="133"/>
      <c r="DJ16" s="55" t="str">
        <f t="shared" si="26"/>
        <v/>
      </c>
      <c r="DK16" s="308"/>
      <c r="DL16" s="309"/>
      <c r="DM16" s="132"/>
      <c r="DN16" s="133"/>
      <c r="DO16" s="133"/>
      <c r="DP16" s="133"/>
      <c r="DQ16" s="55" t="str">
        <f t="shared" si="27"/>
        <v/>
      </c>
      <c r="DR16" s="308"/>
      <c r="DS16" s="309"/>
      <c r="DT16" s="132"/>
      <c r="DU16" s="133"/>
      <c r="DV16" s="133"/>
      <c r="DW16" s="133"/>
      <c r="DX16" s="55" t="str">
        <f t="shared" si="28"/>
        <v/>
      </c>
      <c r="DY16" s="308"/>
      <c r="DZ16" s="309"/>
      <c r="EA16" s="56"/>
      <c r="EB16" s="133"/>
      <c r="EC16" s="57"/>
      <c r="ED16" s="133"/>
      <c r="EE16" s="55" t="str">
        <f t="shared" si="29"/>
        <v/>
      </c>
      <c r="EF16" s="57"/>
      <c r="EG16" s="133"/>
      <c r="EH16" s="56"/>
      <c r="EI16" s="133"/>
      <c r="EJ16" s="30"/>
      <c r="EK16" s="9"/>
      <c r="EL16" s="55" t="str">
        <f>IF(EJ16&lt;&gt;"",SUM(EH16:EK16),"")</f>
        <v/>
      </c>
      <c r="EM16" s="58"/>
      <c r="EN16" s="9"/>
      <c r="EO16" s="29"/>
      <c r="EP16" s="9"/>
      <c r="EQ16" s="30"/>
      <c r="ER16" s="9"/>
      <c r="ES16" s="47" t="str">
        <f>IF(EQ16&lt;&gt;"",SUM(EO16:ER16),"")</f>
        <v/>
      </c>
      <c r="ET16" s="58"/>
      <c r="EU16" s="18"/>
      <c r="EV16" s="10"/>
    </row>
    <row r="17" spans="1:152" x14ac:dyDescent="0.3">
      <c r="A17" s="68"/>
      <c r="B17" s="69" t="s">
        <v>79</v>
      </c>
      <c r="C17" s="70" t="s">
        <v>24</v>
      </c>
      <c r="D17" s="316">
        <v>2016</v>
      </c>
      <c r="E17" s="40">
        <f t="shared" si="0"/>
        <v>233.45499999999998</v>
      </c>
      <c r="F17" s="41"/>
      <c r="G17" s="42" t="str">
        <f>IF('TRA-M'!$A$2-D17&lt;=1,IF(X17&gt;=$T$3,"YES",IF(AE17&gt;=$AA$3,"YES",IF(AL17&gt;=$AH$3,"YES",""))),"")</f>
        <v/>
      </c>
      <c r="H17" s="43" t="str">
        <f t="shared" si="1"/>
        <v/>
      </c>
      <c r="I17" s="44" t="str">
        <f t="shared" si="2"/>
        <v/>
      </c>
      <c r="J17" s="45" t="str">
        <f t="shared" si="3"/>
        <v/>
      </c>
      <c r="K17" s="17">
        <f t="shared" si="4"/>
        <v>73.489999999999995</v>
      </c>
      <c r="L17" s="89">
        <v>3.5</v>
      </c>
      <c r="M17" s="9">
        <f t="shared" si="5"/>
        <v>48.71</v>
      </c>
      <c r="N17" s="308"/>
      <c r="O17" s="9">
        <f t="shared" si="6"/>
        <v>54.024999999999999</v>
      </c>
      <c r="P17" s="308"/>
      <c r="Q17" s="9">
        <f t="shared" si="7"/>
        <v>52.730000000000004</v>
      </c>
      <c r="R17" s="89">
        <v>1</v>
      </c>
      <c r="S17" s="46" t="str">
        <f t="shared" si="30"/>
        <v/>
      </c>
      <c r="T17" s="307">
        <f>26.9+2.7</f>
        <v>29.599999999999998</v>
      </c>
      <c r="U17" s="308">
        <v>16.515000000000001</v>
      </c>
      <c r="V17" s="67">
        <f>10.5+8.8</f>
        <v>19.3</v>
      </c>
      <c r="W17" s="67">
        <v>8.0749999999999993</v>
      </c>
      <c r="X17" s="140">
        <f t="shared" si="8"/>
        <v>73.489999999999995</v>
      </c>
      <c r="Y17" s="139">
        <f>21.2+16</f>
        <v>37.200000000000003</v>
      </c>
      <c r="Z17" s="141">
        <v>15.53</v>
      </c>
      <c r="AA17" s="52">
        <f>4.7+2.4+2.9</f>
        <v>10</v>
      </c>
      <c r="AB17" s="53">
        <v>5.0049999999999999</v>
      </c>
      <c r="AC17" s="61">
        <f>15.4+9+13.9</f>
        <v>38.299999999999997</v>
      </c>
      <c r="AD17" s="61">
        <v>15.725</v>
      </c>
      <c r="AE17" s="47">
        <f t="shared" si="9"/>
        <v>69.029999999999987</v>
      </c>
      <c r="AF17" s="272"/>
      <c r="AG17" s="273"/>
      <c r="AH17" s="271">
        <f>17.2+9.4+5.4</f>
        <v>32</v>
      </c>
      <c r="AI17" s="272">
        <v>16.71</v>
      </c>
      <c r="AJ17" s="67">
        <f>4.3+2.5+5.5</f>
        <v>12.3</v>
      </c>
      <c r="AK17" s="67">
        <v>5.12</v>
      </c>
      <c r="AL17" s="47">
        <f t="shared" si="10"/>
        <v>66.13000000000001</v>
      </c>
      <c r="AM17" s="308"/>
      <c r="AN17" s="309"/>
      <c r="AO17" s="336">
        <f t="shared" si="11"/>
        <v>-3.3500000000000014</v>
      </c>
      <c r="AP17" s="335">
        <f t="shared" si="12"/>
        <v>-3.1000000000000014</v>
      </c>
      <c r="AQ17" s="337">
        <f t="shared" si="13"/>
        <v>-0.54500000000000881</v>
      </c>
      <c r="AR17" s="336">
        <f t="shared" si="14"/>
        <v>45.36</v>
      </c>
      <c r="AS17" s="335">
        <f t="shared" si="15"/>
        <v>50.924999999999997</v>
      </c>
      <c r="AT17" s="337">
        <f t="shared" si="16"/>
        <v>52.184999999999995</v>
      </c>
      <c r="AU17" s="307"/>
      <c r="AV17" s="308"/>
      <c r="AW17" s="308"/>
      <c r="AX17" s="308"/>
      <c r="AY17" s="55" t="str">
        <f t="shared" si="17"/>
        <v/>
      </c>
      <c r="AZ17" s="308"/>
      <c r="BA17" s="308"/>
      <c r="BB17" s="307">
        <f>26.4+2.7</f>
        <v>29.099999999999998</v>
      </c>
      <c r="BC17" s="308">
        <v>16.260000000000002</v>
      </c>
      <c r="BD17" s="308">
        <f>20.8+15</f>
        <v>35.799999999999997</v>
      </c>
      <c r="BE17" s="308">
        <v>15.125</v>
      </c>
      <c r="BF17" s="55">
        <f t="shared" si="18"/>
        <v>96.284999999999997</v>
      </c>
      <c r="BG17" s="308"/>
      <c r="BH17" s="308"/>
      <c r="BI17" s="307"/>
      <c r="BJ17" s="308"/>
      <c r="BK17" s="308"/>
      <c r="BL17" s="308"/>
      <c r="BM17" s="55" t="str">
        <f t="shared" si="19"/>
        <v/>
      </c>
      <c r="BN17" s="308">
        <f>21.5+14.8</f>
        <v>36.299999999999997</v>
      </c>
      <c r="BO17" s="308">
        <v>15.885</v>
      </c>
      <c r="BP17" s="307"/>
      <c r="BQ17" s="308"/>
      <c r="BR17" s="308"/>
      <c r="BS17" s="308"/>
      <c r="BT17" s="55" t="str">
        <f t="shared" si="20"/>
        <v/>
      </c>
      <c r="BU17" s="308"/>
      <c r="BV17" s="308"/>
      <c r="BW17" s="307"/>
      <c r="BX17" s="308"/>
      <c r="BY17" s="308"/>
      <c r="BZ17" s="308"/>
      <c r="CA17" s="55" t="str">
        <f t="shared" si="21"/>
        <v/>
      </c>
      <c r="CB17" s="308"/>
      <c r="CC17" s="308"/>
      <c r="CD17" s="307"/>
      <c r="CE17" s="308"/>
      <c r="CF17" s="308"/>
      <c r="CG17" s="308"/>
      <c r="CH17" s="55" t="str">
        <f t="shared" si="22"/>
        <v/>
      </c>
      <c r="CI17" s="308"/>
      <c r="CJ17" s="308"/>
      <c r="CK17" s="307"/>
      <c r="CL17" s="308"/>
      <c r="CM17" s="308"/>
      <c r="CN17" s="308"/>
      <c r="CO17" s="55" t="str">
        <f t="shared" si="23"/>
        <v/>
      </c>
      <c r="CP17" s="308"/>
      <c r="CQ17" s="308"/>
      <c r="CR17" s="307"/>
      <c r="CS17" s="308"/>
      <c r="CT17" s="308"/>
      <c r="CU17" s="308"/>
      <c r="CV17" s="55" t="str">
        <f t="shared" si="24"/>
        <v/>
      </c>
      <c r="CW17" s="308"/>
      <c r="CX17" s="308"/>
      <c r="CY17" s="24"/>
      <c r="CZ17" s="25"/>
      <c r="DA17" s="25"/>
      <c r="DB17" s="25"/>
      <c r="DC17" s="55" t="str">
        <f t="shared" si="25"/>
        <v/>
      </c>
      <c r="DD17" s="25"/>
      <c r="DE17" s="25"/>
      <c r="DF17" s="307"/>
      <c r="DG17" s="308"/>
      <c r="DH17" s="308"/>
      <c r="DI17" s="308"/>
      <c r="DJ17" s="55" t="str">
        <f t="shared" si="26"/>
        <v/>
      </c>
      <c r="DK17" s="9"/>
      <c r="DL17" s="18"/>
      <c r="DM17" s="307"/>
      <c r="DN17" s="308"/>
      <c r="DO17" s="308"/>
      <c r="DP17" s="308"/>
      <c r="DQ17" s="55" t="str">
        <f t="shared" si="27"/>
        <v/>
      </c>
      <c r="DR17" s="9"/>
      <c r="DS17" s="18"/>
      <c r="DT17" s="307"/>
      <c r="DU17" s="308"/>
      <c r="DV17" s="308"/>
      <c r="DW17" s="308"/>
      <c r="DX17" s="55" t="str">
        <f t="shared" si="28"/>
        <v/>
      </c>
      <c r="DY17" s="9"/>
      <c r="DZ17" s="18"/>
      <c r="EA17" s="317"/>
      <c r="EB17" s="308"/>
      <c r="EC17" s="318"/>
      <c r="ED17" s="308"/>
      <c r="EE17" s="55" t="str">
        <f t="shared" si="29"/>
        <v/>
      </c>
      <c r="EF17" s="318"/>
      <c r="EG17" s="308"/>
      <c r="EH17" s="317"/>
      <c r="EI17" s="308"/>
      <c r="EJ17" s="30"/>
      <c r="EK17" s="9"/>
      <c r="EL17" s="55" t="str">
        <f>IF(EJ17&lt;&gt;"",SUM(EH17:EK17),"")</f>
        <v/>
      </c>
      <c r="EM17" s="58"/>
      <c r="EN17" s="9"/>
      <c r="EO17" s="29"/>
      <c r="EP17" s="9"/>
      <c r="EQ17" s="30"/>
      <c r="ER17" s="9"/>
      <c r="ES17" s="47" t="str">
        <f>IF(EQ17&lt;&gt;"",SUM(EO17:ER17),"")</f>
        <v/>
      </c>
      <c r="ET17" s="58"/>
      <c r="EU17" s="18"/>
      <c r="EV17" s="10"/>
    </row>
    <row r="18" spans="1:152" x14ac:dyDescent="0.3">
      <c r="A18" s="71"/>
      <c r="B18" s="69" t="s">
        <v>83</v>
      </c>
      <c r="C18" s="64" t="s">
        <v>25</v>
      </c>
      <c r="D18" s="320">
        <v>2016</v>
      </c>
      <c r="E18" s="40">
        <f t="shared" si="0"/>
        <v>230.14999999999998</v>
      </c>
      <c r="F18" s="41"/>
      <c r="G18" s="42" t="str">
        <f>IF('TRA-M'!$A$2-D18&lt;=1,IF(X18&gt;=$T$3,"YES",IF(AE18&gt;=$AA$3,"YES",IF(AL18&gt;=$AH$3,"YES",""))),"")</f>
        <v/>
      </c>
      <c r="H18" s="43" t="str">
        <f t="shared" si="1"/>
        <v/>
      </c>
      <c r="I18" s="44" t="str">
        <f t="shared" si="2"/>
        <v/>
      </c>
      <c r="J18" s="45" t="str">
        <f t="shared" si="3"/>
        <v/>
      </c>
      <c r="K18" s="17">
        <f t="shared" si="4"/>
        <v>95.05</v>
      </c>
      <c r="L18" s="272"/>
      <c r="M18" s="9">
        <f t="shared" si="5"/>
        <v>37.865000000000002</v>
      </c>
      <c r="N18" s="89">
        <v>3</v>
      </c>
      <c r="O18" s="9">
        <f t="shared" si="6"/>
        <v>46.064999999999998</v>
      </c>
      <c r="P18" s="89">
        <v>1</v>
      </c>
      <c r="Q18" s="9">
        <f t="shared" si="7"/>
        <v>46.17</v>
      </c>
      <c r="R18" s="89">
        <v>1</v>
      </c>
      <c r="S18" s="46" t="str">
        <f t="shared" si="30"/>
        <v/>
      </c>
      <c r="T18" s="138">
        <f>20.3+2.1</f>
        <v>22.400000000000002</v>
      </c>
      <c r="U18" s="89">
        <v>15.465</v>
      </c>
      <c r="V18" s="143">
        <f>19.6+12</f>
        <v>31.6</v>
      </c>
      <c r="W18" s="143">
        <v>14.465</v>
      </c>
      <c r="X18" s="47">
        <f t="shared" si="8"/>
        <v>83.93</v>
      </c>
      <c r="Y18" s="89">
        <f>19.5+12.2</f>
        <v>31.7</v>
      </c>
      <c r="Z18" s="141">
        <v>14.47</v>
      </c>
      <c r="AA18" s="307"/>
      <c r="AB18" s="308"/>
      <c r="AC18" s="61"/>
      <c r="AD18" s="61"/>
      <c r="AE18" s="47">
        <f t="shared" si="9"/>
        <v>0</v>
      </c>
      <c r="AF18" s="272"/>
      <c r="AG18" s="273"/>
      <c r="AH18" s="271">
        <f>17.7+9.5+3.7</f>
        <v>30.9</v>
      </c>
      <c r="AI18" s="272">
        <v>15.98</v>
      </c>
      <c r="AJ18" s="61">
        <f>12.9+9+11.3</f>
        <v>33.200000000000003</v>
      </c>
      <c r="AK18" s="61">
        <v>14.97</v>
      </c>
      <c r="AL18" s="47">
        <f t="shared" si="10"/>
        <v>95.05</v>
      </c>
      <c r="AM18" s="53">
        <f>6+3.5+4.9</f>
        <v>14.4</v>
      </c>
      <c r="AN18" s="73">
        <v>6.3250000000000002</v>
      </c>
      <c r="AO18" s="336" t="str">
        <f t="shared" si="11"/>
        <v/>
      </c>
      <c r="AP18" s="335" t="str">
        <f t="shared" si="12"/>
        <v/>
      </c>
      <c r="AQ18" s="337" t="str">
        <f t="shared" si="13"/>
        <v/>
      </c>
      <c r="AR18" s="336" t="str">
        <f t="shared" si="14"/>
        <v/>
      </c>
      <c r="AS18" s="335" t="str">
        <f t="shared" si="15"/>
        <v/>
      </c>
      <c r="AT18" s="337" t="str">
        <f t="shared" si="16"/>
        <v/>
      </c>
      <c r="AU18" s="310"/>
      <c r="AV18" s="311"/>
      <c r="AW18" s="311"/>
      <c r="AX18" s="311"/>
      <c r="AY18" s="55" t="str">
        <f t="shared" si="17"/>
        <v/>
      </c>
      <c r="AZ18" s="311"/>
      <c r="BA18" s="311"/>
      <c r="BB18" s="310"/>
      <c r="BC18" s="311"/>
      <c r="BD18" s="311"/>
      <c r="BE18" s="311"/>
      <c r="BF18" s="55" t="str">
        <f t="shared" si="18"/>
        <v/>
      </c>
      <c r="BG18" s="311"/>
      <c r="BH18" s="311"/>
      <c r="BI18" s="310"/>
      <c r="BJ18" s="311"/>
      <c r="BK18" s="311"/>
      <c r="BL18" s="311"/>
      <c r="BM18" s="55" t="str">
        <f t="shared" si="19"/>
        <v/>
      </c>
      <c r="BN18" s="311"/>
      <c r="BO18" s="311"/>
      <c r="BP18" s="310"/>
      <c r="BQ18" s="311"/>
      <c r="BR18" s="311"/>
      <c r="BS18" s="311"/>
      <c r="BT18" s="55" t="str">
        <f t="shared" si="20"/>
        <v/>
      </c>
      <c r="BU18" s="311"/>
      <c r="BV18" s="311"/>
      <c r="BW18" s="310"/>
      <c r="BX18" s="311"/>
      <c r="BY18" s="311"/>
      <c r="BZ18" s="311"/>
      <c r="CA18" s="55" t="str">
        <f t="shared" si="21"/>
        <v/>
      </c>
      <c r="CB18" s="311"/>
      <c r="CC18" s="311"/>
      <c r="CD18" s="310"/>
      <c r="CE18" s="311"/>
      <c r="CF18" s="311"/>
      <c r="CG18" s="311"/>
      <c r="CH18" s="55" t="str">
        <f t="shared" si="22"/>
        <v/>
      </c>
      <c r="CI18" s="311"/>
      <c r="CJ18" s="311"/>
      <c r="CK18" s="310"/>
      <c r="CL18" s="311"/>
      <c r="CM18" s="311"/>
      <c r="CN18" s="311"/>
      <c r="CO18" s="55" t="str">
        <f t="shared" si="23"/>
        <v/>
      </c>
      <c r="CP18" s="311"/>
      <c r="CQ18" s="311"/>
      <c r="CR18" s="310"/>
      <c r="CS18" s="311"/>
      <c r="CT18" s="311"/>
      <c r="CU18" s="311"/>
      <c r="CV18" s="55" t="str">
        <f t="shared" si="24"/>
        <v/>
      </c>
      <c r="CW18" s="311"/>
      <c r="CX18" s="311"/>
      <c r="CY18" s="24"/>
      <c r="CZ18" s="25"/>
      <c r="DA18" s="25"/>
      <c r="DB18" s="25"/>
      <c r="DC18" s="55" t="str">
        <f t="shared" si="25"/>
        <v/>
      </c>
      <c r="DD18" s="25"/>
      <c r="DE18" s="25"/>
      <c r="DF18" s="310"/>
      <c r="DG18" s="311"/>
      <c r="DH18" s="311"/>
      <c r="DI18" s="311"/>
      <c r="DJ18" s="55" t="str">
        <f t="shared" si="26"/>
        <v/>
      </c>
      <c r="DK18" s="311"/>
      <c r="DL18" s="312"/>
      <c r="DM18" s="310"/>
      <c r="DN18" s="311"/>
      <c r="DO18" s="311"/>
      <c r="DP18" s="311"/>
      <c r="DQ18" s="55" t="str">
        <f t="shared" si="27"/>
        <v/>
      </c>
      <c r="DR18" s="311"/>
      <c r="DS18" s="312"/>
      <c r="DT18" s="310"/>
      <c r="DU18" s="311"/>
      <c r="DV18" s="311"/>
      <c r="DW18" s="311"/>
      <c r="DX18" s="55" t="str">
        <f t="shared" si="28"/>
        <v/>
      </c>
      <c r="DY18" s="311"/>
      <c r="DZ18" s="312"/>
      <c r="EA18" s="313"/>
      <c r="EB18" s="311"/>
      <c r="EC18" s="314"/>
      <c r="ED18" s="311"/>
      <c r="EE18" s="55" t="str">
        <f t="shared" si="29"/>
        <v/>
      </c>
      <c r="EF18" s="314"/>
      <c r="EG18" s="311"/>
      <c r="EH18" s="313"/>
      <c r="EI18" s="311"/>
      <c r="EJ18" s="30"/>
      <c r="EK18" s="9"/>
      <c r="EL18" s="55"/>
      <c r="EM18" s="58"/>
      <c r="EN18" s="9"/>
      <c r="EO18" s="29"/>
      <c r="EP18" s="9"/>
      <c r="EQ18" s="30"/>
      <c r="ER18" s="9"/>
      <c r="ES18" s="47"/>
      <c r="ET18" s="58"/>
      <c r="EU18" s="18"/>
      <c r="EV18" s="10"/>
    </row>
    <row r="19" spans="1:152" x14ac:dyDescent="0.3">
      <c r="A19" s="68"/>
      <c r="B19" s="69" t="s">
        <v>84</v>
      </c>
      <c r="C19" s="321" t="s">
        <v>25</v>
      </c>
      <c r="D19" s="321">
        <v>2016</v>
      </c>
      <c r="E19" s="40">
        <f t="shared" si="0"/>
        <v>205.99999999999997</v>
      </c>
      <c r="F19" s="41"/>
      <c r="G19" s="65" t="str">
        <f>IF('TRA-M'!$A$2-D19&lt;=1,IF(X19&gt;=$T$3,"YES",IF(AE19&gt;=$AA$3,"YES",IF(AL19&gt;=$AH$3,"YES",""))),"")</f>
        <v/>
      </c>
      <c r="H19" s="43" t="str">
        <f t="shared" si="1"/>
        <v/>
      </c>
      <c r="I19" s="44" t="str">
        <f t="shared" si="2"/>
        <v/>
      </c>
      <c r="J19" s="45" t="str">
        <f t="shared" si="3"/>
        <v/>
      </c>
      <c r="K19" s="17">
        <f t="shared" si="4"/>
        <v>90.914999999999992</v>
      </c>
      <c r="L19" s="272"/>
      <c r="M19" s="9">
        <f t="shared" si="5"/>
        <v>41.284999999999997</v>
      </c>
      <c r="N19" s="89">
        <v>3</v>
      </c>
      <c r="O19" s="9">
        <f t="shared" si="6"/>
        <v>42.005000000000003</v>
      </c>
      <c r="P19" s="89">
        <v>1</v>
      </c>
      <c r="Q19" s="9">
        <f t="shared" si="7"/>
        <v>27.794999999999998</v>
      </c>
      <c r="R19" s="308"/>
      <c r="S19" s="46" t="str">
        <f t="shared" si="30"/>
        <v/>
      </c>
      <c r="T19" s="138">
        <f>23.8+1.2</f>
        <v>25</v>
      </c>
      <c r="U19" s="89">
        <v>16.285</v>
      </c>
      <c r="V19" s="143">
        <f>17.4+10.6</f>
        <v>28</v>
      </c>
      <c r="W19" s="143">
        <v>14.005000000000001</v>
      </c>
      <c r="X19" s="47">
        <f t="shared" si="8"/>
        <v>83.289999999999992</v>
      </c>
      <c r="Y19" s="142">
        <f>8.4+5.4</f>
        <v>13.8</v>
      </c>
      <c r="Z19" s="154">
        <v>6.45</v>
      </c>
      <c r="AA19" s="52">
        <v>0</v>
      </c>
      <c r="AB19" s="53">
        <v>0</v>
      </c>
      <c r="AC19" s="67">
        <f>1.5+0.9+2</f>
        <v>4.4000000000000004</v>
      </c>
      <c r="AD19" s="67">
        <v>1.72</v>
      </c>
      <c r="AE19" s="47">
        <f t="shared" si="9"/>
        <v>6.12</v>
      </c>
      <c r="AF19" s="308"/>
      <c r="AG19" s="309"/>
      <c r="AH19" s="271">
        <f>14.9+8.6+4.6-2</f>
        <v>26.1</v>
      </c>
      <c r="AI19" s="272">
        <v>15.89</v>
      </c>
      <c r="AJ19" s="61">
        <f>13.8+8.6+11.3</f>
        <v>33.700000000000003</v>
      </c>
      <c r="AK19" s="61">
        <v>15.225</v>
      </c>
      <c r="AL19" s="47">
        <f t="shared" si="10"/>
        <v>90.914999999999992</v>
      </c>
      <c r="AM19" s="53">
        <f>7.2+4.5+8.2</f>
        <v>19.899999999999999</v>
      </c>
      <c r="AN19" s="73">
        <v>7.8949999999999996</v>
      </c>
      <c r="AO19" s="336" t="str">
        <f t="shared" si="11"/>
        <v/>
      </c>
      <c r="AP19" s="335" t="str">
        <f t="shared" si="12"/>
        <v/>
      </c>
      <c r="AQ19" s="337" t="str">
        <f t="shared" si="13"/>
        <v/>
      </c>
      <c r="AR19" s="336" t="str">
        <f t="shared" si="14"/>
        <v/>
      </c>
      <c r="AS19" s="335" t="str">
        <f t="shared" si="15"/>
        <v/>
      </c>
      <c r="AT19" s="337" t="str">
        <f t="shared" si="16"/>
        <v/>
      </c>
      <c r="AU19" s="271"/>
      <c r="AV19" s="272"/>
      <c r="AW19" s="272"/>
      <c r="AX19" s="272"/>
      <c r="AY19" s="55" t="str">
        <f t="shared" si="17"/>
        <v/>
      </c>
      <c r="AZ19" s="272"/>
      <c r="BA19" s="272"/>
      <c r="BB19" s="271"/>
      <c r="BC19" s="272"/>
      <c r="BD19" s="272"/>
      <c r="BE19" s="272"/>
      <c r="BF19" s="55" t="str">
        <f t="shared" si="18"/>
        <v/>
      </c>
      <c r="BG19" s="272"/>
      <c r="BH19" s="272"/>
      <c r="BI19" s="271"/>
      <c r="BJ19" s="272"/>
      <c r="BK19" s="272"/>
      <c r="BL19" s="272"/>
      <c r="BM19" s="55" t="str">
        <f t="shared" si="19"/>
        <v/>
      </c>
      <c r="BN19" s="272"/>
      <c r="BO19" s="272"/>
      <c r="BP19" s="24"/>
      <c r="BQ19" s="25"/>
      <c r="BR19" s="25"/>
      <c r="BS19" s="25"/>
      <c r="BT19" s="55" t="str">
        <f t="shared" si="20"/>
        <v/>
      </c>
      <c r="BU19" s="25"/>
      <c r="BV19" s="25"/>
      <c r="BW19" s="24"/>
      <c r="BX19" s="25"/>
      <c r="BY19" s="25"/>
      <c r="BZ19" s="25"/>
      <c r="CA19" s="55" t="str">
        <f t="shared" si="21"/>
        <v/>
      </c>
      <c r="CB19" s="25"/>
      <c r="CC19" s="25"/>
      <c r="CD19" s="24"/>
      <c r="CE19" s="25"/>
      <c r="CF19" s="25"/>
      <c r="CG19" s="25"/>
      <c r="CH19" s="55" t="str">
        <f t="shared" si="22"/>
        <v/>
      </c>
      <c r="CI19" s="25"/>
      <c r="CJ19" s="25"/>
      <c r="CK19" s="24"/>
      <c r="CL19" s="25"/>
      <c r="CM19" s="25"/>
      <c r="CN19" s="25"/>
      <c r="CO19" s="55" t="str">
        <f t="shared" si="23"/>
        <v/>
      </c>
      <c r="CP19" s="25"/>
      <c r="CQ19" s="25"/>
      <c r="CR19" s="24"/>
      <c r="CS19" s="25"/>
      <c r="CT19" s="25"/>
      <c r="CU19" s="25"/>
      <c r="CV19" s="55" t="str">
        <f t="shared" si="24"/>
        <v/>
      </c>
      <c r="CW19" s="25"/>
      <c r="CX19" s="25"/>
      <c r="CY19" s="24"/>
      <c r="CZ19" s="25"/>
      <c r="DA19" s="25"/>
      <c r="DB19" s="25"/>
      <c r="DC19" s="55" t="str">
        <f t="shared" si="25"/>
        <v/>
      </c>
      <c r="DD19" s="25"/>
      <c r="DE19" s="25"/>
      <c r="DF19" s="24"/>
      <c r="DG19" s="25"/>
      <c r="DH19" s="25"/>
      <c r="DI19" s="25"/>
      <c r="DJ19" s="55" t="str">
        <f t="shared" si="26"/>
        <v/>
      </c>
      <c r="DK19" s="25"/>
      <c r="DL19" s="39"/>
      <c r="DM19" s="24"/>
      <c r="DN19" s="25"/>
      <c r="DO19" s="25"/>
      <c r="DP19" s="25"/>
      <c r="DQ19" s="55" t="str">
        <f t="shared" si="27"/>
        <v/>
      </c>
      <c r="DR19" s="25"/>
      <c r="DS19" s="39"/>
      <c r="DT19" s="24"/>
      <c r="DU19" s="25"/>
      <c r="DV19" s="25"/>
      <c r="DW19" s="25"/>
      <c r="DX19" s="55" t="str">
        <f t="shared" si="28"/>
        <v/>
      </c>
      <c r="DY19" s="25"/>
      <c r="DZ19" s="39"/>
      <c r="EA19" s="56"/>
      <c r="EB19" s="25"/>
      <c r="EC19" s="57"/>
      <c r="ED19" s="25"/>
      <c r="EE19" s="55" t="str">
        <f t="shared" si="29"/>
        <v/>
      </c>
      <c r="EF19" s="57"/>
      <c r="EG19" s="25"/>
      <c r="EH19" s="56"/>
      <c r="EI19" s="25"/>
      <c r="EJ19" s="30"/>
      <c r="EK19" s="9"/>
      <c r="EL19" s="55" t="str">
        <f t="shared" ref="EL19:EL25" si="31">IF(EJ19&lt;&gt;"",SUM(EH19:EK19),"")</f>
        <v/>
      </c>
      <c r="EM19" s="58"/>
      <c r="EN19" s="9"/>
      <c r="EO19" s="29"/>
      <c r="EP19" s="9"/>
      <c r="EQ19" s="30"/>
      <c r="ER19" s="9"/>
      <c r="ES19" s="47" t="str">
        <f t="shared" ref="ES19:ES25" si="32">IF(EQ19&lt;&gt;"",SUM(EO19:ER19),"")</f>
        <v/>
      </c>
      <c r="ET19" s="58"/>
      <c r="EU19" s="18"/>
      <c r="EV19" s="10"/>
    </row>
    <row r="20" spans="1:152" x14ac:dyDescent="0.3">
      <c r="A20" s="68">
        <v>4</v>
      </c>
      <c r="B20" s="69" t="s">
        <v>165</v>
      </c>
      <c r="C20" s="70" t="s">
        <v>26</v>
      </c>
      <c r="D20" s="316">
        <v>2017</v>
      </c>
      <c r="E20" s="40">
        <f t="shared" si="0"/>
        <v>197.95</v>
      </c>
      <c r="F20" s="41"/>
      <c r="G20" s="42" t="str">
        <f>IF('TRA-M'!$A$2-D20&lt;=1,IF(X20&gt;=$T$3,"YES",IF(AE20&gt;=$AA$3,"YES",IF(AL20&gt;=$AH$3,"YES",""))),"")</f>
        <v>YES</v>
      </c>
      <c r="H20" s="43" t="str">
        <f t="shared" si="1"/>
        <v/>
      </c>
      <c r="I20" s="44" t="str">
        <f t="shared" si="2"/>
        <v/>
      </c>
      <c r="J20" s="45" t="str">
        <f t="shared" si="3"/>
        <v/>
      </c>
      <c r="K20" s="17">
        <f t="shared" si="4"/>
        <v>103.5</v>
      </c>
      <c r="L20" s="25"/>
      <c r="M20" s="9">
        <f t="shared" si="5"/>
        <v>49.199999999999996</v>
      </c>
      <c r="N20" s="308"/>
      <c r="O20" s="9">
        <f t="shared" si="6"/>
        <v>17.299999999999997</v>
      </c>
      <c r="P20" s="308"/>
      <c r="Q20" s="9">
        <f t="shared" si="7"/>
        <v>27.950000000000003</v>
      </c>
      <c r="R20" s="25"/>
      <c r="S20" s="46" t="str">
        <f t="shared" si="30"/>
        <v/>
      </c>
      <c r="T20" s="307"/>
      <c r="U20" s="308"/>
      <c r="V20" s="61"/>
      <c r="W20" s="61"/>
      <c r="X20" s="47">
        <f t="shared" si="8"/>
        <v>0</v>
      </c>
      <c r="Y20" s="272"/>
      <c r="Z20" s="273"/>
      <c r="AA20" s="271">
        <f>17+9.2+5.8</f>
        <v>32</v>
      </c>
      <c r="AB20" s="272">
        <v>17.045000000000002</v>
      </c>
      <c r="AC20" s="61">
        <f>15.5+9+14</f>
        <v>38.5</v>
      </c>
      <c r="AD20" s="61">
        <v>15.955</v>
      </c>
      <c r="AE20" s="47">
        <f t="shared" si="9"/>
        <v>103.5</v>
      </c>
      <c r="AF20" s="53">
        <f>7.9+4.1+7.8</f>
        <v>19.8</v>
      </c>
      <c r="AG20" s="73">
        <v>8.15</v>
      </c>
      <c r="AH20" s="271">
        <f>17.5+9.4+5.8</f>
        <v>32.699999999999996</v>
      </c>
      <c r="AI20" s="272">
        <v>16.5</v>
      </c>
      <c r="AJ20" s="67">
        <f>4.6+2.6+5.1</f>
        <v>12.299999999999999</v>
      </c>
      <c r="AK20" s="67">
        <v>5</v>
      </c>
      <c r="AL20" s="47">
        <f t="shared" si="10"/>
        <v>66.5</v>
      </c>
      <c r="AM20" s="272"/>
      <c r="AN20" s="273"/>
      <c r="AO20" s="336" t="str">
        <f t="shared" si="11"/>
        <v/>
      </c>
      <c r="AP20" s="335" t="str">
        <f t="shared" si="12"/>
        <v/>
      </c>
      <c r="AQ20" s="337" t="str">
        <f t="shared" si="13"/>
        <v/>
      </c>
      <c r="AR20" s="336" t="str">
        <f t="shared" si="14"/>
        <v/>
      </c>
      <c r="AS20" s="335" t="str">
        <f t="shared" si="15"/>
        <v/>
      </c>
      <c r="AT20" s="337" t="str">
        <f t="shared" si="16"/>
        <v/>
      </c>
      <c r="AU20" s="307"/>
      <c r="AV20" s="308"/>
      <c r="AW20" s="308"/>
      <c r="AX20" s="308"/>
      <c r="AY20" s="55" t="str">
        <f t="shared" si="17"/>
        <v/>
      </c>
      <c r="AZ20" s="308"/>
      <c r="BA20" s="308"/>
      <c r="BB20" s="307"/>
      <c r="BC20" s="308"/>
      <c r="BD20" s="308"/>
      <c r="BE20" s="308"/>
      <c r="BF20" s="55" t="str">
        <f t="shared" si="18"/>
        <v/>
      </c>
      <c r="BG20" s="308"/>
      <c r="BH20" s="308"/>
      <c r="BI20" s="307"/>
      <c r="BJ20" s="308"/>
      <c r="BK20" s="308"/>
      <c r="BL20" s="308"/>
      <c r="BM20" s="55" t="str">
        <f t="shared" si="19"/>
        <v/>
      </c>
      <c r="BN20" s="308"/>
      <c r="BO20" s="308"/>
      <c r="BP20" s="307"/>
      <c r="BQ20" s="308"/>
      <c r="BR20" s="308"/>
      <c r="BS20" s="308"/>
      <c r="BT20" s="55" t="str">
        <f t="shared" si="20"/>
        <v/>
      </c>
      <c r="BU20" s="308"/>
      <c r="BV20" s="308"/>
      <c r="BW20" s="307"/>
      <c r="BX20" s="308"/>
      <c r="BY20" s="308"/>
      <c r="BZ20" s="308"/>
      <c r="CA20" s="55" t="str">
        <f t="shared" si="21"/>
        <v/>
      </c>
      <c r="CB20" s="308"/>
      <c r="CC20" s="308"/>
      <c r="CD20" s="307"/>
      <c r="CE20" s="308"/>
      <c r="CF20" s="308"/>
      <c r="CG20" s="308"/>
      <c r="CH20" s="55" t="str">
        <f t="shared" si="22"/>
        <v/>
      </c>
      <c r="CI20" s="308"/>
      <c r="CJ20" s="308"/>
      <c r="CK20" s="307"/>
      <c r="CL20" s="308"/>
      <c r="CM20" s="308"/>
      <c r="CN20" s="308"/>
      <c r="CO20" s="55" t="str">
        <f t="shared" si="23"/>
        <v/>
      </c>
      <c r="CP20" s="308"/>
      <c r="CQ20" s="308"/>
      <c r="CR20" s="307"/>
      <c r="CS20" s="308"/>
      <c r="CT20" s="308"/>
      <c r="CU20" s="308"/>
      <c r="CV20" s="55" t="str">
        <f t="shared" si="24"/>
        <v/>
      </c>
      <c r="CW20" s="308"/>
      <c r="CX20" s="308"/>
      <c r="CY20" s="24"/>
      <c r="CZ20" s="25"/>
      <c r="DA20" s="25"/>
      <c r="DB20" s="25"/>
      <c r="DC20" s="55" t="str">
        <f t="shared" si="25"/>
        <v/>
      </c>
      <c r="DD20" s="25"/>
      <c r="DE20" s="25"/>
      <c r="DF20" s="307"/>
      <c r="DG20" s="308"/>
      <c r="DH20" s="308"/>
      <c r="DI20" s="308"/>
      <c r="DJ20" s="55" t="str">
        <f t="shared" si="26"/>
        <v/>
      </c>
      <c r="DK20" s="308"/>
      <c r="DL20" s="309"/>
      <c r="DM20" s="307"/>
      <c r="DN20" s="308"/>
      <c r="DO20" s="308"/>
      <c r="DP20" s="308"/>
      <c r="DQ20" s="55" t="str">
        <f t="shared" si="27"/>
        <v/>
      </c>
      <c r="DR20" s="308"/>
      <c r="DS20" s="309"/>
      <c r="DT20" s="307"/>
      <c r="DU20" s="308"/>
      <c r="DV20" s="308"/>
      <c r="DW20" s="308"/>
      <c r="DX20" s="55" t="str">
        <f t="shared" si="28"/>
        <v/>
      </c>
      <c r="DY20" s="308"/>
      <c r="DZ20" s="309"/>
      <c r="EA20" s="317"/>
      <c r="EB20" s="308"/>
      <c r="EC20" s="318"/>
      <c r="ED20" s="308"/>
      <c r="EE20" s="55" t="str">
        <f t="shared" si="29"/>
        <v/>
      </c>
      <c r="EF20" s="318"/>
      <c r="EG20" s="308"/>
      <c r="EH20" s="317"/>
      <c r="EI20" s="308"/>
      <c r="EJ20" s="30"/>
      <c r="EK20" s="9"/>
      <c r="EL20" s="55" t="str">
        <f t="shared" si="31"/>
        <v/>
      </c>
      <c r="EM20" s="58"/>
      <c r="EN20" s="9"/>
      <c r="EO20" s="29"/>
      <c r="EP20" s="9"/>
      <c r="EQ20" s="30"/>
      <c r="ER20" s="9"/>
      <c r="ES20" s="47" t="str">
        <f t="shared" si="32"/>
        <v/>
      </c>
      <c r="ET20" s="58"/>
      <c r="EU20" s="18"/>
      <c r="EV20" s="10"/>
    </row>
    <row r="21" spans="1:152" x14ac:dyDescent="0.3">
      <c r="A21" s="289"/>
      <c r="B21" s="69" t="s">
        <v>127</v>
      </c>
      <c r="C21" s="64" t="s">
        <v>27</v>
      </c>
      <c r="D21" s="289">
        <v>2015</v>
      </c>
      <c r="E21" s="40">
        <f t="shared" si="0"/>
        <v>113.221</v>
      </c>
      <c r="F21" s="41"/>
      <c r="G21" s="65" t="str">
        <f>IF('TRA-M'!$A$2-D21&lt;=1,IF(X21&gt;=$T$3,"YES",IF(AE21&gt;=$AA$3,"YES",IF(AL21&gt;=$AH$3,"YES",""))),"")</f>
        <v/>
      </c>
      <c r="H21" s="43" t="str">
        <f t="shared" si="1"/>
        <v/>
      </c>
      <c r="I21" s="44" t="str">
        <f t="shared" si="2"/>
        <v/>
      </c>
      <c r="J21" s="45" t="str">
        <f t="shared" si="3"/>
        <v/>
      </c>
      <c r="K21" s="17">
        <f t="shared" si="4"/>
        <v>74.644999999999996</v>
      </c>
      <c r="L21" s="272"/>
      <c r="M21" s="9">
        <f t="shared" si="5"/>
        <v>24.187999999999999</v>
      </c>
      <c r="N21" s="278"/>
      <c r="O21" s="9">
        <f t="shared" si="6"/>
        <v>14.388</v>
      </c>
      <c r="P21" s="278"/>
      <c r="Q21" s="9">
        <f t="shared" si="7"/>
        <v>0</v>
      </c>
      <c r="R21" s="25"/>
      <c r="S21" s="46" t="str">
        <f t="shared" si="30"/>
        <v/>
      </c>
      <c r="T21" s="277"/>
      <c r="U21" s="278"/>
      <c r="V21" s="61"/>
      <c r="W21" s="61"/>
      <c r="X21" s="47">
        <f t="shared" si="8"/>
        <v>0</v>
      </c>
      <c r="Y21" s="272"/>
      <c r="Z21" s="273"/>
      <c r="AA21" s="50">
        <f>13.7+1.75</f>
        <v>15.45</v>
      </c>
      <c r="AB21" s="48">
        <v>8.7379999999999995</v>
      </c>
      <c r="AC21" s="152">
        <f>9.1+0.25</f>
        <v>9.35</v>
      </c>
      <c r="AD21" s="144">
        <v>5.0380000000000003</v>
      </c>
      <c r="AE21" s="49">
        <f t="shared" si="9"/>
        <v>38.575999999999993</v>
      </c>
      <c r="AF21" s="48"/>
      <c r="AG21" s="114"/>
      <c r="AH21" s="52">
        <f>11.7+6.3+1.3</f>
        <v>19.3</v>
      </c>
      <c r="AI21" s="53">
        <v>12.664999999999999</v>
      </c>
      <c r="AJ21" s="67">
        <f>10.6+7.1+11.7</f>
        <v>29.4</v>
      </c>
      <c r="AK21" s="67">
        <v>13.28</v>
      </c>
      <c r="AL21" s="47">
        <f t="shared" si="10"/>
        <v>74.644999999999996</v>
      </c>
      <c r="AM21" s="272"/>
      <c r="AN21" s="273"/>
      <c r="AO21" s="336" t="str">
        <f t="shared" si="11"/>
        <v/>
      </c>
      <c r="AP21" s="335" t="str">
        <f t="shared" si="12"/>
        <v/>
      </c>
      <c r="AQ21" s="337" t="str">
        <f t="shared" si="13"/>
        <v/>
      </c>
      <c r="AR21" s="336" t="str">
        <f t="shared" si="14"/>
        <v/>
      </c>
      <c r="AS21" s="335" t="str">
        <f t="shared" si="15"/>
        <v/>
      </c>
      <c r="AT21" s="337" t="str">
        <f t="shared" si="16"/>
        <v/>
      </c>
      <c r="AU21" s="277"/>
      <c r="AV21" s="278"/>
      <c r="AW21" s="278"/>
      <c r="AX21" s="278"/>
      <c r="AY21" s="55" t="str">
        <f t="shared" si="17"/>
        <v/>
      </c>
      <c r="AZ21" s="278"/>
      <c r="BA21" s="278"/>
      <c r="BB21" s="277"/>
      <c r="BC21" s="278"/>
      <c r="BD21" s="278"/>
      <c r="BE21" s="278"/>
      <c r="BF21" s="55" t="str">
        <f t="shared" si="18"/>
        <v/>
      </c>
      <c r="BG21" s="278"/>
      <c r="BH21" s="278"/>
      <c r="BI21" s="277"/>
      <c r="BJ21" s="278"/>
      <c r="BK21" s="278"/>
      <c r="BL21" s="278"/>
      <c r="BM21" s="55" t="str">
        <f t="shared" si="19"/>
        <v/>
      </c>
      <c r="BN21" s="278"/>
      <c r="BO21" s="278"/>
      <c r="BP21" s="277"/>
      <c r="BQ21" s="278"/>
      <c r="BR21" s="278"/>
      <c r="BS21" s="278"/>
      <c r="BT21" s="55" t="str">
        <f t="shared" si="20"/>
        <v/>
      </c>
      <c r="BU21" s="278"/>
      <c r="BV21" s="278"/>
      <c r="BW21" s="277"/>
      <c r="BX21" s="278"/>
      <c r="BY21" s="278"/>
      <c r="BZ21" s="278"/>
      <c r="CA21" s="55" t="str">
        <f t="shared" si="21"/>
        <v/>
      </c>
      <c r="CB21" s="278"/>
      <c r="CC21" s="278"/>
      <c r="CD21" s="277"/>
      <c r="CE21" s="278"/>
      <c r="CF21" s="278"/>
      <c r="CG21" s="278"/>
      <c r="CH21" s="55" t="str">
        <f t="shared" si="22"/>
        <v/>
      </c>
      <c r="CI21" s="278"/>
      <c r="CJ21" s="278"/>
      <c r="CK21" s="277"/>
      <c r="CL21" s="278"/>
      <c r="CM21" s="278"/>
      <c r="CN21" s="278"/>
      <c r="CO21" s="55" t="str">
        <f t="shared" si="23"/>
        <v/>
      </c>
      <c r="CP21" s="278"/>
      <c r="CQ21" s="278"/>
      <c r="CR21" s="277"/>
      <c r="CS21" s="278"/>
      <c r="CT21" s="278"/>
      <c r="CU21" s="278"/>
      <c r="CV21" s="55" t="str">
        <f t="shared" si="24"/>
        <v/>
      </c>
      <c r="CW21" s="278"/>
      <c r="CX21" s="278"/>
      <c r="CY21" s="24"/>
      <c r="CZ21" s="25"/>
      <c r="DA21" s="25"/>
      <c r="DB21" s="25"/>
      <c r="DC21" s="55" t="str">
        <f t="shared" si="25"/>
        <v/>
      </c>
      <c r="DD21" s="25"/>
      <c r="DE21" s="25"/>
      <c r="DF21" s="277"/>
      <c r="DG21" s="278"/>
      <c r="DH21" s="278"/>
      <c r="DI21" s="278"/>
      <c r="DJ21" s="55" t="str">
        <f t="shared" si="26"/>
        <v/>
      </c>
      <c r="DK21" s="278"/>
      <c r="DL21" s="279"/>
      <c r="DM21" s="277"/>
      <c r="DN21" s="278"/>
      <c r="DO21" s="278"/>
      <c r="DP21" s="278"/>
      <c r="DQ21" s="55" t="str">
        <f t="shared" si="27"/>
        <v/>
      </c>
      <c r="DR21" s="278"/>
      <c r="DS21" s="279"/>
      <c r="DT21" s="277"/>
      <c r="DU21" s="278"/>
      <c r="DV21" s="278"/>
      <c r="DW21" s="278"/>
      <c r="DX21" s="55" t="str">
        <f t="shared" si="28"/>
        <v/>
      </c>
      <c r="DY21" s="278"/>
      <c r="DZ21" s="279"/>
      <c r="EA21" s="285"/>
      <c r="EB21" s="278"/>
      <c r="EC21" s="286"/>
      <c r="ED21" s="278"/>
      <c r="EE21" s="55" t="str">
        <f t="shared" si="29"/>
        <v/>
      </c>
      <c r="EF21" s="286"/>
      <c r="EG21" s="278"/>
      <c r="EH21" s="285"/>
      <c r="EI21" s="278"/>
      <c r="EJ21" s="30"/>
      <c r="EK21" s="9"/>
      <c r="EL21" s="55" t="str">
        <f t="shared" si="31"/>
        <v/>
      </c>
      <c r="EM21" s="58"/>
      <c r="EN21" s="9"/>
      <c r="EO21" s="29"/>
      <c r="EP21" s="9"/>
      <c r="EQ21" s="30"/>
      <c r="ER21" s="9"/>
      <c r="ES21" s="47" t="str">
        <f t="shared" si="32"/>
        <v/>
      </c>
      <c r="ET21" s="58"/>
      <c r="EU21" s="18"/>
      <c r="EV21" s="10"/>
    </row>
    <row r="22" spans="1:152" x14ac:dyDescent="0.3">
      <c r="A22" s="64"/>
      <c r="B22" s="69" t="s">
        <v>157</v>
      </c>
      <c r="C22" s="70" t="s">
        <v>24</v>
      </c>
      <c r="D22" s="284">
        <v>2017</v>
      </c>
      <c r="E22" s="40">
        <f t="shared" si="0"/>
        <v>106.35000000000001</v>
      </c>
      <c r="F22" s="41"/>
      <c r="G22" s="42" t="str">
        <f>IF('TRA-M'!$A$2-D22&lt;=1,IF(X22&gt;=$T$3,"YES",IF(AE22&gt;=$AA$3,"YES",IF(AL22&gt;=$AH$3,"YES",""))),"")</f>
        <v/>
      </c>
      <c r="H22" s="43" t="str">
        <f t="shared" si="1"/>
        <v/>
      </c>
      <c r="I22" s="44" t="str">
        <f t="shared" si="2"/>
        <v/>
      </c>
      <c r="J22" s="45" t="str">
        <f t="shared" si="3"/>
        <v/>
      </c>
      <c r="K22" s="17">
        <f t="shared" si="4"/>
        <v>96.27000000000001</v>
      </c>
      <c r="L22" s="272"/>
      <c r="M22" s="9">
        <f t="shared" si="5"/>
        <v>0</v>
      </c>
      <c r="N22" s="25"/>
      <c r="O22" s="9">
        <f t="shared" si="6"/>
        <v>0</v>
      </c>
      <c r="P22" s="25"/>
      <c r="Q22" s="9">
        <f t="shared" si="7"/>
        <v>10.08</v>
      </c>
      <c r="R22" s="25"/>
      <c r="S22" s="46" t="str">
        <f t="shared" si="30"/>
        <v/>
      </c>
      <c r="T22" s="271"/>
      <c r="U22" s="272"/>
      <c r="V22" s="61"/>
      <c r="W22" s="61"/>
      <c r="X22" s="47">
        <f t="shared" si="8"/>
        <v>0</v>
      </c>
      <c r="Y22" s="272"/>
      <c r="Z22" s="273"/>
      <c r="AA22" s="277"/>
      <c r="AB22" s="278"/>
      <c r="AC22" s="61"/>
      <c r="AD22" s="61"/>
      <c r="AE22" s="47">
        <f t="shared" si="9"/>
        <v>0</v>
      </c>
      <c r="AF22" s="278"/>
      <c r="AG22" s="279"/>
      <c r="AH22" s="277">
        <f>17.1+9.8+4.2</f>
        <v>31.1</v>
      </c>
      <c r="AI22" s="278">
        <v>15.654999999999999</v>
      </c>
      <c r="AJ22" s="61">
        <f>12.8+9.1+13.8</f>
        <v>35.700000000000003</v>
      </c>
      <c r="AK22" s="61">
        <v>13.815</v>
      </c>
      <c r="AL22" s="47">
        <f t="shared" si="10"/>
        <v>96.27000000000001</v>
      </c>
      <c r="AM22" s="53">
        <f>2.4+1.6+3</f>
        <v>7</v>
      </c>
      <c r="AN22" s="73">
        <v>3.08</v>
      </c>
      <c r="AO22" s="336" t="str">
        <f t="shared" si="11"/>
        <v/>
      </c>
      <c r="AP22" s="335" t="str">
        <f t="shared" si="12"/>
        <v/>
      </c>
      <c r="AQ22" s="337" t="str">
        <f t="shared" si="13"/>
        <v/>
      </c>
      <c r="AR22" s="336" t="str">
        <f t="shared" si="14"/>
        <v/>
      </c>
      <c r="AS22" s="335" t="str">
        <f t="shared" si="15"/>
        <v/>
      </c>
      <c r="AT22" s="337" t="str">
        <f t="shared" si="16"/>
        <v/>
      </c>
      <c r="AU22" s="271"/>
      <c r="AV22" s="272"/>
      <c r="AW22" s="272"/>
      <c r="AX22" s="272"/>
      <c r="AY22" s="55" t="str">
        <f t="shared" si="17"/>
        <v/>
      </c>
      <c r="AZ22" s="272"/>
      <c r="BA22" s="272"/>
      <c r="BB22" s="271"/>
      <c r="BC22" s="272"/>
      <c r="BD22" s="272"/>
      <c r="BE22" s="272"/>
      <c r="BF22" s="55" t="str">
        <f t="shared" si="18"/>
        <v/>
      </c>
      <c r="BG22" s="272"/>
      <c r="BH22" s="272"/>
      <c r="BI22" s="271"/>
      <c r="BJ22" s="272"/>
      <c r="BK22" s="272"/>
      <c r="BL22" s="272"/>
      <c r="BM22" s="55" t="str">
        <f t="shared" si="19"/>
        <v/>
      </c>
      <c r="BN22" s="272"/>
      <c r="BO22" s="272"/>
      <c r="BP22" s="24"/>
      <c r="BQ22" s="25"/>
      <c r="BR22" s="25"/>
      <c r="BS22" s="25"/>
      <c r="BT22" s="55" t="str">
        <f t="shared" si="20"/>
        <v/>
      </c>
      <c r="BU22" s="25"/>
      <c r="BV22" s="25"/>
      <c r="BW22" s="24"/>
      <c r="BX22" s="25"/>
      <c r="BY22" s="25"/>
      <c r="BZ22" s="25"/>
      <c r="CA22" s="55" t="str">
        <f t="shared" si="21"/>
        <v/>
      </c>
      <c r="CB22" s="25"/>
      <c r="CC22" s="25"/>
      <c r="CD22" s="24"/>
      <c r="CE22" s="25"/>
      <c r="CF22" s="25"/>
      <c r="CG22" s="25"/>
      <c r="CH22" s="55" t="str">
        <f t="shared" si="22"/>
        <v/>
      </c>
      <c r="CI22" s="25"/>
      <c r="CJ22" s="25"/>
      <c r="CK22" s="24"/>
      <c r="CL22" s="25"/>
      <c r="CM22" s="25"/>
      <c r="CN22" s="25"/>
      <c r="CO22" s="55" t="str">
        <f t="shared" si="23"/>
        <v/>
      </c>
      <c r="CP22" s="25"/>
      <c r="CQ22" s="25"/>
      <c r="CR22" s="24"/>
      <c r="CS22" s="25"/>
      <c r="CT22" s="25"/>
      <c r="CU22" s="25"/>
      <c r="CV22" s="55" t="str">
        <f t="shared" si="24"/>
        <v/>
      </c>
      <c r="CW22" s="25"/>
      <c r="CX22" s="25"/>
      <c r="CY22" s="24"/>
      <c r="CZ22" s="25"/>
      <c r="DA22" s="25"/>
      <c r="DB22" s="25"/>
      <c r="DC22" s="55" t="str">
        <f t="shared" si="25"/>
        <v/>
      </c>
      <c r="DD22" s="25"/>
      <c r="DE22" s="25"/>
      <c r="DF22" s="24"/>
      <c r="DG22" s="25"/>
      <c r="DH22" s="25"/>
      <c r="DI22" s="25"/>
      <c r="DJ22" s="55" t="str">
        <f t="shared" si="26"/>
        <v/>
      </c>
      <c r="DK22" s="25"/>
      <c r="DL22" s="39"/>
      <c r="DM22" s="24"/>
      <c r="DN22" s="25"/>
      <c r="DO22" s="25"/>
      <c r="DP22" s="25"/>
      <c r="DQ22" s="55" t="str">
        <f t="shared" si="27"/>
        <v/>
      </c>
      <c r="DR22" s="25"/>
      <c r="DS22" s="39"/>
      <c r="DT22" s="24"/>
      <c r="DU22" s="25"/>
      <c r="DV22" s="25"/>
      <c r="DW22" s="25"/>
      <c r="DX22" s="55" t="str">
        <f t="shared" si="28"/>
        <v/>
      </c>
      <c r="DY22" s="25"/>
      <c r="DZ22" s="39"/>
      <c r="EA22" s="56"/>
      <c r="EB22" s="25"/>
      <c r="EC22" s="57"/>
      <c r="ED22" s="25"/>
      <c r="EE22" s="55" t="str">
        <f t="shared" si="29"/>
        <v/>
      </c>
      <c r="EF22" s="57"/>
      <c r="EG22" s="25"/>
      <c r="EH22" s="56"/>
      <c r="EI22" s="25"/>
      <c r="EJ22" s="30"/>
      <c r="EK22" s="9"/>
      <c r="EL22" s="55" t="str">
        <f t="shared" si="31"/>
        <v/>
      </c>
      <c r="EM22" s="58"/>
      <c r="EN22" s="9"/>
      <c r="EO22" s="29"/>
      <c r="EP22" s="9"/>
      <c r="EQ22" s="30"/>
      <c r="ER22" s="9"/>
      <c r="ES22" s="47" t="str">
        <f t="shared" si="32"/>
        <v/>
      </c>
      <c r="ET22" s="58"/>
      <c r="EU22" s="18"/>
      <c r="EV22" s="10"/>
    </row>
    <row r="23" spans="1:152" x14ac:dyDescent="0.3">
      <c r="A23" s="64"/>
      <c r="B23" s="69" t="s">
        <v>66</v>
      </c>
      <c r="C23" s="70" t="s">
        <v>26</v>
      </c>
      <c r="D23" s="126">
        <v>2015</v>
      </c>
      <c r="E23" s="40">
        <f t="shared" si="0"/>
        <v>99.13000000000001</v>
      </c>
      <c r="F23" s="41"/>
      <c r="G23" s="42" t="str">
        <f>IF('TRA-M'!$A$2-D23&lt;=1,IF(X23&gt;=$T$3,"YES",IF(AE23&gt;=$AA$3,"YES",IF(AL23&gt;=$AH$3,"YES",""))),"")</f>
        <v/>
      </c>
      <c r="H23" s="43" t="str">
        <f t="shared" si="1"/>
        <v/>
      </c>
      <c r="I23" s="44" t="str">
        <f t="shared" si="2"/>
        <v/>
      </c>
      <c r="J23" s="45" t="str">
        <f t="shared" si="3"/>
        <v/>
      </c>
      <c r="K23" s="129">
        <f t="shared" si="4"/>
        <v>99.13000000000001</v>
      </c>
      <c r="L23" s="272"/>
      <c r="M23" s="130">
        <f t="shared" si="5"/>
        <v>0</v>
      </c>
      <c r="N23" s="133"/>
      <c r="O23" s="130">
        <f t="shared" si="6"/>
        <v>0</v>
      </c>
      <c r="P23" s="133"/>
      <c r="Q23" s="130">
        <f t="shared" si="7"/>
        <v>0</v>
      </c>
      <c r="R23" s="133"/>
      <c r="S23" s="46" t="str">
        <f t="shared" si="30"/>
        <v/>
      </c>
      <c r="T23" s="271"/>
      <c r="U23" s="272"/>
      <c r="V23" s="61"/>
      <c r="W23" s="61"/>
      <c r="X23" s="47">
        <f t="shared" si="8"/>
        <v>0</v>
      </c>
      <c r="Y23" s="272"/>
      <c r="Z23" s="273"/>
      <c r="AA23" s="271"/>
      <c r="AB23" s="272"/>
      <c r="AC23" s="61"/>
      <c r="AD23" s="61"/>
      <c r="AE23" s="47">
        <f t="shared" si="9"/>
        <v>0</v>
      </c>
      <c r="AF23" s="272"/>
      <c r="AG23" s="273"/>
      <c r="AH23" s="271">
        <f>18.3+9.4+5.1</f>
        <v>32.800000000000004</v>
      </c>
      <c r="AI23" s="272">
        <v>16.78</v>
      </c>
      <c r="AJ23" s="67">
        <f>12.9+8.6+13.6</f>
        <v>35.1</v>
      </c>
      <c r="AK23" s="67">
        <v>14.45</v>
      </c>
      <c r="AL23" s="47">
        <f t="shared" si="10"/>
        <v>99.13000000000001</v>
      </c>
      <c r="AM23" s="48"/>
      <c r="AN23" s="114"/>
      <c r="AO23" s="336" t="str">
        <f t="shared" si="11"/>
        <v/>
      </c>
      <c r="AP23" s="335" t="str">
        <f t="shared" si="12"/>
        <v/>
      </c>
      <c r="AQ23" s="337" t="str">
        <f t="shared" si="13"/>
        <v/>
      </c>
      <c r="AR23" s="336" t="str">
        <f t="shared" si="14"/>
        <v/>
      </c>
      <c r="AS23" s="335" t="str">
        <f t="shared" si="15"/>
        <v/>
      </c>
      <c r="AT23" s="337" t="str">
        <f t="shared" si="16"/>
        <v/>
      </c>
      <c r="AU23" s="271"/>
      <c r="AV23" s="272"/>
      <c r="AW23" s="272"/>
      <c r="AX23" s="272"/>
      <c r="AY23" s="55" t="str">
        <f t="shared" si="17"/>
        <v/>
      </c>
      <c r="AZ23" s="272"/>
      <c r="BA23" s="272"/>
      <c r="BB23" s="271"/>
      <c r="BC23" s="272"/>
      <c r="BD23" s="272"/>
      <c r="BE23" s="272"/>
      <c r="BF23" s="55" t="str">
        <f t="shared" si="18"/>
        <v/>
      </c>
      <c r="BG23" s="272"/>
      <c r="BH23" s="272"/>
      <c r="BI23" s="271"/>
      <c r="BJ23" s="272"/>
      <c r="BK23" s="272"/>
      <c r="BL23" s="272"/>
      <c r="BM23" s="55" t="str">
        <f t="shared" si="19"/>
        <v/>
      </c>
      <c r="BN23" s="272"/>
      <c r="BO23" s="272"/>
      <c r="BP23" s="132"/>
      <c r="BQ23" s="133"/>
      <c r="BR23" s="133"/>
      <c r="BS23" s="133"/>
      <c r="BT23" s="55" t="str">
        <f t="shared" si="20"/>
        <v/>
      </c>
      <c r="BU23" s="133"/>
      <c r="BV23" s="133"/>
      <c r="BW23" s="132"/>
      <c r="BX23" s="133"/>
      <c r="BY23" s="133"/>
      <c r="BZ23" s="133"/>
      <c r="CA23" s="55" t="str">
        <f t="shared" si="21"/>
        <v/>
      </c>
      <c r="CB23" s="133"/>
      <c r="CC23" s="133"/>
      <c r="CD23" s="132"/>
      <c r="CE23" s="133"/>
      <c r="CF23" s="133"/>
      <c r="CG23" s="133"/>
      <c r="CH23" s="55" t="str">
        <f t="shared" si="22"/>
        <v/>
      </c>
      <c r="CI23" s="133"/>
      <c r="CJ23" s="133"/>
      <c r="CK23" s="132"/>
      <c r="CL23" s="133"/>
      <c r="CM23" s="133"/>
      <c r="CN23" s="133"/>
      <c r="CO23" s="55" t="str">
        <f t="shared" si="23"/>
        <v/>
      </c>
      <c r="CP23" s="133"/>
      <c r="CQ23" s="133"/>
      <c r="CR23" s="132"/>
      <c r="CS23" s="133"/>
      <c r="CT23" s="133"/>
      <c r="CU23" s="133"/>
      <c r="CV23" s="55" t="str">
        <f t="shared" si="24"/>
        <v/>
      </c>
      <c r="CW23" s="133"/>
      <c r="CX23" s="133"/>
      <c r="CY23" s="132"/>
      <c r="CZ23" s="133"/>
      <c r="DA23" s="133"/>
      <c r="DB23" s="133"/>
      <c r="DC23" s="55" t="str">
        <f t="shared" si="25"/>
        <v/>
      </c>
      <c r="DD23" s="133"/>
      <c r="DE23" s="133"/>
      <c r="DF23" s="132"/>
      <c r="DG23" s="133"/>
      <c r="DH23" s="133"/>
      <c r="DI23" s="133"/>
      <c r="DJ23" s="55" t="str">
        <f t="shared" si="26"/>
        <v/>
      </c>
      <c r="DK23" s="133"/>
      <c r="DL23" s="134"/>
      <c r="DM23" s="132"/>
      <c r="DN23" s="133"/>
      <c r="DO23" s="133"/>
      <c r="DP23" s="133"/>
      <c r="DQ23" s="55" t="str">
        <f t="shared" si="27"/>
        <v/>
      </c>
      <c r="DR23" s="133"/>
      <c r="DS23" s="134"/>
      <c r="DT23" s="132"/>
      <c r="DU23" s="133"/>
      <c r="DV23" s="133"/>
      <c r="DW23" s="133"/>
      <c r="DX23" s="55" t="str">
        <f t="shared" si="28"/>
        <v/>
      </c>
      <c r="DY23" s="133"/>
      <c r="DZ23" s="134"/>
      <c r="EA23" s="56"/>
      <c r="EB23" s="133"/>
      <c r="EC23" s="57"/>
      <c r="ED23" s="133"/>
      <c r="EE23" s="55" t="str">
        <f t="shared" si="29"/>
        <v/>
      </c>
      <c r="EF23" s="57"/>
      <c r="EG23" s="133"/>
      <c r="EH23" s="56"/>
      <c r="EI23" s="133"/>
      <c r="EJ23" s="125"/>
      <c r="EK23" s="130"/>
      <c r="EL23" s="55" t="str">
        <f t="shared" si="31"/>
        <v/>
      </c>
      <c r="EM23" s="58"/>
      <c r="EN23" s="130"/>
      <c r="EO23" s="124"/>
      <c r="EP23" s="130"/>
      <c r="EQ23" s="125"/>
      <c r="ER23" s="130"/>
      <c r="ES23" s="47" t="str">
        <f t="shared" si="32"/>
        <v/>
      </c>
      <c r="ET23" s="58"/>
      <c r="EU23" s="131"/>
      <c r="EV23" s="10"/>
    </row>
    <row r="24" spans="1:152" x14ac:dyDescent="0.3">
      <c r="A24" s="71"/>
      <c r="B24" s="69" t="s">
        <v>55</v>
      </c>
      <c r="C24" s="70" t="s">
        <v>27</v>
      </c>
      <c r="D24" s="267">
        <v>2013</v>
      </c>
      <c r="E24" s="40">
        <f t="shared" si="0"/>
        <v>49.984999999999999</v>
      </c>
      <c r="F24" s="41"/>
      <c r="G24" s="42" t="str">
        <f>IF('TRA-M'!$A$2-D24&lt;=1,IF(X24&gt;=$T$3,"YES",IF(AE24&gt;=$AA$3,"YES",IF(AL24&gt;=$AH$3,"YES",""))),"")</f>
        <v/>
      </c>
      <c r="H24" s="43" t="str">
        <f t="shared" si="1"/>
        <v/>
      </c>
      <c r="I24" s="44" t="str">
        <f t="shared" si="2"/>
        <v/>
      </c>
      <c r="J24" s="45" t="str">
        <f t="shared" si="3"/>
        <v/>
      </c>
      <c r="K24" s="268">
        <f t="shared" si="4"/>
        <v>0</v>
      </c>
      <c r="L24" s="272"/>
      <c r="M24" s="269">
        <f t="shared" si="5"/>
        <v>0</v>
      </c>
      <c r="N24" s="272"/>
      <c r="O24" s="269">
        <f t="shared" si="6"/>
        <v>0</v>
      </c>
      <c r="P24" s="272"/>
      <c r="Q24" s="269">
        <f t="shared" si="7"/>
        <v>0</v>
      </c>
      <c r="R24" s="272"/>
      <c r="S24" s="46">
        <f t="shared" si="30"/>
        <v>49.984999999999999</v>
      </c>
      <c r="T24" s="271"/>
      <c r="U24" s="272"/>
      <c r="V24" s="61"/>
      <c r="W24" s="61"/>
      <c r="X24" s="47">
        <f t="shared" si="8"/>
        <v>0</v>
      </c>
      <c r="Y24" s="272"/>
      <c r="Z24" s="273"/>
      <c r="AA24" s="271"/>
      <c r="AB24" s="272"/>
      <c r="AC24" s="61"/>
      <c r="AD24" s="61"/>
      <c r="AE24" s="47">
        <f t="shared" si="9"/>
        <v>0</v>
      </c>
      <c r="AF24" s="272"/>
      <c r="AG24" s="273"/>
      <c r="AH24" s="271"/>
      <c r="AI24" s="272"/>
      <c r="AJ24" s="61"/>
      <c r="AK24" s="61"/>
      <c r="AL24" s="47">
        <f t="shared" si="10"/>
        <v>0</v>
      </c>
      <c r="AM24" s="272"/>
      <c r="AN24" s="273"/>
      <c r="AO24" s="336">
        <f t="shared" si="11"/>
        <v>41.1</v>
      </c>
      <c r="AP24" s="335">
        <f t="shared" si="12"/>
        <v>19.86</v>
      </c>
      <c r="AQ24" s="337">
        <f t="shared" si="13"/>
        <v>49.984999999999999</v>
      </c>
      <c r="AR24" s="336">
        <f t="shared" si="14"/>
        <v>41.1</v>
      </c>
      <c r="AS24" s="335">
        <f t="shared" si="15"/>
        <v>19.86</v>
      </c>
      <c r="AT24" s="337">
        <f t="shared" si="16"/>
        <v>49.984999999999999</v>
      </c>
      <c r="AU24" s="77">
        <v>25.3</v>
      </c>
      <c r="AV24" s="78">
        <v>15.8</v>
      </c>
      <c r="AW24" s="53">
        <f>8.4+5.4</f>
        <v>13.8</v>
      </c>
      <c r="AX24" s="53">
        <v>6.06</v>
      </c>
      <c r="AY24" s="79">
        <f t="shared" si="17"/>
        <v>60.960000000000008</v>
      </c>
      <c r="AZ24" s="78">
        <f>22.1+13.1</f>
        <v>35.200000000000003</v>
      </c>
      <c r="BA24" s="78">
        <v>14.785</v>
      </c>
      <c r="BB24" s="271"/>
      <c r="BC24" s="272"/>
      <c r="BD24" s="272"/>
      <c r="BE24" s="272"/>
      <c r="BF24" s="55" t="str">
        <f t="shared" si="18"/>
        <v/>
      </c>
      <c r="BG24" s="272"/>
      <c r="BH24" s="272"/>
      <c r="BI24" s="271"/>
      <c r="BJ24" s="272"/>
      <c r="BK24" s="272"/>
      <c r="BL24" s="272"/>
      <c r="BM24" s="55" t="str">
        <f t="shared" si="19"/>
        <v/>
      </c>
      <c r="BN24" s="272"/>
      <c r="BO24" s="272"/>
      <c r="BP24" s="271"/>
      <c r="BQ24" s="272"/>
      <c r="BR24" s="272"/>
      <c r="BS24" s="272"/>
      <c r="BT24" s="55" t="str">
        <f t="shared" si="20"/>
        <v/>
      </c>
      <c r="BU24" s="272"/>
      <c r="BV24" s="272"/>
      <c r="BW24" s="271"/>
      <c r="BX24" s="272"/>
      <c r="BY24" s="272"/>
      <c r="BZ24" s="272"/>
      <c r="CA24" s="55" t="str">
        <f t="shared" si="21"/>
        <v/>
      </c>
      <c r="CB24" s="272"/>
      <c r="CC24" s="272"/>
      <c r="CD24" s="271"/>
      <c r="CE24" s="272"/>
      <c r="CF24" s="272"/>
      <c r="CG24" s="272"/>
      <c r="CH24" s="55" t="str">
        <f t="shared" si="22"/>
        <v/>
      </c>
      <c r="CI24" s="272"/>
      <c r="CJ24" s="272"/>
      <c r="CK24" s="271"/>
      <c r="CL24" s="272"/>
      <c r="CM24" s="272"/>
      <c r="CN24" s="272"/>
      <c r="CO24" s="55" t="str">
        <f t="shared" si="23"/>
        <v/>
      </c>
      <c r="CP24" s="272"/>
      <c r="CQ24" s="272"/>
      <c r="CR24" s="271"/>
      <c r="CS24" s="272"/>
      <c r="CT24" s="272"/>
      <c r="CU24" s="272"/>
      <c r="CV24" s="55" t="str">
        <f t="shared" si="24"/>
        <v/>
      </c>
      <c r="CW24" s="272"/>
      <c r="CX24" s="272"/>
      <c r="CY24" s="271"/>
      <c r="CZ24" s="272"/>
      <c r="DA24" s="272"/>
      <c r="DB24" s="272"/>
      <c r="DC24" s="55" t="str">
        <f t="shared" si="25"/>
        <v/>
      </c>
      <c r="DD24" s="272"/>
      <c r="DE24" s="272"/>
      <c r="DF24" s="271"/>
      <c r="DG24" s="272"/>
      <c r="DH24" s="272"/>
      <c r="DI24" s="272"/>
      <c r="DJ24" s="55" t="str">
        <f t="shared" si="26"/>
        <v/>
      </c>
      <c r="DK24" s="269"/>
      <c r="DL24" s="270"/>
      <c r="DM24" s="271"/>
      <c r="DN24" s="272"/>
      <c r="DO24" s="272"/>
      <c r="DP24" s="272"/>
      <c r="DQ24" s="55" t="str">
        <f t="shared" si="27"/>
        <v/>
      </c>
      <c r="DR24" s="269"/>
      <c r="DS24" s="270"/>
      <c r="DT24" s="271"/>
      <c r="DU24" s="272"/>
      <c r="DV24" s="272"/>
      <c r="DW24" s="272"/>
      <c r="DX24" s="55" t="str">
        <f t="shared" si="28"/>
        <v/>
      </c>
      <c r="DY24" s="269"/>
      <c r="DZ24" s="270"/>
      <c r="EA24" s="274"/>
      <c r="EB24" s="272"/>
      <c r="EC24" s="275"/>
      <c r="ED24" s="272"/>
      <c r="EE24" s="55" t="str">
        <f t="shared" si="29"/>
        <v/>
      </c>
      <c r="EF24" s="275"/>
      <c r="EG24" s="272"/>
      <c r="EH24" s="274"/>
      <c r="EI24" s="272"/>
      <c r="EJ24" s="266"/>
      <c r="EK24" s="269"/>
      <c r="EL24" s="55" t="str">
        <f t="shared" si="31"/>
        <v/>
      </c>
      <c r="EM24" s="58"/>
      <c r="EN24" s="269"/>
      <c r="EO24" s="265"/>
      <c r="EP24" s="269"/>
      <c r="EQ24" s="266"/>
      <c r="ER24" s="269"/>
      <c r="ES24" s="47" t="str">
        <f t="shared" si="32"/>
        <v/>
      </c>
      <c r="ET24" s="58"/>
      <c r="EU24" s="270"/>
      <c r="EV24" s="10"/>
    </row>
    <row r="25" spans="1:152" x14ac:dyDescent="0.3">
      <c r="A25" s="68"/>
      <c r="B25" s="75" t="s">
        <v>70</v>
      </c>
      <c r="C25" s="76" t="s">
        <v>25</v>
      </c>
      <c r="D25" s="276">
        <v>2015</v>
      </c>
      <c r="E25" s="40">
        <f t="shared" si="0"/>
        <v>49</v>
      </c>
      <c r="F25" s="41"/>
      <c r="G25" s="65" t="str">
        <f>IF('TRA-M'!$A$2-D25&lt;=1,IF(X25&gt;=$T$3,"YES",IF(AE25&gt;=$AA$3,"YES",IF(AL25&gt;=$AH$3,"YES",""))),"")</f>
        <v/>
      </c>
      <c r="H25" s="43" t="str">
        <f t="shared" si="1"/>
        <v/>
      </c>
      <c r="I25" s="44" t="str">
        <f t="shared" si="2"/>
        <v/>
      </c>
      <c r="J25" s="45" t="str">
        <f t="shared" si="3"/>
        <v/>
      </c>
      <c r="K25" s="268">
        <f t="shared" si="4"/>
        <v>0</v>
      </c>
      <c r="L25" s="272"/>
      <c r="M25" s="269">
        <f t="shared" si="5"/>
        <v>0</v>
      </c>
      <c r="N25" s="272"/>
      <c r="O25" s="269">
        <f t="shared" si="6"/>
        <v>0</v>
      </c>
      <c r="P25" s="272"/>
      <c r="Q25" s="269">
        <f t="shared" si="7"/>
        <v>0</v>
      </c>
      <c r="R25" s="272"/>
      <c r="S25" s="46">
        <f t="shared" si="30"/>
        <v>49</v>
      </c>
      <c r="T25" s="271"/>
      <c r="U25" s="272"/>
      <c r="V25" s="61"/>
      <c r="W25" s="61"/>
      <c r="X25" s="47">
        <f t="shared" si="8"/>
        <v>0</v>
      </c>
      <c r="Y25" s="272"/>
      <c r="Z25" s="273"/>
      <c r="AA25" s="271"/>
      <c r="AB25" s="272"/>
      <c r="AC25" s="61"/>
      <c r="AD25" s="61"/>
      <c r="AE25" s="47">
        <f t="shared" si="9"/>
        <v>0</v>
      </c>
      <c r="AF25" s="272"/>
      <c r="AG25" s="273"/>
      <c r="AH25" s="271"/>
      <c r="AI25" s="272"/>
      <c r="AJ25" s="61"/>
      <c r="AK25" s="61"/>
      <c r="AL25" s="47">
        <f t="shared" si="10"/>
        <v>0</v>
      </c>
      <c r="AM25" s="272"/>
      <c r="AN25" s="273"/>
      <c r="AO25" s="336">
        <f t="shared" si="11"/>
        <v>45.08</v>
      </c>
      <c r="AP25" s="335">
        <f t="shared" si="12"/>
        <v>49</v>
      </c>
      <c r="AQ25" s="337">
        <f t="shared" si="13"/>
        <v>26.04</v>
      </c>
      <c r="AR25" s="336">
        <f t="shared" si="14"/>
        <v>45.08</v>
      </c>
      <c r="AS25" s="335">
        <f t="shared" si="15"/>
        <v>49</v>
      </c>
      <c r="AT25" s="337">
        <f t="shared" si="16"/>
        <v>26.04</v>
      </c>
      <c r="AU25" s="271"/>
      <c r="AV25" s="272"/>
      <c r="AW25" s="272"/>
      <c r="AX25" s="272"/>
      <c r="AY25" s="55" t="str">
        <f t="shared" si="17"/>
        <v/>
      </c>
      <c r="AZ25" s="272"/>
      <c r="BA25" s="272"/>
      <c r="BB25" s="271">
        <f>25.1+2.9</f>
        <v>28</v>
      </c>
      <c r="BC25" s="272">
        <v>17.079999999999998</v>
      </c>
      <c r="BD25" s="272">
        <f>19.6+13.1</f>
        <v>32.700000000000003</v>
      </c>
      <c r="BE25" s="272">
        <v>16.3</v>
      </c>
      <c r="BF25" s="55">
        <f t="shared" si="18"/>
        <v>94.08</v>
      </c>
      <c r="BG25" s="272"/>
      <c r="BH25" s="272"/>
      <c r="BI25" s="271"/>
      <c r="BJ25" s="272"/>
      <c r="BK25" s="272"/>
      <c r="BL25" s="272"/>
      <c r="BM25" s="55" t="str">
        <f t="shared" si="19"/>
        <v/>
      </c>
      <c r="BN25" s="272">
        <f>10.6+7.3</f>
        <v>17.899999999999999</v>
      </c>
      <c r="BO25" s="272">
        <v>8.14</v>
      </c>
      <c r="BP25" s="271"/>
      <c r="BQ25" s="272"/>
      <c r="BR25" s="272"/>
      <c r="BS25" s="272"/>
      <c r="BT25" s="55" t="str">
        <f t="shared" si="20"/>
        <v/>
      </c>
      <c r="BU25" s="272"/>
      <c r="BV25" s="272"/>
      <c r="BW25" s="271"/>
      <c r="BX25" s="272"/>
      <c r="BY25" s="272"/>
      <c r="BZ25" s="272"/>
      <c r="CA25" s="55" t="str">
        <f t="shared" si="21"/>
        <v/>
      </c>
      <c r="CB25" s="272"/>
      <c r="CC25" s="272"/>
      <c r="CD25" s="271"/>
      <c r="CE25" s="272"/>
      <c r="CF25" s="272"/>
      <c r="CG25" s="272"/>
      <c r="CH25" s="55" t="str">
        <f t="shared" si="22"/>
        <v/>
      </c>
      <c r="CI25" s="272"/>
      <c r="CJ25" s="272"/>
      <c r="CK25" s="271"/>
      <c r="CL25" s="272"/>
      <c r="CM25" s="272"/>
      <c r="CN25" s="272"/>
      <c r="CO25" s="55" t="str">
        <f t="shared" si="23"/>
        <v/>
      </c>
      <c r="CP25" s="272"/>
      <c r="CQ25" s="272"/>
      <c r="CR25" s="271"/>
      <c r="CS25" s="272"/>
      <c r="CT25" s="272"/>
      <c r="CU25" s="272"/>
      <c r="CV25" s="55" t="str">
        <f t="shared" si="24"/>
        <v/>
      </c>
      <c r="CW25" s="272"/>
      <c r="CX25" s="272"/>
      <c r="CY25" s="271"/>
      <c r="CZ25" s="272"/>
      <c r="DA25" s="272"/>
      <c r="DB25" s="272"/>
      <c r="DC25" s="55" t="str">
        <f t="shared" si="25"/>
        <v/>
      </c>
      <c r="DD25" s="272"/>
      <c r="DE25" s="272"/>
      <c r="DF25" s="271"/>
      <c r="DG25" s="272"/>
      <c r="DH25" s="272"/>
      <c r="DI25" s="272"/>
      <c r="DJ25" s="55" t="str">
        <f t="shared" si="26"/>
        <v/>
      </c>
      <c r="DK25" s="272"/>
      <c r="DL25" s="273"/>
      <c r="DM25" s="271"/>
      <c r="DN25" s="272"/>
      <c r="DO25" s="272"/>
      <c r="DP25" s="272"/>
      <c r="DQ25" s="55" t="str">
        <f t="shared" si="27"/>
        <v/>
      </c>
      <c r="DR25" s="272"/>
      <c r="DS25" s="273"/>
      <c r="DT25" s="271"/>
      <c r="DU25" s="272"/>
      <c r="DV25" s="272"/>
      <c r="DW25" s="272"/>
      <c r="DX25" s="55" t="str">
        <f t="shared" si="28"/>
        <v/>
      </c>
      <c r="DY25" s="272"/>
      <c r="DZ25" s="273"/>
      <c r="EA25" s="274"/>
      <c r="EB25" s="272"/>
      <c r="EC25" s="275"/>
      <c r="ED25" s="272"/>
      <c r="EE25" s="55" t="str">
        <f t="shared" si="29"/>
        <v/>
      </c>
      <c r="EF25" s="275"/>
      <c r="EG25" s="272"/>
      <c r="EH25" s="274"/>
      <c r="EI25" s="272"/>
      <c r="EJ25" s="266"/>
      <c r="EK25" s="269"/>
      <c r="EL25" s="55" t="str">
        <f t="shared" si="31"/>
        <v/>
      </c>
      <c r="EM25" s="58"/>
      <c r="EN25" s="269"/>
      <c r="EO25" s="265"/>
      <c r="EP25" s="269"/>
      <c r="EQ25" s="266"/>
      <c r="ER25" s="269"/>
      <c r="ES25" s="47" t="str">
        <f t="shared" si="32"/>
        <v/>
      </c>
      <c r="ET25" s="58"/>
      <c r="EU25" s="270"/>
      <c r="EV25" s="10"/>
    </row>
    <row r="26" spans="1:152" x14ac:dyDescent="0.3">
      <c r="A26" s="150"/>
      <c r="B26" s="80"/>
      <c r="C26" s="150"/>
      <c r="D26" s="150"/>
      <c r="E26" s="150"/>
      <c r="F26" s="81"/>
      <c r="G26" s="42"/>
      <c r="H26" s="43"/>
      <c r="I26" s="44"/>
      <c r="J26" s="45"/>
      <c r="K26" s="146"/>
      <c r="L26" s="146"/>
      <c r="M26" s="146"/>
      <c r="N26" s="146"/>
      <c r="O26" s="146"/>
      <c r="P26" s="146"/>
      <c r="Q26" s="146"/>
      <c r="R26" s="146"/>
      <c r="S26" s="19"/>
      <c r="T26" s="272"/>
      <c r="U26" s="272"/>
      <c r="V26" s="61"/>
      <c r="W26" s="61"/>
      <c r="X26" s="5"/>
      <c r="Y26" s="272"/>
      <c r="Z26" s="272"/>
      <c r="AA26" s="272"/>
      <c r="AB26" s="272"/>
      <c r="AC26" s="61"/>
      <c r="AD26" s="61"/>
      <c r="AE26" s="5"/>
      <c r="AF26" s="272"/>
      <c r="AG26" s="272"/>
      <c r="AH26" s="145"/>
      <c r="AI26" s="145"/>
      <c r="AJ26" s="61"/>
      <c r="AK26" s="61"/>
      <c r="AL26" s="5"/>
      <c r="AM26" s="145"/>
      <c r="AN26" s="145"/>
      <c r="AO26" s="146"/>
      <c r="AP26" s="146"/>
      <c r="AQ26" s="146"/>
      <c r="AR26" s="146"/>
      <c r="AS26" s="146"/>
      <c r="AT26" s="146"/>
      <c r="AU26" s="269"/>
      <c r="AV26" s="269"/>
      <c r="AW26" s="269"/>
      <c r="AX26" s="269"/>
      <c r="AY26" s="269"/>
      <c r="AZ26" s="269"/>
      <c r="BA26" s="269"/>
      <c r="BP26" s="146"/>
      <c r="BQ26" s="146"/>
      <c r="BR26" s="146"/>
      <c r="BS26" s="146"/>
      <c r="BT26" s="146"/>
      <c r="BU26" s="146"/>
      <c r="BV26" s="146"/>
      <c r="BW26" s="146"/>
      <c r="BX26" s="146"/>
      <c r="BY26" s="146"/>
      <c r="BZ26" s="146"/>
      <c r="CA26" s="146"/>
      <c r="CB26" s="146"/>
      <c r="CC26" s="146"/>
      <c r="CD26" s="146"/>
      <c r="CE26" s="146"/>
      <c r="CF26" s="146"/>
      <c r="CG26" s="146"/>
      <c r="CH26" s="146"/>
      <c r="CI26" s="146"/>
      <c r="CJ26" s="146"/>
      <c r="CK26" s="146"/>
      <c r="CL26" s="146"/>
      <c r="CM26" s="146"/>
      <c r="CN26" s="146"/>
      <c r="CO26" s="146"/>
      <c r="CP26" s="146"/>
      <c r="CQ26" s="146"/>
      <c r="CR26" s="146"/>
      <c r="CS26" s="146"/>
      <c r="CT26" s="146"/>
      <c r="CU26" s="146"/>
      <c r="CV26" s="146"/>
      <c r="CW26" s="146"/>
      <c r="CX26" s="146"/>
      <c r="CY26" s="146"/>
      <c r="CZ26" s="146"/>
      <c r="DA26" s="146"/>
      <c r="DB26" s="146"/>
      <c r="DC26" s="146"/>
      <c r="DD26" s="146"/>
      <c r="DE26" s="146"/>
      <c r="EA26" s="148"/>
      <c r="EB26" s="146"/>
      <c r="EC26" s="148"/>
      <c r="ED26" s="146"/>
      <c r="EE26" s="146"/>
      <c r="EF26" s="150"/>
      <c r="EG26" s="146"/>
    </row>
    <row r="27" spans="1:152" x14ac:dyDescent="0.3">
      <c r="A27" s="267"/>
      <c r="B27" s="80"/>
      <c r="C27" s="267"/>
      <c r="D27" s="267"/>
      <c r="E27" s="267"/>
      <c r="F27" s="81"/>
      <c r="G27" s="42"/>
      <c r="H27" s="43"/>
      <c r="I27" s="44"/>
      <c r="J27" s="45"/>
      <c r="K27" s="269"/>
      <c r="L27" s="269"/>
      <c r="M27" s="269"/>
      <c r="N27" s="269"/>
      <c r="O27" s="269"/>
      <c r="P27" s="269"/>
      <c r="Q27" s="269"/>
      <c r="R27" s="269"/>
      <c r="S27" s="19"/>
      <c r="T27" s="272"/>
      <c r="U27" s="272"/>
      <c r="V27" s="61"/>
      <c r="W27" s="61"/>
      <c r="X27" s="5"/>
      <c r="Y27" s="272"/>
      <c r="Z27" s="272"/>
      <c r="AA27" s="272"/>
      <c r="AB27" s="272"/>
      <c r="AC27" s="61"/>
      <c r="AD27" s="61"/>
      <c r="AE27" s="5"/>
      <c r="AF27" s="272"/>
      <c r="AG27" s="272"/>
      <c r="AH27" s="272"/>
      <c r="AI27" s="272"/>
      <c r="AJ27" s="61"/>
      <c r="AK27" s="61"/>
      <c r="AL27" s="5"/>
      <c r="AM27" s="272"/>
      <c r="AN27" s="272"/>
      <c r="AO27" s="269"/>
      <c r="AP27" s="269"/>
      <c r="AQ27" s="269"/>
      <c r="AR27" s="269"/>
      <c r="AS27" s="269"/>
      <c r="AT27" s="269"/>
      <c r="AU27" s="269"/>
      <c r="AV27" s="269"/>
      <c r="AW27" s="269"/>
      <c r="AX27" s="269"/>
      <c r="AY27" s="269"/>
      <c r="AZ27" s="269"/>
      <c r="BA27" s="269"/>
      <c r="BP27" s="269"/>
      <c r="BQ27" s="269"/>
      <c r="BR27" s="269"/>
      <c r="BS27" s="269"/>
      <c r="BT27" s="269"/>
      <c r="BU27" s="269"/>
      <c r="BV27" s="269"/>
      <c r="BW27" s="269"/>
      <c r="BX27" s="269"/>
      <c r="BY27" s="269"/>
      <c r="BZ27" s="269"/>
      <c r="CA27" s="269"/>
      <c r="CB27" s="269"/>
      <c r="CC27" s="269"/>
      <c r="CD27" s="269"/>
      <c r="CE27" s="269"/>
      <c r="CF27" s="269"/>
      <c r="CG27" s="269"/>
      <c r="CH27" s="269"/>
      <c r="CI27" s="269"/>
      <c r="CJ27" s="269"/>
      <c r="CK27" s="269"/>
      <c r="CL27" s="269"/>
      <c r="CM27" s="269"/>
      <c r="CN27" s="269"/>
      <c r="CO27" s="269"/>
      <c r="CP27" s="269"/>
      <c r="CQ27" s="269"/>
      <c r="CR27" s="269"/>
      <c r="CS27" s="269"/>
      <c r="CT27" s="269"/>
      <c r="CU27" s="269"/>
      <c r="CV27" s="269"/>
      <c r="CW27" s="269"/>
      <c r="CX27" s="269"/>
      <c r="CY27" s="269"/>
      <c r="CZ27" s="269"/>
      <c r="DA27" s="269"/>
      <c r="DB27" s="269"/>
      <c r="DC27" s="269"/>
      <c r="DD27" s="269"/>
      <c r="DE27" s="269"/>
      <c r="EA27" s="266"/>
      <c r="EB27" s="269"/>
      <c r="EC27" s="266"/>
      <c r="ED27" s="269"/>
      <c r="EE27" s="269"/>
      <c r="EF27" s="267"/>
      <c r="EG27" s="269"/>
    </row>
    <row r="28" spans="1:152" x14ac:dyDescent="0.3">
      <c r="A28" s="267"/>
      <c r="B28" s="80"/>
      <c r="C28" s="267"/>
      <c r="D28" s="267"/>
      <c r="E28" s="267"/>
      <c r="F28" s="81"/>
      <c r="G28" s="42"/>
      <c r="H28" s="43"/>
      <c r="I28" s="44"/>
      <c r="J28" s="45"/>
      <c r="K28" s="269"/>
      <c r="L28" s="269"/>
      <c r="M28" s="269"/>
      <c r="N28" s="269"/>
      <c r="O28" s="269"/>
      <c r="P28" s="269"/>
      <c r="Q28" s="269"/>
      <c r="R28" s="269"/>
      <c r="S28" s="19"/>
      <c r="T28" s="272"/>
      <c r="U28" s="272"/>
      <c r="V28" s="61"/>
      <c r="W28" s="61"/>
      <c r="X28" s="5"/>
      <c r="Y28" s="272"/>
      <c r="Z28" s="272"/>
      <c r="AA28" s="272"/>
      <c r="AB28" s="272"/>
      <c r="AC28" s="61"/>
      <c r="AD28" s="61"/>
      <c r="AE28" s="5"/>
      <c r="AF28" s="272"/>
      <c r="AG28" s="272"/>
      <c r="AH28" s="272"/>
      <c r="AI28" s="272"/>
      <c r="AJ28" s="61"/>
      <c r="AK28" s="61"/>
      <c r="AL28" s="5"/>
      <c r="AM28" s="272"/>
      <c r="AN28" s="272"/>
      <c r="AO28" s="269"/>
      <c r="AP28" s="269"/>
      <c r="AQ28" s="269"/>
      <c r="AR28" s="269"/>
      <c r="AS28" s="269"/>
      <c r="AT28" s="269"/>
      <c r="AU28" s="269"/>
      <c r="AV28" s="269"/>
      <c r="AW28" s="269"/>
      <c r="AX28" s="269"/>
      <c r="AY28" s="269"/>
      <c r="AZ28" s="269"/>
      <c r="BA28" s="269"/>
      <c r="BP28" s="269"/>
      <c r="BQ28" s="269"/>
      <c r="BR28" s="269"/>
      <c r="BS28" s="269"/>
      <c r="BT28" s="269"/>
      <c r="BU28" s="269"/>
      <c r="BV28" s="269"/>
      <c r="BW28" s="269"/>
      <c r="BX28" s="269"/>
      <c r="BY28" s="269"/>
      <c r="BZ28" s="269"/>
      <c r="CA28" s="269"/>
      <c r="CB28" s="269"/>
      <c r="CC28" s="269"/>
      <c r="CD28" s="269"/>
      <c r="CE28" s="269"/>
      <c r="CF28" s="269"/>
      <c r="CG28" s="269"/>
      <c r="CH28" s="269"/>
      <c r="CI28" s="269"/>
      <c r="CJ28" s="269"/>
      <c r="CK28" s="269"/>
      <c r="CL28" s="269"/>
      <c r="CM28" s="269"/>
      <c r="CN28" s="269"/>
      <c r="CO28" s="269"/>
      <c r="CP28" s="269"/>
      <c r="CQ28" s="269"/>
      <c r="CR28" s="269"/>
      <c r="CS28" s="269"/>
      <c r="CT28" s="269"/>
      <c r="CU28" s="269"/>
      <c r="CV28" s="269"/>
      <c r="CW28" s="269"/>
      <c r="CX28" s="269"/>
      <c r="CY28" s="269"/>
      <c r="CZ28" s="269"/>
      <c r="DA28" s="269"/>
      <c r="DB28" s="269"/>
      <c r="DC28" s="269"/>
      <c r="DD28" s="269"/>
      <c r="DE28" s="269"/>
      <c r="EA28" s="266"/>
      <c r="EB28" s="269"/>
      <c r="EC28" s="266"/>
      <c r="ED28" s="269"/>
      <c r="EE28" s="269"/>
      <c r="EF28" s="267"/>
      <c r="EG28" s="269"/>
    </row>
    <row r="29" spans="1:152" x14ac:dyDescent="0.3">
      <c r="B29" s="256" t="s">
        <v>58</v>
      </c>
      <c r="E29" s="31"/>
      <c r="F29" s="81"/>
      <c r="G29" s="42"/>
      <c r="H29" s="43"/>
      <c r="I29" s="44"/>
      <c r="J29" s="45"/>
      <c r="S29" s="19"/>
      <c r="T29" s="272"/>
      <c r="U29" s="272"/>
      <c r="V29" s="61"/>
      <c r="W29" s="61"/>
      <c r="X29" s="5"/>
      <c r="Y29" s="272"/>
      <c r="Z29" s="272"/>
      <c r="AA29" s="272"/>
      <c r="AB29" s="272"/>
      <c r="AC29" s="61"/>
      <c r="AD29" s="61"/>
      <c r="AE29" s="5"/>
      <c r="AF29" s="272"/>
      <c r="AG29" s="272"/>
      <c r="AH29" s="25"/>
      <c r="AI29" s="25"/>
      <c r="AJ29" s="61"/>
      <c r="AK29" s="61"/>
      <c r="AL29" s="5"/>
      <c r="AM29" s="25"/>
      <c r="AN29" s="25"/>
      <c r="AU29" s="269"/>
      <c r="AV29" s="269"/>
      <c r="AW29" s="78" t="s">
        <v>112</v>
      </c>
      <c r="AX29" s="269"/>
      <c r="AY29" s="269"/>
      <c r="AZ29" s="269"/>
      <c r="BA29" s="269"/>
      <c r="BP29" s="9"/>
      <c r="BQ29" s="9"/>
      <c r="BR29" s="272"/>
      <c r="BS29" s="9"/>
      <c r="BT29" s="9"/>
      <c r="BU29" s="9"/>
      <c r="BV29" s="9"/>
    </row>
    <row r="30" spans="1:152" x14ac:dyDescent="0.3">
      <c r="B30" s="253" t="s">
        <v>149</v>
      </c>
      <c r="C30" s="90"/>
      <c r="D30" s="90"/>
      <c r="E30" s="90"/>
      <c r="F30" s="91"/>
      <c r="G30" s="92"/>
      <c r="H30" s="93"/>
      <c r="I30" s="305"/>
      <c r="J30" s="305"/>
      <c r="K30" s="44"/>
      <c r="L30" s="44"/>
      <c r="S30" s="19"/>
      <c r="T30" s="272"/>
      <c r="U30" s="272"/>
      <c r="V30" s="61"/>
      <c r="W30" s="61"/>
      <c r="X30" s="5"/>
      <c r="Y30" s="272"/>
      <c r="Z30" s="272"/>
      <c r="AA30" s="272"/>
      <c r="AB30" s="272"/>
      <c r="AC30" s="61"/>
      <c r="AD30" s="61"/>
      <c r="AE30" s="5"/>
      <c r="AF30" s="272"/>
      <c r="AG30" s="272"/>
      <c r="AH30" s="25"/>
      <c r="AI30" s="25"/>
      <c r="AJ30" s="61"/>
      <c r="AK30" s="61"/>
      <c r="AL30" s="5"/>
      <c r="AM30" s="25"/>
      <c r="AN30" s="25"/>
      <c r="AU30" s="269"/>
      <c r="AV30" s="269"/>
      <c r="AW30" s="272"/>
      <c r="AX30" s="269"/>
      <c r="AY30" s="269"/>
      <c r="AZ30" s="269"/>
      <c r="BA30" s="269"/>
      <c r="BP30" s="9"/>
      <c r="BQ30" s="9"/>
      <c r="BR30" s="25"/>
      <c r="BS30" s="9"/>
      <c r="BT30" s="9"/>
      <c r="BU30" s="9"/>
      <c r="BV30" s="9"/>
    </row>
    <row r="31" spans="1:152" x14ac:dyDescent="0.3">
      <c r="B31" s="254" t="s">
        <v>67</v>
      </c>
      <c r="C31" s="82"/>
      <c r="D31" s="82"/>
      <c r="E31" s="82"/>
      <c r="F31" s="82"/>
      <c r="G31" s="82"/>
      <c r="H31" s="83"/>
      <c r="I31" s="121"/>
      <c r="J31" s="305"/>
      <c r="K31" s="44"/>
      <c r="L31" s="44"/>
      <c r="M31" s="25"/>
      <c r="N31" s="25"/>
      <c r="O31" s="25"/>
      <c r="P31" s="25"/>
      <c r="T31" s="84"/>
      <c r="U31" s="84"/>
      <c r="X31" s="84"/>
      <c r="Z31" s="84"/>
      <c r="AA31" s="84"/>
      <c r="AB31" s="84"/>
      <c r="AE31" s="84"/>
      <c r="AG31" s="84"/>
      <c r="AH31" s="84"/>
      <c r="AI31" s="84"/>
      <c r="AL31" s="84"/>
      <c r="AN31" s="84"/>
      <c r="AU31" s="269"/>
      <c r="AV31" s="272"/>
      <c r="AW31" s="272"/>
      <c r="AX31" s="272"/>
      <c r="AY31" s="269"/>
      <c r="AZ31" s="269"/>
      <c r="BA31" s="269"/>
      <c r="BP31" s="9"/>
      <c r="BQ31" s="25"/>
      <c r="BR31" s="25"/>
      <c r="BS31" s="25"/>
      <c r="BT31" s="9"/>
      <c r="BU31" s="9"/>
      <c r="BV31" s="9"/>
    </row>
    <row r="32" spans="1:152" x14ac:dyDescent="0.3">
      <c r="B32" s="257" t="s">
        <v>124</v>
      </c>
      <c r="C32" s="85"/>
      <c r="D32" s="85"/>
      <c r="E32" s="85"/>
      <c r="F32" s="85"/>
      <c r="G32" s="85"/>
      <c r="H32" s="86"/>
      <c r="I32" s="44"/>
      <c r="J32" s="44"/>
      <c r="K32" s="44"/>
      <c r="L32" s="44"/>
      <c r="M32" s="25"/>
      <c r="N32" s="25"/>
      <c r="O32" s="25"/>
      <c r="P32" s="25"/>
      <c r="T32" s="84"/>
      <c r="U32" s="84"/>
      <c r="X32" s="84"/>
      <c r="Z32" s="84"/>
      <c r="AA32" s="84"/>
      <c r="AB32" s="84"/>
      <c r="AE32" s="84"/>
      <c r="AG32" s="84"/>
      <c r="AH32" s="84"/>
      <c r="AI32" s="84"/>
      <c r="AL32" s="84"/>
      <c r="AN32" s="84"/>
      <c r="AU32" s="269"/>
      <c r="AV32" s="272"/>
      <c r="AW32" s="272"/>
      <c r="AX32" s="272"/>
      <c r="AY32" s="269"/>
      <c r="AZ32" s="269"/>
      <c r="BA32" s="269"/>
      <c r="BP32" s="9"/>
      <c r="BQ32" s="25"/>
      <c r="BR32" s="25"/>
      <c r="BS32" s="25"/>
      <c r="BT32" s="9"/>
      <c r="BU32" s="9"/>
      <c r="BV32" s="9"/>
    </row>
    <row r="33" spans="2:85" x14ac:dyDescent="0.3">
      <c r="B33" s="33" t="s">
        <v>144</v>
      </c>
      <c r="K33" s="87"/>
      <c r="L33" s="87"/>
      <c r="T33" s="84"/>
      <c r="U33" s="84"/>
      <c r="X33" s="84"/>
      <c r="Z33" s="84"/>
      <c r="AA33" s="84"/>
      <c r="AB33" s="84"/>
      <c r="AE33" s="84"/>
      <c r="AG33" s="84"/>
      <c r="AH33" s="84"/>
      <c r="AI33" s="84"/>
      <c r="AL33" s="84"/>
      <c r="AN33" s="84"/>
      <c r="BJ33" s="272"/>
      <c r="BK33" s="272"/>
      <c r="BL33" s="272"/>
      <c r="CE33" s="25"/>
      <c r="CF33" s="25"/>
      <c r="CG33" s="25"/>
    </row>
    <row r="34" spans="2:85" x14ac:dyDescent="0.3">
      <c r="B34" s="33" t="s">
        <v>52</v>
      </c>
    </row>
  </sheetData>
  <sortState ref="A7:EV25">
    <sortCondition descending="1" ref="F7:F25"/>
    <sortCondition descending="1" ref="H7:H25"/>
    <sortCondition descending="1" ref="E7:E25"/>
  </sortState>
  <mergeCells count="57">
    <mergeCell ref="EH1:EN1"/>
    <mergeCell ref="EH2:EN2"/>
    <mergeCell ref="EO1:EU1"/>
    <mergeCell ref="EO2:EU2"/>
    <mergeCell ref="EO3:EU3"/>
    <mergeCell ref="EH3:EN3"/>
    <mergeCell ref="K1:R1"/>
    <mergeCell ref="K2:R2"/>
    <mergeCell ref="EA3:EG3"/>
    <mergeCell ref="CD2:CJ2"/>
    <mergeCell ref="AU1:BA1"/>
    <mergeCell ref="BB3:BH3"/>
    <mergeCell ref="BI3:BO3"/>
    <mergeCell ref="AU3:BA3"/>
    <mergeCell ref="BP2:BV2"/>
    <mergeCell ref="BI2:BO2"/>
    <mergeCell ref="AU2:BA2"/>
    <mergeCell ref="BB1:BH1"/>
    <mergeCell ref="EA1:EG1"/>
    <mergeCell ref="EA2:EG2"/>
    <mergeCell ref="AO1:AQ1"/>
    <mergeCell ref="AO2:AQ2"/>
    <mergeCell ref="BW1:CC1"/>
    <mergeCell ref="CD3:CJ3"/>
    <mergeCell ref="T1:Z1"/>
    <mergeCell ref="T2:Z2"/>
    <mergeCell ref="BB2:BH2"/>
    <mergeCell ref="AA1:AG1"/>
    <mergeCell ref="AA2:AG2"/>
    <mergeCell ref="AH1:AN1"/>
    <mergeCell ref="AH2:AN2"/>
    <mergeCell ref="BP3:BV3"/>
    <mergeCell ref="AR2:AT2"/>
    <mergeCell ref="AR1:AT1"/>
    <mergeCell ref="BW2:CC2"/>
    <mergeCell ref="CD1:CJ1"/>
    <mergeCell ref="DF1:DL1"/>
    <mergeCell ref="DF3:DL3"/>
    <mergeCell ref="CY3:DE3"/>
    <mergeCell ref="CK2:CQ2"/>
    <mergeCell ref="CR3:CX3"/>
    <mergeCell ref="DT1:DZ1"/>
    <mergeCell ref="DT2:DZ2"/>
    <mergeCell ref="BI1:BO1"/>
    <mergeCell ref="BP1:BV1"/>
    <mergeCell ref="BW3:CC3"/>
    <mergeCell ref="DT3:DZ3"/>
    <mergeCell ref="DM1:DS1"/>
    <mergeCell ref="DM2:DS2"/>
    <mergeCell ref="DM3:DS3"/>
    <mergeCell ref="CK3:CQ3"/>
    <mergeCell ref="CK1:CQ1"/>
    <mergeCell ref="CR2:CX2"/>
    <mergeCell ref="CR1:CX1"/>
    <mergeCell ref="CY1:DE1"/>
    <mergeCell ref="CY2:DE2"/>
    <mergeCell ref="DF2:DL2"/>
  </mergeCells>
  <phoneticPr fontId="0" type="noConversion"/>
  <pageMargins left="0.47244094488188998" right="0.43307086614173201" top="0.66929133858267698" bottom="0.31496062992126" header="0.15748031496063" footer="0.196850393700787"/>
  <pageSetup scale="37" fitToWidth="0" orientation="landscape" r:id="rId1"/>
  <headerFooter alignWithMargins="0">
    <oddHeader>&amp;L&amp;A&amp;R&amp;F</oddHeader>
    <oddFooter>&amp;CPage &amp;P</oddFooter>
  </headerFooter>
  <colBreaks count="4" manualBreakCount="4">
    <brk id="26" max="1048575" man="1"/>
    <brk id="53" max="1048575" man="1"/>
    <brk id="81" max="29" man="1"/>
    <brk id="109" max="3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9"/>
  <sheetViews>
    <sheetView view="pageBreakPreview" zoomScale="80" zoomScaleNormal="80" zoomScaleSheetLayoutView="7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9.1796875" defaultRowHeight="13" x14ac:dyDescent="0.3"/>
  <cols>
    <col min="1" max="1" width="5.7265625" style="31" customWidth="1"/>
    <col min="2" max="2" width="25.7265625" style="33" customWidth="1"/>
    <col min="3" max="4" width="7.7265625" style="31" customWidth="1"/>
    <col min="5" max="6" width="8.7265625" style="31" customWidth="1"/>
    <col min="7" max="7" width="8.7265625" style="95" customWidth="1"/>
    <col min="8" max="8" width="8.7265625" style="118" customWidth="1"/>
    <col min="9" max="10" width="8.7265625" style="119" customWidth="1"/>
    <col min="11" max="19" width="8.7265625" style="9" customWidth="1"/>
    <col min="20" max="46" width="9.1796875" style="9" customWidth="1"/>
    <col min="47" max="63" width="9.1796875" style="32"/>
    <col min="64" max="64" width="9.26953125" style="32" bestFit="1" customWidth="1"/>
    <col min="65" max="151" width="9.1796875" style="32"/>
    <col min="152" max="16384" width="9.1796875" style="33"/>
  </cols>
  <sheetData>
    <row r="1" spans="1:152" s="11" customFormat="1" x14ac:dyDescent="0.3">
      <c r="A1" s="15"/>
      <c r="B1" s="2" t="s">
        <v>19</v>
      </c>
      <c r="C1" s="2"/>
      <c r="D1" s="2"/>
      <c r="E1" s="94"/>
      <c r="F1" s="13"/>
      <c r="G1" s="95"/>
      <c r="H1" s="96"/>
      <c r="I1" s="97"/>
      <c r="J1" s="97"/>
      <c r="K1" s="344" t="s">
        <v>12</v>
      </c>
      <c r="L1" s="345"/>
      <c r="M1" s="345"/>
      <c r="N1" s="345"/>
      <c r="O1" s="345"/>
      <c r="P1" s="345"/>
      <c r="Q1" s="345"/>
      <c r="R1" s="346"/>
      <c r="S1" s="46" t="s">
        <v>143</v>
      </c>
      <c r="T1" s="344" t="s">
        <v>102</v>
      </c>
      <c r="U1" s="345"/>
      <c r="V1" s="345"/>
      <c r="W1" s="345"/>
      <c r="X1" s="345"/>
      <c r="Y1" s="345"/>
      <c r="Z1" s="346"/>
      <c r="AA1" s="344" t="s">
        <v>114</v>
      </c>
      <c r="AB1" s="345"/>
      <c r="AC1" s="345"/>
      <c r="AD1" s="345"/>
      <c r="AE1" s="345"/>
      <c r="AF1" s="345"/>
      <c r="AG1" s="346"/>
      <c r="AH1" s="344" t="s">
        <v>153</v>
      </c>
      <c r="AI1" s="345"/>
      <c r="AJ1" s="345"/>
      <c r="AK1" s="345"/>
      <c r="AL1" s="345"/>
      <c r="AM1" s="345"/>
      <c r="AN1" s="346"/>
      <c r="AO1" s="350" t="s">
        <v>16</v>
      </c>
      <c r="AP1" s="351"/>
      <c r="AQ1" s="351"/>
      <c r="AR1" s="350" t="s">
        <v>10</v>
      </c>
      <c r="AS1" s="351"/>
      <c r="AT1" s="351"/>
      <c r="AU1" s="344" t="s">
        <v>95</v>
      </c>
      <c r="AV1" s="345"/>
      <c r="AW1" s="345"/>
      <c r="AX1" s="345"/>
      <c r="AY1" s="345"/>
      <c r="AZ1" s="345"/>
      <c r="BA1" s="346"/>
      <c r="BB1" s="344" t="s">
        <v>97</v>
      </c>
      <c r="BC1" s="345"/>
      <c r="BD1" s="345"/>
      <c r="BE1" s="345"/>
      <c r="BF1" s="345"/>
      <c r="BG1" s="345"/>
      <c r="BH1" s="346"/>
      <c r="BI1" s="344" t="s">
        <v>97</v>
      </c>
      <c r="BJ1" s="345"/>
      <c r="BK1" s="345"/>
      <c r="BL1" s="345"/>
      <c r="BM1" s="345"/>
      <c r="BN1" s="345"/>
      <c r="BO1" s="346"/>
      <c r="BP1" s="344" t="s">
        <v>116</v>
      </c>
      <c r="BQ1" s="345"/>
      <c r="BR1" s="345"/>
      <c r="BS1" s="345"/>
      <c r="BT1" s="345"/>
      <c r="BU1" s="345"/>
      <c r="BV1" s="346"/>
      <c r="BW1" s="344"/>
      <c r="BX1" s="345"/>
      <c r="BY1" s="345"/>
      <c r="BZ1" s="345"/>
      <c r="CA1" s="345"/>
      <c r="CB1" s="345"/>
      <c r="CC1" s="346"/>
      <c r="CD1" s="344"/>
      <c r="CE1" s="345"/>
      <c r="CF1" s="345"/>
      <c r="CG1" s="345"/>
      <c r="CH1" s="345"/>
      <c r="CI1" s="345"/>
      <c r="CJ1" s="346"/>
      <c r="CK1" s="344"/>
      <c r="CL1" s="345"/>
      <c r="CM1" s="345"/>
      <c r="CN1" s="345"/>
      <c r="CO1" s="345"/>
      <c r="CP1" s="345"/>
      <c r="CQ1" s="346"/>
      <c r="CR1" s="344"/>
      <c r="CS1" s="345"/>
      <c r="CT1" s="345"/>
      <c r="CU1" s="345"/>
      <c r="CV1" s="345"/>
      <c r="CW1" s="345"/>
      <c r="CX1" s="346"/>
      <c r="CY1" s="344"/>
      <c r="CZ1" s="345"/>
      <c r="DA1" s="345"/>
      <c r="DB1" s="345"/>
      <c r="DC1" s="345"/>
      <c r="DD1" s="345"/>
      <c r="DE1" s="346"/>
      <c r="DF1" s="344"/>
      <c r="DG1" s="345"/>
      <c r="DH1" s="345"/>
      <c r="DI1" s="345"/>
      <c r="DJ1" s="345"/>
      <c r="DK1" s="345"/>
      <c r="DL1" s="346"/>
      <c r="DM1" s="344"/>
      <c r="DN1" s="345"/>
      <c r="DO1" s="345"/>
      <c r="DP1" s="345"/>
      <c r="DQ1" s="345"/>
      <c r="DR1" s="345"/>
      <c r="DS1" s="346"/>
      <c r="DT1" s="344"/>
      <c r="DU1" s="345"/>
      <c r="DV1" s="345"/>
      <c r="DW1" s="345"/>
      <c r="DX1" s="345"/>
      <c r="DY1" s="345"/>
      <c r="DZ1" s="346"/>
      <c r="EA1" s="344"/>
      <c r="EB1" s="345"/>
      <c r="EC1" s="345"/>
      <c r="ED1" s="345"/>
      <c r="EE1" s="345"/>
      <c r="EF1" s="345"/>
      <c r="EG1" s="346"/>
      <c r="EH1" s="344"/>
      <c r="EI1" s="345"/>
      <c r="EJ1" s="345"/>
      <c r="EK1" s="345"/>
      <c r="EL1" s="345"/>
      <c r="EM1" s="345"/>
      <c r="EN1" s="346"/>
      <c r="EO1" s="344"/>
      <c r="EP1" s="345"/>
      <c r="EQ1" s="345"/>
      <c r="ER1" s="345"/>
      <c r="ES1" s="345"/>
      <c r="ET1" s="345"/>
      <c r="EU1" s="346"/>
    </row>
    <row r="2" spans="1:152" s="11" customFormat="1" x14ac:dyDescent="0.3">
      <c r="A2" s="15"/>
      <c r="B2" s="13" t="s">
        <v>21</v>
      </c>
      <c r="C2" s="13"/>
      <c r="D2" s="13"/>
      <c r="E2" s="94"/>
      <c r="F2" s="13"/>
      <c r="G2" s="98"/>
      <c r="H2" s="5">
        <v>248.9</v>
      </c>
      <c r="I2" s="5">
        <v>256.10000000000002</v>
      </c>
      <c r="J2" s="5">
        <v>264</v>
      </c>
      <c r="K2" s="344" t="s">
        <v>11</v>
      </c>
      <c r="L2" s="345"/>
      <c r="M2" s="345"/>
      <c r="N2" s="345"/>
      <c r="O2" s="345"/>
      <c r="P2" s="345"/>
      <c r="Q2" s="345"/>
      <c r="R2" s="346"/>
      <c r="S2" s="46" t="s">
        <v>11</v>
      </c>
      <c r="T2" s="344" t="s">
        <v>103</v>
      </c>
      <c r="U2" s="345"/>
      <c r="V2" s="345"/>
      <c r="W2" s="345"/>
      <c r="X2" s="345"/>
      <c r="Y2" s="345"/>
      <c r="Z2" s="346"/>
      <c r="AA2" s="344" t="s">
        <v>115</v>
      </c>
      <c r="AB2" s="345"/>
      <c r="AC2" s="345"/>
      <c r="AD2" s="345"/>
      <c r="AE2" s="345"/>
      <c r="AF2" s="345"/>
      <c r="AG2" s="346"/>
      <c r="AH2" s="344" t="s">
        <v>154</v>
      </c>
      <c r="AI2" s="345"/>
      <c r="AJ2" s="345"/>
      <c r="AK2" s="345"/>
      <c r="AL2" s="345"/>
      <c r="AM2" s="345"/>
      <c r="AN2" s="346"/>
      <c r="AO2" s="350" t="s">
        <v>17</v>
      </c>
      <c r="AP2" s="351"/>
      <c r="AQ2" s="351"/>
      <c r="AR2" s="350" t="s">
        <v>11</v>
      </c>
      <c r="AS2" s="351"/>
      <c r="AT2" s="351"/>
      <c r="AU2" s="344" t="s">
        <v>96</v>
      </c>
      <c r="AV2" s="345"/>
      <c r="AW2" s="345"/>
      <c r="AX2" s="345"/>
      <c r="AY2" s="345"/>
      <c r="AZ2" s="345"/>
      <c r="BA2" s="346"/>
      <c r="BB2" s="344" t="s">
        <v>98</v>
      </c>
      <c r="BC2" s="345"/>
      <c r="BD2" s="345"/>
      <c r="BE2" s="345"/>
      <c r="BF2" s="345"/>
      <c r="BG2" s="345"/>
      <c r="BH2" s="346"/>
      <c r="BI2" s="344" t="s">
        <v>98</v>
      </c>
      <c r="BJ2" s="345"/>
      <c r="BK2" s="345"/>
      <c r="BL2" s="345"/>
      <c r="BM2" s="345"/>
      <c r="BN2" s="345"/>
      <c r="BO2" s="346"/>
      <c r="BP2" s="344" t="s">
        <v>117</v>
      </c>
      <c r="BQ2" s="345"/>
      <c r="BR2" s="345"/>
      <c r="BS2" s="345"/>
      <c r="BT2" s="345"/>
      <c r="BU2" s="345"/>
      <c r="BV2" s="346"/>
      <c r="BW2" s="344"/>
      <c r="BX2" s="345"/>
      <c r="BY2" s="345"/>
      <c r="BZ2" s="345"/>
      <c r="CA2" s="345"/>
      <c r="CB2" s="345"/>
      <c r="CC2" s="346"/>
      <c r="CD2" s="344"/>
      <c r="CE2" s="345"/>
      <c r="CF2" s="345"/>
      <c r="CG2" s="345"/>
      <c r="CH2" s="345"/>
      <c r="CI2" s="345"/>
      <c r="CJ2" s="346"/>
      <c r="CK2" s="344"/>
      <c r="CL2" s="345"/>
      <c r="CM2" s="345"/>
      <c r="CN2" s="345"/>
      <c r="CO2" s="345"/>
      <c r="CP2" s="345"/>
      <c r="CQ2" s="346"/>
      <c r="CR2" s="344"/>
      <c r="CS2" s="345"/>
      <c r="CT2" s="345"/>
      <c r="CU2" s="345"/>
      <c r="CV2" s="345"/>
      <c r="CW2" s="345"/>
      <c r="CX2" s="346"/>
      <c r="CY2" s="344"/>
      <c r="CZ2" s="345"/>
      <c r="DA2" s="345"/>
      <c r="DB2" s="345"/>
      <c r="DC2" s="345"/>
      <c r="DD2" s="345"/>
      <c r="DE2" s="346"/>
      <c r="DF2" s="344"/>
      <c r="DG2" s="345"/>
      <c r="DH2" s="345"/>
      <c r="DI2" s="345"/>
      <c r="DJ2" s="345"/>
      <c r="DK2" s="345"/>
      <c r="DL2" s="346"/>
      <c r="DM2" s="344"/>
      <c r="DN2" s="345"/>
      <c r="DO2" s="345"/>
      <c r="DP2" s="345"/>
      <c r="DQ2" s="345"/>
      <c r="DR2" s="345"/>
      <c r="DS2" s="346"/>
      <c r="DT2" s="344"/>
      <c r="DU2" s="345"/>
      <c r="DV2" s="345"/>
      <c r="DW2" s="345"/>
      <c r="DX2" s="345"/>
      <c r="DY2" s="345"/>
      <c r="DZ2" s="346"/>
      <c r="EA2" s="344"/>
      <c r="EB2" s="345"/>
      <c r="EC2" s="345"/>
      <c r="ED2" s="345"/>
      <c r="EE2" s="345"/>
      <c r="EF2" s="345"/>
      <c r="EG2" s="346"/>
      <c r="EH2" s="344"/>
      <c r="EI2" s="345"/>
      <c r="EJ2" s="345"/>
      <c r="EK2" s="345"/>
      <c r="EL2" s="345"/>
      <c r="EM2" s="345"/>
      <c r="EN2" s="346"/>
      <c r="EO2" s="344"/>
      <c r="EP2" s="345"/>
      <c r="EQ2" s="345"/>
      <c r="ER2" s="345"/>
      <c r="ES2" s="345"/>
      <c r="ET2" s="345"/>
      <c r="EU2" s="346"/>
    </row>
    <row r="3" spans="1:152" s="11" customFormat="1" x14ac:dyDescent="0.3">
      <c r="A3" s="15"/>
      <c r="B3" s="2" t="s">
        <v>18</v>
      </c>
      <c r="C3" s="2"/>
      <c r="D3" s="2"/>
      <c r="E3" s="94"/>
      <c r="F3" s="13"/>
      <c r="G3" s="99"/>
      <c r="H3" s="100"/>
      <c r="I3" s="101"/>
      <c r="J3" s="101"/>
      <c r="K3" s="17"/>
      <c r="L3" s="9"/>
      <c r="M3" s="9"/>
      <c r="N3" s="9"/>
      <c r="O3" s="9"/>
      <c r="P3" s="9"/>
      <c r="Q3" s="9"/>
      <c r="R3" s="9"/>
      <c r="S3" s="46"/>
      <c r="T3" s="20">
        <v>89.5</v>
      </c>
      <c r="U3" s="6"/>
      <c r="V3" s="16">
        <v>93.9</v>
      </c>
      <c r="W3" s="16"/>
      <c r="X3" s="8">
        <v>96.6</v>
      </c>
      <c r="Y3" s="21">
        <v>100</v>
      </c>
      <c r="Z3" s="21"/>
      <c r="AA3" s="20">
        <v>93.7</v>
      </c>
      <c r="AB3" s="6"/>
      <c r="AC3" s="16">
        <v>98.3</v>
      </c>
      <c r="AD3" s="16"/>
      <c r="AE3" s="8">
        <v>101.1</v>
      </c>
      <c r="AF3" s="21">
        <v>104.2</v>
      </c>
      <c r="AG3" s="21"/>
      <c r="AH3" s="20">
        <v>93.7</v>
      </c>
      <c r="AI3" s="6"/>
      <c r="AJ3" s="16">
        <v>98.3</v>
      </c>
      <c r="AK3" s="16"/>
      <c r="AL3" s="8">
        <v>101.1</v>
      </c>
      <c r="AM3" s="21">
        <v>104.2</v>
      </c>
      <c r="AN3" s="21"/>
      <c r="AO3" s="336"/>
      <c r="AP3" s="335"/>
      <c r="AQ3" s="335"/>
      <c r="AR3" s="336"/>
      <c r="AS3" s="335"/>
      <c r="AT3" s="335"/>
      <c r="AU3" s="361"/>
      <c r="AV3" s="362"/>
      <c r="AW3" s="362"/>
      <c r="AX3" s="362"/>
      <c r="AY3" s="362"/>
      <c r="AZ3" s="362"/>
      <c r="BA3" s="363"/>
      <c r="BB3" s="347"/>
      <c r="BC3" s="348"/>
      <c r="BD3" s="348"/>
      <c r="BE3" s="348"/>
      <c r="BF3" s="348"/>
      <c r="BG3" s="348"/>
      <c r="BH3" s="348"/>
      <c r="BI3" s="347" t="s">
        <v>71</v>
      </c>
      <c r="BJ3" s="348"/>
      <c r="BK3" s="348"/>
      <c r="BL3" s="348"/>
      <c r="BM3" s="348"/>
      <c r="BN3" s="348"/>
      <c r="BO3" s="348"/>
      <c r="BP3" s="347"/>
      <c r="BQ3" s="348"/>
      <c r="BR3" s="348"/>
      <c r="BS3" s="348"/>
      <c r="BT3" s="348"/>
      <c r="BU3" s="348"/>
      <c r="BV3" s="348"/>
      <c r="BW3" s="347"/>
      <c r="BX3" s="348"/>
      <c r="BY3" s="348"/>
      <c r="BZ3" s="348"/>
      <c r="CA3" s="348"/>
      <c r="CB3" s="348"/>
      <c r="CC3" s="348"/>
      <c r="CD3" s="347"/>
      <c r="CE3" s="348"/>
      <c r="CF3" s="348"/>
      <c r="CG3" s="348"/>
      <c r="CH3" s="348"/>
      <c r="CI3" s="348"/>
      <c r="CJ3" s="348"/>
      <c r="CK3" s="347"/>
      <c r="CL3" s="348"/>
      <c r="CM3" s="348"/>
      <c r="CN3" s="348"/>
      <c r="CO3" s="348"/>
      <c r="CP3" s="348"/>
      <c r="CQ3" s="348"/>
      <c r="CR3" s="347"/>
      <c r="CS3" s="348"/>
      <c r="CT3" s="348"/>
      <c r="CU3" s="348"/>
      <c r="CV3" s="348"/>
      <c r="CW3" s="348"/>
      <c r="CX3" s="348"/>
      <c r="CY3" s="347"/>
      <c r="CZ3" s="348"/>
      <c r="DA3" s="348"/>
      <c r="DB3" s="348"/>
      <c r="DC3" s="348"/>
      <c r="DD3" s="348"/>
      <c r="DE3" s="348"/>
      <c r="DF3" s="361"/>
      <c r="DG3" s="362"/>
      <c r="DH3" s="362"/>
      <c r="DI3" s="362"/>
      <c r="DJ3" s="362"/>
      <c r="DK3" s="362"/>
      <c r="DL3" s="363"/>
      <c r="DM3" s="361"/>
      <c r="DN3" s="362"/>
      <c r="DO3" s="362"/>
      <c r="DP3" s="362"/>
      <c r="DQ3" s="362"/>
      <c r="DR3" s="362"/>
      <c r="DS3" s="363"/>
      <c r="DT3" s="361"/>
      <c r="DU3" s="362"/>
      <c r="DV3" s="362"/>
      <c r="DW3" s="362"/>
      <c r="DX3" s="362"/>
      <c r="DY3" s="362"/>
      <c r="DZ3" s="363"/>
      <c r="EA3" s="361"/>
      <c r="EB3" s="362"/>
      <c r="EC3" s="362"/>
      <c r="ED3" s="362"/>
      <c r="EE3" s="362"/>
      <c r="EF3" s="362"/>
      <c r="EG3" s="363"/>
      <c r="EH3" s="361"/>
      <c r="EI3" s="362"/>
      <c r="EJ3" s="362"/>
      <c r="EK3" s="362"/>
      <c r="EL3" s="362"/>
      <c r="EM3" s="362"/>
      <c r="EN3" s="363"/>
      <c r="EO3" s="361"/>
      <c r="EP3" s="362"/>
      <c r="EQ3" s="362"/>
      <c r="ER3" s="362"/>
      <c r="ES3" s="362"/>
      <c r="ET3" s="362"/>
      <c r="EU3" s="363"/>
    </row>
    <row r="4" spans="1:152" s="11" customFormat="1" x14ac:dyDescent="0.3">
      <c r="A4" s="15"/>
      <c r="B4" s="2" t="s">
        <v>20</v>
      </c>
      <c r="C4" s="2"/>
      <c r="D4" s="15" t="s">
        <v>42</v>
      </c>
      <c r="E4" s="102" t="s">
        <v>8</v>
      </c>
      <c r="F4" s="103" t="s">
        <v>44</v>
      </c>
      <c r="G4" s="95" t="s">
        <v>34</v>
      </c>
      <c r="H4" s="96" t="s">
        <v>9</v>
      </c>
      <c r="I4" s="97" t="s">
        <v>14</v>
      </c>
      <c r="J4" s="104" t="s">
        <v>41</v>
      </c>
      <c r="K4" s="17" t="s">
        <v>4</v>
      </c>
      <c r="L4" s="88" t="s">
        <v>119</v>
      </c>
      <c r="M4" s="9" t="s">
        <v>4</v>
      </c>
      <c r="N4" s="88" t="s">
        <v>119</v>
      </c>
      <c r="O4" s="9" t="s">
        <v>4</v>
      </c>
      <c r="P4" s="88" t="s">
        <v>119</v>
      </c>
      <c r="Q4" s="9" t="s">
        <v>4</v>
      </c>
      <c r="R4" s="88" t="s">
        <v>119</v>
      </c>
      <c r="S4" s="46" t="s">
        <v>4</v>
      </c>
      <c r="T4" s="20" t="s">
        <v>34</v>
      </c>
      <c r="U4" s="6"/>
      <c r="V4" s="16" t="s">
        <v>9</v>
      </c>
      <c r="W4" s="16"/>
      <c r="X4" s="8" t="s">
        <v>14</v>
      </c>
      <c r="Y4" s="21" t="s">
        <v>41</v>
      </c>
      <c r="Z4" s="21"/>
      <c r="AA4" s="20" t="s">
        <v>34</v>
      </c>
      <c r="AB4" s="6"/>
      <c r="AC4" s="16" t="s">
        <v>9</v>
      </c>
      <c r="AD4" s="16"/>
      <c r="AE4" s="8" t="s">
        <v>14</v>
      </c>
      <c r="AF4" s="21" t="s">
        <v>41</v>
      </c>
      <c r="AG4" s="21"/>
      <c r="AH4" s="20" t="s">
        <v>34</v>
      </c>
      <c r="AI4" s="6"/>
      <c r="AJ4" s="16" t="s">
        <v>9</v>
      </c>
      <c r="AK4" s="16"/>
      <c r="AL4" s="8" t="s">
        <v>14</v>
      </c>
      <c r="AM4" s="21" t="s">
        <v>41</v>
      </c>
      <c r="AN4" s="21"/>
      <c r="AO4" s="336" t="s">
        <v>4</v>
      </c>
      <c r="AP4" s="338" t="s">
        <v>4</v>
      </c>
      <c r="AQ4" s="335" t="s">
        <v>4</v>
      </c>
      <c r="AR4" s="336" t="s">
        <v>4</v>
      </c>
      <c r="AS4" s="338" t="s">
        <v>4</v>
      </c>
      <c r="AT4" s="335" t="s">
        <v>4</v>
      </c>
      <c r="AU4" s="105"/>
      <c r="AV4" s="32"/>
      <c r="AW4" s="32"/>
      <c r="AX4" s="32"/>
      <c r="AY4" s="32"/>
      <c r="AZ4" s="32"/>
      <c r="BA4" s="34"/>
      <c r="BB4" s="105"/>
      <c r="BC4" s="32"/>
      <c r="BD4" s="32"/>
      <c r="BE4" s="32"/>
      <c r="BF4" s="32"/>
      <c r="BG4" s="32"/>
      <c r="BH4" s="34"/>
      <c r="BI4" s="105"/>
      <c r="BJ4" s="32"/>
      <c r="BK4" s="32"/>
      <c r="BL4" s="32"/>
      <c r="BM4" s="32"/>
      <c r="BN4" s="32"/>
      <c r="BO4" s="34"/>
      <c r="BP4" s="105"/>
      <c r="BQ4" s="32"/>
      <c r="BR4" s="32"/>
      <c r="BS4" s="32"/>
      <c r="BT4" s="32"/>
      <c r="BU4" s="32"/>
      <c r="BV4" s="34"/>
      <c r="BW4" s="105"/>
      <c r="BX4" s="32"/>
      <c r="BY4" s="32"/>
      <c r="BZ4" s="32"/>
      <c r="CA4" s="32"/>
      <c r="CB4" s="32"/>
      <c r="CC4" s="34"/>
      <c r="CD4" s="105"/>
      <c r="CE4" s="32"/>
      <c r="CF4" s="32"/>
      <c r="CG4" s="32"/>
      <c r="CH4" s="32"/>
      <c r="CI4" s="32"/>
      <c r="CJ4" s="34"/>
      <c r="CK4" s="105"/>
      <c r="CL4" s="32"/>
      <c r="CM4" s="32"/>
      <c r="CN4" s="32"/>
      <c r="CO4" s="32"/>
      <c r="CP4" s="32"/>
      <c r="CQ4" s="34"/>
      <c r="CR4" s="105"/>
      <c r="CS4" s="32"/>
      <c r="CT4" s="32"/>
      <c r="CU4" s="32"/>
      <c r="CV4" s="32"/>
      <c r="CW4" s="32"/>
      <c r="CX4" s="34"/>
      <c r="CY4" s="105"/>
      <c r="CZ4" s="32"/>
      <c r="DA4" s="32"/>
      <c r="DB4" s="32"/>
      <c r="DC4" s="32"/>
      <c r="DD4" s="32"/>
      <c r="DE4" s="34"/>
      <c r="DF4" s="105"/>
      <c r="DG4" s="32"/>
      <c r="DH4" s="32"/>
      <c r="DI4" s="32"/>
      <c r="DJ4" s="32"/>
      <c r="DK4" s="32"/>
      <c r="DL4" s="34"/>
      <c r="DM4" s="105"/>
      <c r="DN4" s="32"/>
      <c r="DO4" s="32"/>
      <c r="DP4" s="32"/>
      <c r="DQ4" s="32"/>
      <c r="DR4" s="32"/>
      <c r="DS4" s="34"/>
      <c r="DT4" s="105"/>
      <c r="DU4" s="32"/>
      <c r="DV4" s="32"/>
      <c r="DW4" s="32"/>
      <c r="DX4" s="32"/>
      <c r="DY4" s="32"/>
      <c r="DZ4" s="34"/>
      <c r="EA4" s="105"/>
      <c r="EB4" s="32"/>
      <c r="EC4" s="32"/>
      <c r="ED4" s="32"/>
      <c r="EE4" s="32"/>
      <c r="EF4" s="32"/>
      <c r="EG4" s="34"/>
      <c r="EH4" s="105"/>
      <c r="EI4" s="32"/>
      <c r="EJ4" s="32"/>
      <c r="EK4" s="32"/>
      <c r="EL4" s="32"/>
      <c r="EM4" s="32"/>
      <c r="EN4" s="34"/>
      <c r="EO4" s="105"/>
      <c r="EP4" s="32"/>
      <c r="EQ4" s="32"/>
      <c r="ER4" s="32"/>
      <c r="ES4" s="32"/>
      <c r="ET4" s="32"/>
      <c r="EU4" s="34"/>
    </row>
    <row r="5" spans="1:152" s="11" customFormat="1" x14ac:dyDescent="0.3">
      <c r="A5" s="15"/>
      <c r="B5" s="35" t="str">
        <f>+'TRA-M'!$A$1</f>
        <v>JULY 2017</v>
      </c>
      <c r="C5" s="36" t="s">
        <v>23</v>
      </c>
      <c r="D5" s="36" t="s">
        <v>43</v>
      </c>
      <c r="E5" s="102" t="s">
        <v>7</v>
      </c>
      <c r="F5" s="37">
        <v>17.2</v>
      </c>
      <c r="G5" s="95" t="s">
        <v>13</v>
      </c>
      <c r="H5" s="96" t="s">
        <v>13</v>
      </c>
      <c r="I5" s="97" t="s">
        <v>13</v>
      </c>
      <c r="J5" s="104" t="s">
        <v>13</v>
      </c>
      <c r="K5" s="17" t="s">
        <v>2</v>
      </c>
      <c r="L5" s="89" t="s">
        <v>120</v>
      </c>
      <c r="M5" s="9" t="s">
        <v>5</v>
      </c>
      <c r="N5" s="89" t="s">
        <v>120</v>
      </c>
      <c r="O5" s="9" t="s">
        <v>6</v>
      </c>
      <c r="P5" s="89" t="s">
        <v>120</v>
      </c>
      <c r="Q5" s="9" t="s">
        <v>3</v>
      </c>
      <c r="R5" s="89" t="s">
        <v>120</v>
      </c>
      <c r="S5" s="46" t="s">
        <v>15</v>
      </c>
      <c r="T5" s="268" t="s">
        <v>0</v>
      </c>
      <c r="U5" s="269" t="s">
        <v>48</v>
      </c>
      <c r="V5" s="269" t="s">
        <v>1</v>
      </c>
      <c r="W5" s="269" t="s">
        <v>49</v>
      </c>
      <c r="X5" s="269" t="s">
        <v>2</v>
      </c>
      <c r="Y5" s="269" t="s">
        <v>3</v>
      </c>
      <c r="Z5" s="269" t="s">
        <v>50</v>
      </c>
      <c r="AA5" s="268" t="s">
        <v>0</v>
      </c>
      <c r="AB5" s="269" t="s">
        <v>48</v>
      </c>
      <c r="AC5" s="269" t="s">
        <v>1</v>
      </c>
      <c r="AD5" s="269" t="s">
        <v>49</v>
      </c>
      <c r="AE5" s="269" t="s">
        <v>2</v>
      </c>
      <c r="AF5" s="269" t="s">
        <v>3</v>
      </c>
      <c r="AG5" s="269" t="s">
        <v>50</v>
      </c>
      <c r="AH5" s="17" t="s">
        <v>0</v>
      </c>
      <c r="AI5" s="9" t="s">
        <v>48</v>
      </c>
      <c r="AJ5" s="9" t="s">
        <v>1</v>
      </c>
      <c r="AK5" s="9" t="s">
        <v>49</v>
      </c>
      <c r="AL5" s="9" t="s">
        <v>2</v>
      </c>
      <c r="AM5" s="9" t="s">
        <v>3</v>
      </c>
      <c r="AN5" s="9" t="s">
        <v>50</v>
      </c>
      <c r="AO5" s="336" t="s">
        <v>0</v>
      </c>
      <c r="AP5" s="338" t="s">
        <v>6</v>
      </c>
      <c r="AQ5" s="335" t="s">
        <v>3</v>
      </c>
      <c r="AR5" s="336" t="s">
        <v>0</v>
      </c>
      <c r="AS5" s="338" t="s">
        <v>6</v>
      </c>
      <c r="AT5" s="335" t="s">
        <v>3</v>
      </c>
      <c r="AU5" s="268" t="s">
        <v>0</v>
      </c>
      <c r="AV5" s="269" t="s">
        <v>51</v>
      </c>
      <c r="AW5" s="269" t="s">
        <v>1</v>
      </c>
      <c r="AX5" s="269" t="s">
        <v>49</v>
      </c>
      <c r="AY5" s="269" t="s">
        <v>2</v>
      </c>
      <c r="AZ5" s="269" t="s">
        <v>3</v>
      </c>
      <c r="BA5" s="270" t="s">
        <v>50</v>
      </c>
      <c r="BB5" s="268" t="s">
        <v>0</v>
      </c>
      <c r="BC5" s="269" t="s">
        <v>51</v>
      </c>
      <c r="BD5" s="269" t="s">
        <v>1</v>
      </c>
      <c r="BE5" s="269" t="s">
        <v>49</v>
      </c>
      <c r="BF5" s="269" t="s">
        <v>2</v>
      </c>
      <c r="BG5" s="269" t="s">
        <v>3</v>
      </c>
      <c r="BH5" s="270" t="s">
        <v>50</v>
      </c>
      <c r="BI5" s="268" t="s">
        <v>0</v>
      </c>
      <c r="BJ5" s="269" t="s">
        <v>51</v>
      </c>
      <c r="BK5" s="269" t="s">
        <v>1</v>
      </c>
      <c r="BL5" s="269" t="s">
        <v>49</v>
      </c>
      <c r="BM5" s="269" t="s">
        <v>2</v>
      </c>
      <c r="BN5" s="269" t="s">
        <v>3</v>
      </c>
      <c r="BO5" s="270" t="s">
        <v>50</v>
      </c>
      <c r="BP5" s="268" t="s">
        <v>0</v>
      </c>
      <c r="BQ5" s="269" t="s">
        <v>51</v>
      </c>
      <c r="BR5" s="269" t="s">
        <v>1</v>
      </c>
      <c r="BS5" s="269" t="s">
        <v>49</v>
      </c>
      <c r="BT5" s="269" t="s">
        <v>2</v>
      </c>
      <c r="BU5" s="269" t="s">
        <v>3</v>
      </c>
      <c r="BV5" s="270" t="s">
        <v>50</v>
      </c>
      <c r="BW5" s="17" t="s">
        <v>0</v>
      </c>
      <c r="BX5" s="9" t="s">
        <v>51</v>
      </c>
      <c r="BY5" s="9" t="s">
        <v>1</v>
      </c>
      <c r="BZ5" s="9" t="s">
        <v>49</v>
      </c>
      <c r="CA5" s="9" t="s">
        <v>2</v>
      </c>
      <c r="CB5" s="9" t="s">
        <v>3</v>
      </c>
      <c r="CC5" s="18" t="s">
        <v>50</v>
      </c>
      <c r="CD5" s="17" t="s">
        <v>0</v>
      </c>
      <c r="CE5" s="9" t="s">
        <v>51</v>
      </c>
      <c r="CF5" s="9" t="s">
        <v>1</v>
      </c>
      <c r="CG5" s="9" t="s">
        <v>49</v>
      </c>
      <c r="CH5" s="9" t="s">
        <v>2</v>
      </c>
      <c r="CI5" s="9" t="s">
        <v>3</v>
      </c>
      <c r="CJ5" s="18" t="s">
        <v>50</v>
      </c>
      <c r="CK5" s="17" t="s">
        <v>0</v>
      </c>
      <c r="CL5" s="9" t="s">
        <v>51</v>
      </c>
      <c r="CM5" s="9" t="s">
        <v>1</v>
      </c>
      <c r="CN5" s="9" t="s">
        <v>49</v>
      </c>
      <c r="CO5" s="9" t="s">
        <v>2</v>
      </c>
      <c r="CP5" s="9" t="s">
        <v>3</v>
      </c>
      <c r="CQ5" s="18" t="s">
        <v>50</v>
      </c>
      <c r="CR5" s="17" t="s">
        <v>0</v>
      </c>
      <c r="CS5" s="9" t="s">
        <v>51</v>
      </c>
      <c r="CT5" s="9" t="s">
        <v>1</v>
      </c>
      <c r="CU5" s="9" t="s">
        <v>49</v>
      </c>
      <c r="CV5" s="9" t="s">
        <v>2</v>
      </c>
      <c r="CW5" s="9" t="s">
        <v>3</v>
      </c>
      <c r="CX5" s="18" t="s">
        <v>50</v>
      </c>
      <c r="CY5" s="17" t="s">
        <v>0</v>
      </c>
      <c r="CZ5" s="9" t="s">
        <v>51</v>
      </c>
      <c r="DA5" s="9" t="s">
        <v>1</v>
      </c>
      <c r="DB5" s="9" t="s">
        <v>49</v>
      </c>
      <c r="DC5" s="9" t="s">
        <v>2</v>
      </c>
      <c r="DD5" s="9" t="s">
        <v>3</v>
      </c>
      <c r="DE5" s="18" t="s">
        <v>50</v>
      </c>
      <c r="DF5" s="17" t="s">
        <v>0</v>
      </c>
      <c r="DG5" s="9" t="s">
        <v>51</v>
      </c>
      <c r="DH5" s="9" t="s">
        <v>1</v>
      </c>
      <c r="DI5" s="9" t="s">
        <v>49</v>
      </c>
      <c r="DJ5" s="9" t="s">
        <v>2</v>
      </c>
      <c r="DK5" s="9" t="s">
        <v>3</v>
      </c>
      <c r="DL5" s="18" t="s">
        <v>50</v>
      </c>
      <c r="DM5" s="17" t="s">
        <v>0</v>
      </c>
      <c r="DN5" s="9" t="s">
        <v>51</v>
      </c>
      <c r="DO5" s="9" t="s">
        <v>1</v>
      </c>
      <c r="DP5" s="9" t="s">
        <v>49</v>
      </c>
      <c r="DQ5" s="9" t="s">
        <v>2</v>
      </c>
      <c r="DR5" s="9" t="s">
        <v>3</v>
      </c>
      <c r="DS5" s="18" t="s">
        <v>50</v>
      </c>
      <c r="DT5" s="17" t="s">
        <v>0</v>
      </c>
      <c r="DU5" s="9" t="s">
        <v>51</v>
      </c>
      <c r="DV5" s="9" t="s">
        <v>1</v>
      </c>
      <c r="DW5" s="9" t="s">
        <v>49</v>
      </c>
      <c r="DX5" s="9" t="s">
        <v>2</v>
      </c>
      <c r="DY5" s="9" t="s">
        <v>3</v>
      </c>
      <c r="DZ5" s="18" t="s">
        <v>50</v>
      </c>
      <c r="EA5" s="17" t="s">
        <v>0</v>
      </c>
      <c r="EB5" s="9" t="s">
        <v>51</v>
      </c>
      <c r="EC5" s="9" t="s">
        <v>1</v>
      </c>
      <c r="ED5" s="9" t="s">
        <v>49</v>
      </c>
      <c r="EE5" s="9" t="s">
        <v>2</v>
      </c>
      <c r="EF5" s="9" t="s">
        <v>3</v>
      </c>
      <c r="EG5" s="18" t="s">
        <v>50</v>
      </c>
      <c r="EH5" s="17" t="s">
        <v>0</v>
      </c>
      <c r="EI5" s="9" t="s">
        <v>51</v>
      </c>
      <c r="EJ5" s="9" t="s">
        <v>1</v>
      </c>
      <c r="EK5" s="9" t="s">
        <v>49</v>
      </c>
      <c r="EL5" s="9" t="s">
        <v>2</v>
      </c>
      <c r="EM5" s="9" t="s">
        <v>3</v>
      </c>
      <c r="EN5" s="18" t="s">
        <v>50</v>
      </c>
      <c r="EO5" s="17" t="s">
        <v>0</v>
      </c>
      <c r="EP5" s="9" t="s">
        <v>51</v>
      </c>
      <c r="EQ5" s="9" t="s">
        <v>1</v>
      </c>
      <c r="ER5" s="9" t="s">
        <v>49</v>
      </c>
      <c r="ES5" s="9" t="s">
        <v>2</v>
      </c>
      <c r="ET5" s="9" t="s">
        <v>3</v>
      </c>
      <c r="EU5" s="18" t="s">
        <v>50</v>
      </c>
    </row>
    <row r="6" spans="1:152" s="11" customFormat="1" ht="13.5" customHeight="1" x14ac:dyDescent="0.3">
      <c r="A6" s="15"/>
      <c r="C6" s="15"/>
      <c r="D6" s="15"/>
      <c r="E6" s="102"/>
      <c r="F6" s="31"/>
      <c r="G6" s="95"/>
      <c r="H6" s="96"/>
      <c r="I6" s="97"/>
      <c r="J6" s="97"/>
      <c r="K6" s="17"/>
      <c r="L6" s="25"/>
      <c r="M6" s="9"/>
      <c r="N6" s="25"/>
      <c r="O6" s="9"/>
      <c r="P6" s="25"/>
      <c r="Q6" s="9"/>
      <c r="R6" s="25"/>
      <c r="S6" s="46"/>
      <c r="T6" s="269"/>
      <c r="U6" s="269"/>
      <c r="V6" s="269"/>
      <c r="W6" s="269"/>
      <c r="X6" s="269"/>
      <c r="Y6" s="272"/>
      <c r="Z6" s="273"/>
      <c r="AA6" s="269"/>
      <c r="AB6" s="269"/>
      <c r="AC6" s="269"/>
      <c r="AD6" s="269"/>
      <c r="AE6" s="269"/>
      <c r="AF6" s="272"/>
      <c r="AG6" s="273"/>
      <c r="AH6" s="9"/>
      <c r="AI6" s="9"/>
      <c r="AJ6" s="9"/>
      <c r="AK6" s="9"/>
      <c r="AL6" s="9"/>
      <c r="AM6" s="25"/>
      <c r="AN6" s="39"/>
      <c r="AO6" s="335"/>
      <c r="AP6" s="335"/>
      <c r="AQ6" s="335"/>
      <c r="AR6" s="336"/>
      <c r="AS6" s="335"/>
      <c r="AT6" s="339"/>
      <c r="AU6" s="105"/>
      <c r="AV6" s="32"/>
      <c r="AW6" s="32"/>
      <c r="AX6" s="32"/>
      <c r="AY6" s="32"/>
      <c r="AZ6" s="32"/>
      <c r="BA6" s="34"/>
      <c r="BB6" s="26"/>
      <c r="BC6" s="27"/>
      <c r="BD6" s="27"/>
      <c r="BE6" s="27"/>
      <c r="BF6" s="27"/>
      <c r="BG6" s="27"/>
      <c r="BH6" s="28"/>
      <c r="BI6" s="26"/>
      <c r="BJ6" s="27"/>
      <c r="BK6" s="27"/>
      <c r="BL6" s="27"/>
      <c r="BM6" s="27"/>
      <c r="BN6" s="27"/>
      <c r="BO6" s="28"/>
      <c r="BP6" s="26"/>
      <c r="BQ6" s="27"/>
      <c r="BR6" s="27"/>
      <c r="BS6" s="27"/>
      <c r="BT6" s="27"/>
      <c r="BU6" s="27"/>
      <c r="BV6" s="28"/>
      <c r="BW6" s="26"/>
      <c r="BX6" s="27"/>
      <c r="BY6" s="27"/>
      <c r="BZ6" s="27"/>
      <c r="CA6" s="27"/>
      <c r="CB6" s="27"/>
      <c r="CC6" s="28"/>
      <c r="CD6" s="26"/>
      <c r="CE6" s="27"/>
      <c r="CF6" s="27"/>
      <c r="CG6" s="27"/>
      <c r="CH6" s="27"/>
      <c r="CI6" s="27"/>
      <c r="CJ6" s="28"/>
      <c r="CK6" s="26"/>
      <c r="CL6" s="27"/>
      <c r="CM6" s="27"/>
      <c r="CN6" s="27"/>
      <c r="CO6" s="27"/>
      <c r="CP6" s="27"/>
      <c r="CQ6" s="28"/>
      <c r="CR6" s="26"/>
      <c r="CS6" s="27"/>
      <c r="CT6" s="27"/>
      <c r="CU6" s="27"/>
      <c r="CV6" s="27"/>
      <c r="CW6" s="27"/>
      <c r="CX6" s="28"/>
      <c r="CY6" s="26"/>
      <c r="CZ6" s="27"/>
      <c r="DA6" s="27"/>
      <c r="DB6" s="27"/>
      <c r="DC6" s="27"/>
      <c r="DD6" s="27"/>
      <c r="DE6" s="28"/>
      <c r="DF6" s="26"/>
      <c r="DG6" s="27"/>
      <c r="DH6" s="27"/>
      <c r="DI6" s="27"/>
      <c r="DJ6" s="27"/>
      <c r="DK6" s="27"/>
      <c r="DL6" s="28"/>
      <c r="DM6" s="26"/>
      <c r="DN6" s="27"/>
      <c r="DO6" s="27"/>
      <c r="DP6" s="27"/>
      <c r="DQ6" s="27"/>
      <c r="DR6" s="27"/>
      <c r="DS6" s="28"/>
      <c r="DT6" s="105"/>
      <c r="DU6" s="32"/>
      <c r="DV6" s="32"/>
      <c r="DW6" s="32"/>
      <c r="DX6" s="32"/>
      <c r="DY6" s="32"/>
      <c r="DZ6" s="34"/>
      <c r="EA6" s="105"/>
      <c r="EB6" s="32"/>
      <c r="EC6" s="32"/>
      <c r="ED6" s="32"/>
      <c r="EE6" s="32"/>
      <c r="EF6" s="32"/>
      <c r="EG6" s="34"/>
      <c r="EH6" s="105"/>
      <c r="EI6" s="32"/>
      <c r="EJ6" s="32"/>
      <c r="EK6" s="32"/>
      <c r="EL6" s="32"/>
      <c r="EM6" s="32"/>
      <c r="EN6" s="34"/>
      <c r="EO6" s="105"/>
      <c r="EP6" s="32"/>
      <c r="EQ6" s="32"/>
      <c r="ER6" s="32"/>
      <c r="ES6" s="32"/>
      <c r="ET6" s="32"/>
      <c r="EU6" s="34"/>
    </row>
    <row r="7" spans="1:152" s="11" customFormat="1" x14ac:dyDescent="0.3">
      <c r="A7" s="31">
        <v>1</v>
      </c>
      <c r="B7" s="136" t="s">
        <v>73</v>
      </c>
      <c r="C7" s="137" t="s">
        <v>25</v>
      </c>
      <c r="D7" s="31">
        <v>2016</v>
      </c>
      <c r="E7" s="40">
        <f t="shared" ref="E7:E17" si="0">IF(S7="",SUM(K7:R7),SUM(K7:R7)+S7)</f>
        <v>259.11</v>
      </c>
      <c r="F7" s="106" t="s">
        <v>45</v>
      </c>
      <c r="G7" s="107" t="str">
        <f>IF('TRA-M'!$A$2-D7&lt;=1,IF(X7&gt;=$T$3,"YES",IF(AE7&gt;=$AA$3,"YES",IF(AL7&gt;=$AH$3,"YES",""))),"")</f>
        <v>YES</v>
      </c>
      <c r="H7" s="108" t="str">
        <f t="shared" ref="H7:H17" si="1">IF(X7&gt;=$V$3,IF(F7="YES","YES",""),IF(AE7&gt;=$AC$3,IF(F7="YES","YES",""),IF(AL7&gt;=$AJ$3,IF(F7="YES","YES",""),"")))</f>
        <v>YES</v>
      </c>
      <c r="I7" s="109" t="str">
        <f t="shared" ref="I7:I17" si="2">IF(X7&gt;=$X$3,IF(F7="YES","YES",""),IF(AE7&gt;=$AE$3,IF(F7="YES","YES",""),IF(AL7&gt;=$AL$3,IF(F7="YES","YES",""),"")))</f>
        <v>YES</v>
      </c>
      <c r="J7" s="110" t="str">
        <f t="shared" ref="J7:J17" si="3">IF(X7&gt;=$Y$3,IF(F7="YES","YES",""),IF(AE7&gt;=$AF$3,IF(F7="YES","YES",""),IF(AL7&gt;=$AM$3,IF(F7="YES","YES",""),"")))</f>
        <v/>
      </c>
      <c r="K7" s="17">
        <f t="shared" ref="K7:K17" si="4">MAX($AL7,$AE7,$X7)</f>
        <v>102.155</v>
      </c>
      <c r="L7" s="25"/>
      <c r="M7" s="9">
        <f t="shared" ref="M7:M17" si="5">IF($K7=$AL7,MAX($AA7+$AB7,$T7+$U7),IF($K7=$AE7,MAX($AH7+$AI7,$T7+$U7),MAX($AH7+$AI7,$AA7+$AB7)))</f>
        <v>45.704999999999998</v>
      </c>
      <c r="N7" s="272"/>
      <c r="O7" s="9">
        <f t="shared" ref="O7:O17" si="6">IF($K7=$AL7,MAX($AC7+$AD7,$V7+$W7),IF($K7=$AE7,MAX($AJ7+$AK7,$V7+$W7),MAX($AJ7+$AK7,$AC7+$AD7)))</f>
        <v>55.565000000000005</v>
      </c>
      <c r="P7" s="272"/>
      <c r="Q7" s="9">
        <f t="shared" ref="Q7:Q17" si="7">MAX($AM7+$AN7,$AF7+$AG7,$Y7+$Z7)</f>
        <v>54.34</v>
      </c>
      <c r="R7" s="25"/>
      <c r="S7" s="46">
        <f t="shared" ref="S7:S17" si="8">IF(MAX(AO7:AQ7)&lt;=0,"",MAX(AO7:AQ7))</f>
        <v>1.3449999999999989</v>
      </c>
      <c r="T7" s="271">
        <f>25.9+2</f>
        <v>27.9</v>
      </c>
      <c r="U7" s="272">
        <v>15.885</v>
      </c>
      <c r="V7" s="54">
        <f>25+13.8</f>
        <v>38.799999999999997</v>
      </c>
      <c r="W7" s="272">
        <v>14.87</v>
      </c>
      <c r="X7" s="47">
        <f t="shared" ref="X7:X17" si="9">SUM(T7:W7)</f>
        <v>97.454999999999998</v>
      </c>
      <c r="Y7" s="53">
        <f>2.1+2</f>
        <v>4.0999999999999996</v>
      </c>
      <c r="Z7" s="73">
        <v>1.58</v>
      </c>
      <c r="AA7" s="271">
        <f>18.5+9.3+4.1</f>
        <v>31.9</v>
      </c>
      <c r="AB7" s="272">
        <v>15.93</v>
      </c>
      <c r="AC7" s="272">
        <f>16.2+9.5+13.8</f>
        <v>39.5</v>
      </c>
      <c r="AD7" s="272">
        <v>14.824999999999999</v>
      </c>
      <c r="AE7" s="135">
        <f t="shared" ref="AE7:AE17" si="10">SUM(AA7:AD7)</f>
        <v>102.155</v>
      </c>
      <c r="AF7" s="272">
        <f>16.2+8.9+14.4</f>
        <v>39.5</v>
      </c>
      <c r="AG7" s="273">
        <v>14.84</v>
      </c>
      <c r="AH7" s="271">
        <f>17.3+9.1+3.5</f>
        <v>29.9</v>
      </c>
      <c r="AI7" s="272">
        <v>15.805</v>
      </c>
      <c r="AJ7" s="272">
        <f>17.5+9.4+13.8</f>
        <v>40.700000000000003</v>
      </c>
      <c r="AK7" s="272">
        <v>14.865</v>
      </c>
      <c r="AL7" s="135">
        <f t="shared" ref="AL7:AL17" si="11">SUM(AH7:AK7)</f>
        <v>101.27</v>
      </c>
      <c r="AM7" s="272">
        <f>16.5+8.9+13.8</f>
        <v>39.200000000000003</v>
      </c>
      <c r="AN7" s="273">
        <v>14.81</v>
      </c>
      <c r="AO7" s="336">
        <f t="shared" ref="AO7:AO17" si="12">IF(AR7="","",AR7-M7)</f>
        <v>1.3449999999999989</v>
      </c>
      <c r="AP7" s="335">
        <f t="shared" ref="AP7:AP17" si="13">IF(AS7="","",AS7-O7)</f>
        <v>-1.3049999999999997</v>
      </c>
      <c r="AQ7" s="337">
        <f t="shared" ref="AQ7:AQ17" si="14">IF(AT7="","",AT7-Q7)</f>
        <v>-1.3300000000000054</v>
      </c>
      <c r="AR7" s="336">
        <f t="shared" ref="AR7:AR17" si="15">IF(MAX($AU7+$AV7,$BB7+$BC7,$BI7+$BJ7,$BP7+$BQ7,$BW7+$BX7,$CD7+$CE7,$CK7+$CL7,$CR7+$CS7,$CY7+$CZ7,$DF7+$DG7,$DM7+$DN7,$DT7+$DU7,$EA7+$EB7,$EH7+$EI7,$EO7+$EP7)=0,"",MAX($AU7+$AV7,$BB7+$BC7,$BI7+$BJ7,$BP7+$BQ7,$BW7+$BX7,$CD7+$CE7,$CK7+$CL7,$CR7+$CS7,$CY7+$CZ7,$DF7+$DG7,$DM7+$DN7,$DT7+$DU7,$EA7+$EB7,$EH7+$EI7,$EO7+$EP7))</f>
        <v>47.05</v>
      </c>
      <c r="AS7" s="335">
        <f t="shared" ref="AS7:AS17" si="16">IF(MAX($AW7+$AX7,$BD7+$BE7,$BK7+$BL7,$BR7+$BS7,$BY7+$BZ7,$CF7+$CG7,$CM7+$CN7,$CT7+$CU7,$DA7+$DB7,$DH7+$DI7,$DO7+$DP7,$DV7+$DW7,$EC7+$ED7,$EJ7+$EK7,$EQ7+$ER7)=0,"",MAX($AW7+$AX7,$BD7+$BE7,$BK7+$BL7,$BR7+$BS7,$BY7+$BZ7,$CF7+$CG7,$CM7+$CN7,$CT7+$CU7,$DA7+$DB7,$DH7+$DI7,$DO7+$DP7,$DV7+$DW7,$EC7+$ED7,$EJ7+$EK7,$EQ7+$ER7))</f>
        <v>54.260000000000005</v>
      </c>
      <c r="AT7" s="337">
        <f t="shared" ref="AT7:AT17" si="17">IF(MAX($AZ7+$BA7,$BG7+$BH7,$BN7+$BO7,$BU7+$BV7,$CB7+$CC7,$CI7+$CJ7,$CP7+$CQ7,$CW7+$CX7,$DD7+$DE7,$DK7+$DL7,$DR7+$DS7,$DY7+$DZ7,$EF7+$EG7,$EM7+$EN7,$ET7+$EU7)=0,"",MAX($AZ7+$BA7,$BG7+$BH7,$BN7+$BO7,$BU7+$BV7,$CB7+$CC7,$CI7+$CJ7,$CP7+$CQ7,$CW7+$CX7,$DD7+$DE7,$DK7+$DL7,$DR7+$DS7,$DY7+$DZ7,$EF7+$EG7,$EM7+$EN7,$ET7+$EU7))</f>
        <v>53.01</v>
      </c>
      <c r="AU7" s="271"/>
      <c r="AV7" s="272"/>
      <c r="AW7" s="272"/>
      <c r="AX7" s="272"/>
      <c r="AY7" s="55" t="str">
        <f t="shared" ref="AY7:AY17" si="18">IF(AW7&lt;&gt;"",SUM(AU7:AX7),"")</f>
        <v/>
      </c>
      <c r="AZ7" s="272"/>
      <c r="BA7" s="273"/>
      <c r="BB7" s="271">
        <f>25.2+3</f>
        <v>28.2</v>
      </c>
      <c r="BC7" s="272">
        <v>15.545</v>
      </c>
      <c r="BD7" s="54">
        <f>23.8+13.8</f>
        <v>37.6</v>
      </c>
      <c r="BE7" s="272">
        <v>15.25</v>
      </c>
      <c r="BF7" s="55">
        <f t="shared" ref="BF7:BF17" si="19">IF(BD7&lt;&gt;"",SUM(BB7:BE7),"")</f>
        <v>96.594999999999999</v>
      </c>
      <c r="BG7" s="54">
        <f>24.2+13.8</f>
        <v>38</v>
      </c>
      <c r="BH7" s="273">
        <v>15.01</v>
      </c>
      <c r="BI7" s="271"/>
      <c r="BJ7" s="272"/>
      <c r="BK7" s="272"/>
      <c r="BL7" s="272"/>
      <c r="BM7" s="55" t="str">
        <f t="shared" ref="BM7:BM17" si="20">IF(BK7&lt;&gt;"",SUM(BI7:BL7),"")</f>
        <v/>
      </c>
      <c r="BN7" s="54">
        <f>22.1+13.8</f>
        <v>35.900000000000006</v>
      </c>
      <c r="BO7" s="273">
        <v>14.91</v>
      </c>
      <c r="BP7" s="271">
        <f>17.3+9.6+4.2</f>
        <v>31.099999999999998</v>
      </c>
      <c r="BQ7" s="272">
        <v>15.95</v>
      </c>
      <c r="BR7" s="272">
        <f>16.1+9.7+13.8</f>
        <v>39.6</v>
      </c>
      <c r="BS7" s="272">
        <v>14.66</v>
      </c>
      <c r="BT7" s="112">
        <f t="shared" ref="BT7:BT17" si="21">IF(BR7&lt;&gt;"",SUM(BP7:BS7),"")</f>
        <v>101.31</v>
      </c>
      <c r="BU7" s="272">
        <f>14.8+9+12.4</f>
        <v>36.200000000000003</v>
      </c>
      <c r="BV7" s="273">
        <v>14.695</v>
      </c>
      <c r="BW7" s="271"/>
      <c r="BX7" s="272"/>
      <c r="BY7" s="272"/>
      <c r="BZ7" s="272"/>
      <c r="CA7" s="55" t="str">
        <f t="shared" ref="CA7:CA17" si="22">IF(BY7&lt;&gt;"",SUM(BW7:BZ7),"")</f>
        <v/>
      </c>
      <c r="CB7" s="272"/>
      <c r="CC7" s="273"/>
      <c r="CD7" s="271"/>
      <c r="CE7" s="272"/>
      <c r="CF7" s="272"/>
      <c r="CG7" s="272"/>
      <c r="CH7" s="55" t="str">
        <f t="shared" ref="CH7:CH17" si="23">IF(CF7&lt;&gt;"",SUM(CD7:CG7),"")</f>
        <v/>
      </c>
      <c r="CI7" s="272"/>
      <c r="CJ7" s="273"/>
      <c r="CK7" s="271"/>
      <c r="CL7" s="272"/>
      <c r="CM7" s="272"/>
      <c r="CN7" s="272"/>
      <c r="CO7" s="55" t="str">
        <f t="shared" ref="CO7:CO17" si="24">IF(CM7&lt;&gt;"",SUM(CK7:CN7),"")</f>
        <v/>
      </c>
      <c r="CP7" s="272"/>
      <c r="CQ7" s="273"/>
      <c r="CR7" s="24"/>
      <c r="CS7" s="25"/>
      <c r="CT7" s="25"/>
      <c r="CU7" s="25"/>
      <c r="CV7" s="55" t="str">
        <f t="shared" ref="CV7:CV17" si="25">IF(CT7&lt;&gt;"",SUM(CR7:CU7),"")</f>
        <v/>
      </c>
      <c r="CW7" s="25"/>
      <c r="CX7" s="39"/>
      <c r="CY7" s="24"/>
      <c r="CZ7" s="25"/>
      <c r="DA7" s="25"/>
      <c r="DB7" s="25"/>
      <c r="DC7" s="55" t="str">
        <f t="shared" ref="DC7:DC17" si="26">IF(DA7&lt;&gt;"",SUM(CY7:DB7),"")</f>
        <v/>
      </c>
      <c r="DD7" s="25"/>
      <c r="DE7" s="39"/>
      <c r="DF7" s="24"/>
      <c r="DG7" s="25"/>
      <c r="DH7" s="25"/>
      <c r="DI7" s="25"/>
      <c r="DJ7" s="55" t="str">
        <f t="shared" ref="DJ7:DJ17" si="27">IF(DH7&lt;&gt;"",SUM(DF7:DI7),"")</f>
        <v/>
      </c>
      <c r="DK7" s="25"/>
      <c r="DL7" s="39"/>
      <c r="DM7" s="24"/>
      <c r="DN7" s="25"/>
      <c r="DO7" s="25"/>
      <c r="DP7" s="25"/>
      <c r="DQ7" s="55" t="str">
        <f t="shared" ref="DQ7:DQ17" si="28">IF(DO7&lt;&gt;"",SUM(DM7:DP7),"")</f>
        <v/>
      </c>
      <c r="DR7" s="25"/>
      <c r="DS7" s="39"/>
      <c r="DT7" s="24"/>
      <c r="DU7" s="25"/>
      <c r="DV7" s="25"/>
      <c r="DW7" s="25"/>
      <c r="DX7" s="55" t="str">
        <f t="shared" ref="DX7:DX17" si="29">IF(DV7&lt;&gt;"",SUM(DT7:DW7),"")</f>
        <v/>
      </c>
      <c r="DY7" s="25"/>
      <c r="DZ7" s="39"/>
      <c r="EA7" s="24"/>
      <c r="EB7" s="25"/>
      <c r="EC7" s="25"/>
      <c r="ED7" s="25"/>
      <c r="EE7" s="55" t="str">
        <f t="shared" ref="EE7:EE17" si="30">IF(EC7&lt;&gt;"",SUM(EA7:ED7),"")</f>
        <v/>
      </c>
      <c r="EF7" s="25"/>
      <c r="EG7" s="39"/>
      <c r="EH7" s="24"/>
      <c r="EI7" s="25"/>
      <c r="EJ7" s="25"/>
      <c r="EK7" s="25"/>
      <c r="EL7" s="111" t="str">
        <f>IF(EJ7&lt;&gt;"",SUM(EH7:EK7),"")</f>
        <v/>
      </c>
      <c r="EM7" s="9"/>
      <c r="EN7" s="18"/>
      <c r="EO7" s="24"/>
      <c r="EP7" s="25"/>
      <c r="EQ7" s="25"/>
      <c r="ER7" s="25"/>
      <c r="ES7" s="111" t="str">
        <f>IF(EQ7&lt;&gt;"",SUM(EO7:ER7),"")</f>
        <v/>
      </c>
      <c r="ET7" s="9"/>
      <c r="EU7" s="18"/>
    </row>
    <row r="8" spans="1:152" s="11" customFormat="1" x14ac:dyDescent="0.3">
      <c r="A8" s="31">
        <v>2</v>
      </c>
      <c r="B8" s="136" t="s">
        <v>74</v>
      </c>
      <c r="C8" s="137" t="s">
        <v>25</v>
      </c>
      <c r="D8" s="31">
        <v>2016</v>
      </c>
      <c r="E8" s="40">
        <f t="shared" si="0"/>
        <v>258.60500000000002</v>
      </c>
      <c r="F8" s="106" t="s">
        <v>45</v>
      </c>
      <c r="G8" s="107" t="str">
        <f>IF('TRA-M'!$A$2-D8&lt;=1,IF(X8&gt;=$T$3,"YES",IF(AE8&gt;=$AA$3,"YES",IF(AL8&gt;=$AH$3,"YES",""))),"")</f>
        <v>YES</v>
      </c>
      <c r="H8" s="108" t="str">
        <f t="shared" si="1"/>
        <v>YES</v>
      </c>
      <c r="I8" s="109" t="str">
        <f t="shared" si="2"/>
        <v>YES</v>
      </c>
      <c r="J8" s="110" t="str">
        <f t="shared" si="3"/>
        <v/>
      </c>
      <c r="K8" s="17">
        <f t="shared" si="4"/>
        <v>101.93</v>
      </c>
      <c r="L8" s="25"/>
      <c r="M8" s="9">
        <f t="shared" si="5"/>
        <v>45.774999999999999</v>
      </c>
      <c r="N8" s="89">
        <v>2</v>
      </c>
      <c r="O8" s="9">
        <f t="shared" si="6"/>
        <v>53.855000000000004</v>
      </c>
      <c r="P8" s="272"/>
      <c r="Q8" s="9">
        <f t="shared" si="7"/>
        <v>55.045000000000002</v>
      </c>
      <c r="R8" s="25"/>
      <c r="S8" s="46" t="str">
        <f t="shared" si="8"/>
        <v/>
      </c>
      <c r="T8" s="138">
        <f>26.4+3.3</f>
        <v>29.7</v>
      </c>
      <c r="U8" s="89">
        <v>16.074999999999999</v>
      </c>
      <c r="V8" s="272">
        <f>22.5+12.3</f>
        <v>34.799999999999997</v>
      </c>
      <c r="W8" s="272">
        <v>14.72</v>
      </c>
      <c r="X8" s="47">
        <f t="shared" si="9"/>
        <v>95.294999999999987</v>
      </c>
      <c r="Y8" s="54">
        <f>24.3+13.8</f>
        <v>38.1</v>
      </c>
      <c r="Z8" s="272">
        <v>14.95</v>
      </c>
      <c r="AA8" s="271">
        <f>18.3+9.6+4.1</f>
        <v>32</v>
      </c>
      <c r="AB8" s="272">
        <v>16.594999999999999</v>
      </c>
      <c r="AC8" s="272">
        <f>15.9+9.3+13.1</f>
        <v>38.300000000000004</v>
      </c>
      <c r="AD8" s="272">
        <v>15.035</v>
      </c>
      <c r="AE8" s="135">
        <f t="shared" si="10"/>
        <v>101.93</v>
      </c>
      <c r="AF8" s="272">
        <f>16.5+9.3+13.8</f>
        <v>39.6</v>
      </c>
      <c r="AG8" s="272">
        <v>15.445</v>
      </c>
      <c r="AH8" s="52">
        <f>17+8.6+2.5</f>
        <v>28.1</v>
      </c>
      <c r="AI8" s="53">
        <v>14.76</v>
      </c>
      <c r="AJ8" s="272">
        <f>15.9+8.8+13.8</f>
        <v>38.5</v>
      </c>
      <c r="AK8" s="272">
        <v>15.355</v>
      </c>
      <c r="AL8" s="47">
        <f t="shared" si="11"/>
        <v>96.715000000000003</v>
      </c>
      <c r="AM8" s="272">
        <f>15.8+9.2+13.3</f>
        <v>38.299999999999997</v>
      </c>
      <c r="AN8" s="272">
        <v>15.03</v>
      </c>
      <c r="AO8" s="336">
        <f t="shared" si="12"/>
        <v>-1.1849999999999952</v>
      </c>
      <c r="AP8" s="335">
        <f t="shared" si="13"/>
        <v>-1.5700000000000074</v>
      </c>
      <c r="AQ8" s="337">
        <f t="shared" si="14"/>
        <v>-3.3499999999999943</v>
      </c>
      <c r="AR8" s="336">
        <f t="shared" si="15"/>
        <v>44.59</v>
      </c>
      <c r="AS8" s="335">
        <f t="shared" si="16"/>
        <v>52.284999999999997</v>
      </c>
      <c r="AT8" s="337">
        <f t="shared" si="17"/>
        <v>51.695000000000007</v>
      </c>
      <c r="AU8" s="271"/>
      <c r="AV8" s="272"/>
      <c r="AW8" s="272"/>
      <c r="AX8" s="272"/>
      <c r="AY8" s="55" t="str">
        <f t="shared" si="18"/>
        <v/>
      </c>
      <c r="AZ8" s="272"/>
      <c r="BA8" s="273"/>
      <c r="BB8" s="271">
        <f>24.8+3.3</f>
        <v>28.1</v>
      </c>
      <c r="BC8" s="272">
        <v>16.489999999999998</v>
      </c>
      <c r="BD8" s="54">
        <f>23+13.8</f>
        <v>36.799999999999997</v>
      </c>
      <c r="BE8" s="272">
        <v>15.484999999999999</v>
      </c>
      <c r="BF8" s="55">
        <f t="shared" si="19"/>
        <v>96.875</v>
      </c>
      <c r="BG8" s="54">
        <f>22.6+13.8</f>
        <v>36.400000000000006</v>
      </c>
      <c r="BH8" s="273">
        <v>15.295</v>
      </c>
      <c r="BI8" s="271"/>
      <c r="BJ8" s="272"/>
      <c r="BK8" s="272"/>
      <c r="BL8" s="272"/>
      <c r="BM8" s="55" t="str">
        <f t="shared" si="20"/>
        <v/>
      </c>
      <c r="BN8" s="272">
        <f>22.3+12.8</f>
        <v>35.1</v>
      </c>
      <c r="BO8" s="273">
        <v>15.225</v>
      </c>
      <c r="BP8" s="52">
        <f>8.6+4.8+1.3</f>
        <v>14.7</v>
      </c>
      <c r="BQ8" s="53">
        <v>8.2149999999999999</v>
      </c>
      <c r="BR8" s="53">
        <f>7.5+4.35+7.2</f>
        <v>19.05</v>
      </c>
      <c r="BS8" s="53">
        <v>7.82</v>
      </c>
      <c r="BT8" s="55">
        <f t="shared" si="21"/>
        <v>49.785000000000004</v>
      </c>
      <c r="BU8" s="272"/>
      <c r="BV8" s="273"/>
      <c r="BW8" s="271"/>
      <c r="BX8" s="272"/>
      <c r="BY8" s="272"/>
      <c r="BZ8" s="272"/>
      <c r="CA8" s="55" t="str">
        <f t="shared" si="22"/>
        <v/>
      </c>
      <c r="CB8" s="272"/>
      <c r="CC8" s="273"/>
      <c r="CD8" s="271"/>
      <c r="CE8" s="272"/>
      <c r="CF8" s="272"/>
      <c r="CG8" s="272"/>
      <c r="CH8" s="55" t="str">
        <f t="shared" si="23"/>
        <v/>
      </c>
      <c r="CI8" s="272"/>
      <c r="CJ8" s="273"/>
      <c r="CK8" s="271"/>
      <c r="CL8" s="272"/>
      <c r="CM8" s="272"/>
      <c r="CN8" s="272"/>
      <c r="CO8" s="55" t="str">
        <f t="shared" si="24"/>
        <v/>
      </c>
      <c r="CP8" s="272"/>
      <c r="CQ8" s="273"/>
      <c r="CR8" s="24"/>
      <c r="CS8" s="25"/>
      <c r="CT8" s="25"/>
      <c r="CU8" s="25"/>
      <c r="CV8" s="55" t="str">
        <f t="shared" si="25"/>
        <v/>
      </c>
      <c r="CW8" s="25"/>
      <c r="CX8" s="39"/>
      <c r="CY8" s="24"/>
      <c r="CZ8" s="25"/>
      <c r="DA8" s="25"/>
      <c r="DB8" s="25"/>
      <c r="DC8" s="55" t="str">
        <f t="shared" si="26"/>
        <v/>
      </c>
      <c r="DD8" s="25"/>
      <c r="DE8" s="39"/>
      <c r="DF8" s="24"/>
      <c r="DG8" s="25"/>
      <c r="DH8" s="25"/>
      <c r="DI8" s="25"/>
      <c r="DJ8" s="55" t="str">
        <f t="shared" si="27"/>
        <v/>
      </c>
      <c r="DK8" s="25"/>
      <c r="DL8" s="39"/>
      <c r="DM8" s="24"/>
      <c r="DN8" s="25"/>
      <c r="DO8" s="25"/>
      <c r="DP8" s="25"/>
      <c r="DQ8" s="55" t="str">
        <f t="shared" si="28"/>
        <v/>
      </c>
      <c r="DR8" s="25"/>
      <c r="DS8" s="39"/>
      <c r="DT8" s="24"/>
      <c r="DU8" s="25"/>
      <c r="DV8" s="25"/>
      <c r="DW8" s="25"/>
      <c r="DX8" s="55" t="str">
        <f t="shared" si="29"/>
        <v/>
      </c>
      <c r="DY8" s="25"/>
      <c r="DZ8" s="39"/>
      <c r="EA8" s="24"/>
      <c r="EB8" s="25"/>
      <c r="EC8" s="25"/>
      <c r="ED8" s="25"/>
      <c r="EE8" s="55" t="str">
        <f t="shared" si="30"/>
        <v/>
      </c>
      <c r="EF8" s="25"/>
      <c r="EG8" s="39"/>
      <c r="EH8" s="24"/>
      <c r="EI8" s="25"/>
      <c r="EJ8" s="25"/>
      <c r="EK8" s="25"/>
      <c r="EL8" s="111" t="str">
        <f>IF(EJ8&lt;&gt;"",SUM(EH8:EK8),"")</f>
        <v/>
      </c>
      <c r="EM8" s="9"/>
      <c r="EN8" s="18"/>
      <c r="EO8" s="24"/>
      <c r="EP8" s="25"/>
      <c r="EQ8" s="25"/>
      <c r="ER8" s="25"/>
      <c r="ES8" s="111" t="str">
        <f>IF(EQ8&lt;&gt;"",SUM(EO8:ER8),"")</f>
        <v/>
      </c>
      <c r="ET8" s="9"/>
      <c r="EU8" s="18"/>
    </row>
    <row r="9" spans="1:152" s="11" customFormat="1" x14ac:dyDescent="0.3">
      <c r="A9" s="15">
        <v>3</v>
      </c>
      <c r="B9" s="63" t="s">
        <v>47</v>
      </c>
      <c r="C9" s="66" t="s">
        <v>24</v>
      </c>
      <c r="D9" s="31">
        <v>2010</v>
      </c>
      <c r="E9" s="40">
        <f t="shared" si="0"/>
        <v>254.26</v>
      </c>
      <c r="F9" s="106" t="s">
        <v>45</v>
      </c>
      <c r="G9" s="107" t="str">
        <f>IF('TRA-M'!$A$2-D9&lt;=1,IF(X9&gt;=$T$3,"YES",IF(AE9&gt;=$AA$3,"YES",IF(AL9&gt;=$AH$3,"YES",""))),"")</f>
        <v/>
      </c>
      <c r="H9" s="108" t="str">
        <f t="shared" si="1"/>
        <v>YES</v>
      </c>
      <c r="I9" s="109" t="str">
        <f t="shared" si="2"/>
        <v>YES</v>
      </c>
      <c r="J9" s="110" t="str">
        <f t="shared" si="3"/>
        <v/>
      </c>
      <c r="K9" s="17">
        <f t="shared" si="4"/>
        <v>102.01999999999998</v>
      </c>
      <c r="L9" s="272"/>
      <c r="M9" s="9">
        <f t="shared" si="5"/>
        <v>47.105000000000004</v>
      </c>
      <c r="N9" s="25"/>
      <c r="O9" s="9">
        <f t="shared" si="6"/>
        <v>50.81</v>
      </c>
      <c r="P9" s="25"/>
      <c r="Q9" s="9">
        <f t="shared" si="7"/>
        <v>54.325000000000003</v>
      </c>
      <c r="R9" s="25"/>
      <c r="S9" s="46" t="str">
        <f t="shared" si="8"/>
        <v/>
      </c>
      <c r="T9" s="271"/>
      <c r="U9" s="272"/>
      <c r="V9" s="272"/>
      <c r="W9" s="272"/>
      <c r="X9" s="47">
        <f t="shared" si="9"/>
        <v>0</v>
      </c>
      <c r="Y9" s="272"/>
      <c r="Z9" s="273"/>
      <c r="AA9" s="271">
        <f>16.8+9.4+5.4</f>
        <v>31.6</v>
      </c>
      <c r="AB9" s="272">
        <v>15.505000000000001</v>
      </c>
      <c r="AC9" s="272">
        <f>12.7+8.9+14.4</f>
        <v>36</v>
      </c>
      <c r="AD9" s="272">
        <v>14.81</v>
      </c>
      <c r="AE9" s="135">
        <f t="shared" si="10"/>
        <v>97.915000000000006</v>
      </c>
      <c r="AF9" s="272">
        <f>15.4+9.3+14.4</f>
        <v>39.1</v>
      </c>
      <c r="AG9" s="273">
        <v>15.225</v>
      </c>
      <c r="AH9" s="271">
        <f>17.7+9.6+5.4</f>
        <v>32.699999999999996</v>
      </c>
      <c r="AI9" s="272">
        <v>15.715</v>
      </c>
      <c r="AJ9" s="272">
        <f>15.6+8.7+14.4</f>
        <v>38.699999999999996</v>
      </c>
      <c r="AK9" s="272">
        <v>14.904999999999999</v>
      </c>
      <c r="AL9" s="135">
        <f t="shared" si="11"/>
        <v>102.01999999999998</v>
      </c>
      <c r="AM9" s="272">
        <f>15.6+9.3+14.4</f>
        <v>39.299999999999997</v>
      </c>
      <c r="AN9" s="273">
        <v>14.85</v>
      </c>
      <c r="AO9" s="336" t="str">
        <f t="shared" si="12"/>
        <v/>
      </c>
      <c r="AP9" s="335" t="str">
        <f t="shared" si="13"/>
        <v/>
      </c>
      <c r="AQ9" s="337" t="str">
        <f t="shared" si="14"/>
        <v/>
      </c>
      <c r="AR9" s="336" t="str">
        <f t="shared" si="15"/>
        <v/>
      </c>
      <c r="AS9" s="335" t="str">
        <f t="shared" si="16"/>
        <v/>
      </c>
      <c r="AT9" s="337" t="str">
        <f t="shared" si="17"/>
        <v/>
      </c>
      <c r="AU9" s="271"/>
      <c r="AV9" s="272"/>
      <c r="AW9" s="272"/>
      <c r="AX9" s="272"/>
      <c r="AY9" s="55" t="str">
        <f t="shared" si="18"/>
        <v/>
      </c>
      <c r="AZ9" s="272"/>
      <c r="BA9" s="273"/>
      <c r="BB9" s="271"/>
      <c r="BC9" s="272"/>
      <c r="BD9" s="272"/>
      <c r="BE9" s="272"/>
      <c r="BF9" s="55" t="str">
        <f t="shared" si="19"/>
        <v/>
      </c>
      <c r="BG9" s="272"/>
      <c r="BH9" s="273"/>
      <c r="BI9" s="271"/>
      <c r="BJ9" s="272"/>
      <c r="BK9" s="272"/>
      <c r="BL9" s="272"/>
      <c r="BM9" s="55" t="str">
        <f t="shared" si="20"/>
        <v/>
      </c>
      <c r="BN9" s="272"/>
      <c r="BO9" s="273"/>
      <c r="BP9" s="271"/>
      <c r="BQ9" s="272"/>
      <c r="BR9" s="272"/>
      <c r="BS9" s="272"/>
      <c r="BT9" s="55" t="str">
        <f t="shared" si="21"/>
        <v/>
      </c>
      <c r="BU9" s="272"/>
      <c r="BV9" s="273"/>
      <c r="BW9" s="271"/>
      <c r="BX9" s="272"/>
      <c r="BY9" s="272"/>
      <c r="BZ9" s="272"/>
      <c r="CA9" s="55" t="str">
        <f t="shared" si="22"/>
        <v/>
      </c>
      <c r="CB9" s="272"/>
      <c r="CC9" s="273"/>
      <c r="CD9" s="271"/>
      <c r="CE9" s="272"/>
      <c r="CF9" s="272"/>
      <c r="CG9" s="272"/>
      <c r="CH9" s="55" t="str">
        <f t="shared" si="23"/>
        <v/>
      </c>
      <c r="CI9" s="272"/>
      <c r="CJ9" s="273"/>
      <c r="CK9" s="271"/>
      <c r="CL9" s="272"/>
      <c r="CM9" s="272"/>
      <c r="CN9" s="272"/>
      <c r="CO9" s="55" t="str">
        <f t="shared" si="24"/>
        <v/>
      </c>
      <c r="CP9" s="272"/>
      <c r="CQ9" s="273"/>
      <c r="CR9" s="24"/>
      <c r="CS9" s="25"/>
      <c r="CT9" s="25"/>
      <c r="CU9" s="25"/>
      <c r="CV9" s="55" t="str">
        <f t="shared" si="25"/>
        <v/>
      </c>
      <c r="CW9" s="25"/>
      <c r="CX9" s="39"/>
      <c r="CY9" s="24"/>
      <c r="CZ9" s="25"/>
      <c r="DA9" s="25"/>
      <c r="DB9" s="25"/>
      <c r="DC9" s="55" t="str">
        <f t="shared" si="26"/>
        <v/>
      </c>
      <c r="DD9" s="25"/>
      <c r="DE9" s="39"/>
      <c r="DF9" s="24"/>
      <c r="DG9" s="25"/>
      <c r="DH9" s="25"/>
      <c r="DI9" s="25"/>
      <c r="DJ9" s="55" t="str">
        <f t="shared" si="27"/>
        <v/>
      </c>
      <c r="DK9" s="25"/>
      <c r="DL9" s="39"/>
      <c r="DM9" s="24"/>
      <c r="DN9" s="25"/>
      <c r="DO9" s="25"/>
      <c r="DP9" s="25"/>
      <c r="DQ9" s="55" t="str">
        <f t="shared" si="28"/>
        <v/>
      </c>
      <c r="DR9" s="25"/>
      <c r="DS9" s="39"/>
      <c r="DT9" s="24"/>
      <c r="DU9" s="25"/>
      <c r="DV9" s="25"/>
      <c r="DW9" s="25"/>
      <c r="DX9" s="55" t="str">
        <f t="shared" si="29"/>
        <v/>
      </c>
      <c r="DY9" s="25"/>
      <c r="DZ9" s="39"/>
      <c r="EA9" s="24"/>
      <c r="EB9" s="25"/>
      <c r="EC9" s="25"/>
      <c r="ED9" s="25"/>
      <c r="EE9" s="55" t="str">
        <f t="shared" si="30"/>
        <v/>
      </c>
      <c r="EF9" s="25"/>
      <c r="EG9" s="39"/>
      <c r="EH9" s="17"/>
      <c r="EI9" s="9"/>
      <c r="EJ9" s="9"/>
      <c r="EK9" s="9"/>
      <c r="EL9" s="111" t="str">
        <f>IF(EJ9&lt;&gt;"",SUM(EH9:EK9),"")</f>
        <v/>
      </c>
      <c r="EM9" s="9"/>
      <c r="EN9" s="18"/>
      <c r="EO9" s="17"/>
      <c r="EP9" s="9"/>
      <c r="EQ9" s="9"/>
      <c r="ER9" s="9"/>
      <c r="ES9" s="111" t="str">
        <f>IF(EQ9&lt;&gt;"",SUM(EO9:ER9),"")</f>
        <v/>
      </c>
      <c r="ET9" s="9"/>
      <c r="EU9" s="18"/>
    </row>
    <row r="10" spans="1:152" s="11" customFormat="1" x14ac:dyDescent="0.3">
      <c r="A10" s="31">
        <v>4</v>
      </c>
      <c r="B10" s="63" t="s">
        <v>122</v>
      </c>
      <c r="C10" s="66" t="s">
        <v>24</v>
      </c>
      <c r="D10" s="31">
        <v>2014</v>
      </c>
      <c r="E10" s="40">
        <f t="shared" si="0"/>
        <v>253.745</v>
      </c>
      <c r="F10" s="106" t="s">
        <v>45</v>
      </c>
      <c r="G10" s="107" t="str">
        <f>IF('TRA-M'!$A$2-D10&lt;=1,IF(X10&gt;=$T$3,"YES",IF(AE10&gt;=$AA$3,"YES",IF(AL10&gt;=$AH$3,"YES",""))),"")</f>
        <v/>
      </c>
      <c r="H10" s="108" t="str">
        <f t="shared" si="1"/>
        <v>YES</v>
      </c>
      <c r="I10" s="109" t="str">
        <f t="shared" si="2"/>
        <v>YES</v>
      </c>
      <c r="J10" s="110" t="str">
        <f t="shared" si="3"/>
        <v/>
      </c>
      <c r="K10" s="17">
        <f t="shared" si="4"/>
        <v>101.15</v>
      </c>
      <c r="L10" s="25"/>
      <c r="M10" s="9">
        <f t="shared" si="5"/>
        <v>47.26</v>
      </c>
      <c r="N10" s="272"/>
      <c r="O10" s="9">
        <f t="shared" si="6"/>
        <v>52.15</v>
      </c>
      <c r="P10" s="272"/>
      <c r="Q10" s="9">
        <f t="shared" si="7"/>
        <v>53.185000000000002</v>
      </c>
      <c r="R10" s="25"/>
      <c r="S10" s="46" t="str">
        <f t="shared" si="8"/>
        <v/>
      </c>
      <c r="T10" s="271">
        <f>25.6+2.7</f>
        <v>28.3</v>
      </c>
      <c r="U10" s="272">
        <v>16.004999999999999</v>
      </c>
      <c r="V10" s="54">
        <f>22.2+13.3</f>
        <v>35.5</v>
      </c>
      <c r="W10" s="272">
        <v>15.065</v>
      </c>
      <c r="X10" s="47">
        <f t="shared" si="9"/>
        <v>94.87</v>
      </c>
      <c r="Y10" s="54">
        <f>22.3+13.3</f>
        <v>35.6</v>
      </c>
      <c r="Z10" s="273">
        <v>15.085000000000001</v>
      </c>
      <c r="AA10" s="271">
        <f>17.4+9.3+4.1</f>
        <v>30.799999999999997</v>
      </c>
      <c r="AB10" s="272">
        <v>16.184999999999999</v>
      </c>
      <c r="AC10" s="272">
        <f>15.3+9.7+13.5</f>
        <v>38.5</v>
      </c>
      <c r="AD10" s="272">
        <v>15.664999999999999</v>
      </c>
      <c r="AE10" s="135">
        <f t="shared" si="10"/>
        <v>101.15</v>
      </c>
      <c r="AF10" s="272">
        <f>15+9.2+13.5</f>
        <v>37.700000000000003</v>
      </c>
      <c r="AG10" s="273">
        <v>15.484999999999999</v>
      </c>
      <c r="AH10" s="271">
        <f>17.3+9.6+4.5</f>
        <v>31.4</v>
      </c>
      <c r="AI10" s="272">
        <v>15.86</v>
      </c>
      <c r="AJ10" s="272">
        <f>15+9.3+12.7</f>
        <v>37</v>
      </c>
      <c r="AK10" s="272">
        <v>15.15</v>
      </c>
      <c r="AL10" s="135">
        <f t="shared" si="11"/>
        <v>99.41</v>
      </c>
      <c r="AM10" s="272">
        <f>15.4+9.5+12.2</f>
        <v>37.099999999999994</v>
      </c>
      <c r="AN10" s="273">
        <v>15.225</v>
      </c>
      <c r="AO10" s="336" t="str">
        <f t="shared" si="12"/>
        <v/>
      </c>
      <c r="AP10" s="335" t="str">
        <f t="shared" si="13"/>
        <v/>
      </c>
      <c r="AQ10" s="337" t="str">
        <f t="shared" si="14"/>
        <v/>
      </c>
      <c r="AR10" s="336" t="str">
        <f t="shared" si="15"/>
        <v/>
      </c>
      <c r="AS10" s="335" t="str">
        <f t="shared" si="16"/>
        <v/>
      </c>
      <c r="AT10" s="337" t="str">
        <f t="shared" si="17"/>
        <v/>
      </c>
      <c r="AU10" s="271"/>
      <c r="AV10" s="272"/>
      <c r="AW10" s="272"/>
      <c r="AX10" s="272"/>
      <c r="AY10" s="55" t="str">
        <f t="shared" si="18"/>
        <v/>
      </c>
      <c r="AZ10" s="272"/>
      <c r="BA10" s="273"/>
      <c r="BB10" s="271"/>
      <c r="BC10" s="272"/>
      <c r="BD10" s="272"/>
      <c r="BE10" s="272"/>
      <c r="BF10" s="55" t="str">
        <f t="shared" si="19"/>
        <v/>
      </c>
      <c r="BG10" s="272"/>
      <c r="BH10" s="273"/>
      <c r="BI10" s="271"/>
      <c r="BJ10" s="272"/>
      <c r="BK10" s="272"/>
      <c r="BL10" s="272"/>
      <c r="BM10" s="55" t="str">
        <f t="shared" si="20"/>
        <v/>
      </c>
      <c r="BN10" s="272"/>
      <c r="BO10" s="273"/>
      <c r="BP10" s="271"/>
      <c r="BQ10" s="272"/>
      <c r="BR10" s="272"/>
      <c r="BS10" s="272"/>
      <c r="BT10" s="55" t="str">
        <f t="shared" si="21"/>
        <v/>
      </c>
      <c r="BU10" s="272"/>
      <c r="BV10" s="273"/>
      <c r="BW10" s="271"/>
      <c r="BX10" s="272"/>
      <c r="BY10" s="272"/>
      <c r="BZ10" s="272"/>
      <c r="CA10" s="55" t="str">
        <f t="shared" si="22"/>
        <v/>
      </c>
      <c r="CB10" s="272"/>
      <c r="CC10" s="273"/>
      <c r="CD10" s="271"/>
      <c r="CE10" s="272"/>
      <c r="CF10" s="272"/>
      <c r="CG10" s="272"/>
      <c r="CH10" s="55" t="str">
        <f t="shared" si="23"/>
        <v/>
      </c>
      <c r="CI10" s="272"/>
      <c r="CJ10" s="273"/>
      <c r="CK10" s="271"/>
      <c r="CL10" s="272"/>
      <c r="CM10" s="272"/>
      <c r="CN10" s="272"/>
      <c r="CO10" s="55" t="str">
        <f t="shared" si="24"/>
        <v/>
      </c>
      <c r="CP10" s="272"/>
      <c r="CQ10" s="273"/>
      <c r="CR10" s="24"/>
      <c r="CS10" s="25"/>
      <c r="CT10" s="25"/>
      <c r="CU10" s="25"/>
      <c r="CV10" s="55" t="str">
        <f t="shared" si="25"/>
        <v/>
      </c>
      <c r="CW10" s="25"/>
      <c r="CX10" s="39"/>
      <c r="CY10" s="24"/>
      <c r="CZ10" s="25"/>
      <c r="DA10" s="25"/>
      <c r="DB10" s="25"/>
      <c r="DC10" s="55" t="str">
        <f t="shared" si="26"/>
        <v/>
      </c>
      <c r="DD10" s="25"/>
      <c r="DE10" s="39"/>
      <c r="DF10" s="24"/>
      <c r="DG10" s="25"/>
      <c r="DH10" s="25"/>
      <c r="DI10" s="25"/>
      <c r="DJ10" s="55" t="str">
        <f t="shared" si="27"/>
        <v/>
      </c>
      <c r="DK10" s="25"/>
      <c r="DL10" s="39"/>
      <c r="DM10" s="24"/>
      <c r="DN10" s="25"/>
      <c r="DO10" s="25"/>
      <c r="DP10" s="25"/>
      <c r="DQ10" s="55" t="str">
        <f t="shared" si="28"/>
        <v/>
      </c>
      <c r="DR10" s="25"/>
      <c r="DS10" s="39"/>
      <c r="DT10" s="24"/>
      <c r="DU10" s="25"/>
      <c r="DV10" s="25"/>
      <c r="DW10" s="25"/>
      <c r="DX10" s="55" t="str">
        <f t="shared" si="29"/>
        <v/>
      </c>
      <c r="DY10" s="25"/>
      <c r="DZ10" s="39"/>
      <c r="EA10" s="24"/>
      <c r="EB10" s="25"/>
      <c r="EC10" s="25"/>
      <c r="ED10" s="25"/>
      <c r="EE10" s="55" t="str">
        <f t="shared" si="30"/>
        <v/>
      </c>
      <c r="EF10" s="25"/>
      <c r="EG10" s="39"/>
      <c r="EH10" s="24"/>
      <c r="EI10" s="25"/>
      <c r="EJ10" s="25"/>
      <c r="EK10" s="25"/>
      <c r="EL10" s="111" t="str">
        <f>IF(EJ10&lt;&gt;"",SUM(EH10:EK10),"")</f>
        <v/>
      </c>
      <c r="EM10" s="9"/>
      <c r="EN10" s="18"/>
      <c r="EO10" s="24"/>
      <c r="EP10" s="25"/>
      <c r="EQ10" s="25"/>
      <c r="ER10" s="25"/>
      <c r="ES10" s="111" t="str">
        <f>IF(EQ10&lt;&gt;"",SUM(EO10:ER10),"")</f>
        <v/>
      </c>
      <c r="ET10" s="9"/>
      <c r="EU10" s="18"/>
      <c r="EV10" s="33"/>
    </row>
    <row r="11" spans="1:152" s="11" customFormat="1" x14ac:dyDescent="0.3">
      <c r="A11" s="31">
        <v>5</v>
      </c>
      <c r="B11" s="69" t="s">
        <v>101</v>
      </c>
      <c r="C11" s="70" t="s">
        <v>24</v>
      </c>
      <c r="D11" s="31">
        <v>2016</v>
      </c>
      <c r="E11" s="40">
        <f t="shared" si="0"/>
        <v>247.94000000000003</v>
      </c>
      <c r="F11" s="113" t="s">
        <v>45</v>
      </c>
      <c r="G11" s="107" t="str">
        <f>IF('TRA-M'!$A$2-D11&lt;=1,IF(X11&gt;=$T$3,"YES",IF(AE11&gt;=$AA$3,"YES",IF(AL11&gt;=$AH$3,"YES",""))),"")</f>
        <v>YES</v>
      </c>
      <c r="H11" s="108" t="str">
        <f t="shared" si="1"/>
        <v>YES</v>
      </c>
      <c r="I11" s="109" t="str">
        <f t="shared" si="2"/>
        <v/>
      </c>
      <c r="J11" s="110" t="str">
        <f t="shared" si="3"/>
        <v/>
      </c>
      <c r="K11" s="17">
        <f t="shared" si="4"/>
        <v>95.555000000000007</v>
      </c>
      <c r="L11" s="89">
        <v>3</v>
      </c>
      <c r="M11" s="9">
        <f t="shared" si="5"/>
        <v>44.85</v>
      </c>
      <c r="N11" s="25"/>
      <c r="O11" s="9">
        <f t="shared" si="6"/>
        <v>32.265000000000001</v>
      </c>
      <c r="P11" s="272"/>
      <c r="Q11" s="9">
        <f t="shared" si="7"/>
        <v>51.674999999999997</v>
      </c>
      <c r="R11" s="89">
        <v>1</v>
      </c>
      <c r="S11" s="46">
        <f t="shared" si="8"/>
        <v>19.594999999999999</v>
      </c>
      <c r="T11" s="271">
        <f>26.3+2.2</f>
        <v>28.5</v>
      </c>
      <c r="U11" s="272">
        <v>15.875</v>
      </c>
      <c r="V11" s="54">
        <f>22.2+13.8</f>
        <v>36</v>
      </c>
      <c r="W11" s="272">
        <v>15.18</v>
      </c>
      <c r="X11" s="140">
        <f t="shared" si="9"/>
        <v>95.555000000000007</v>
      </c>
      <c r="Y11" s="139">
        <f>22.8+13.8</f>
        <v>36.6</v>
      </c>
      <c r="Z11" s="89">
        <v>15.074999999999999</v>
      </c>
      <c r="AA11" s="271">
        <f>16.3+8.5+4.9</f>
        <v>29.700000000000003</v>
      </c>
      <c r="AB11" s="272">
        <v>15.15</v>
      </c>
      <c r="AC11" s="53">
        <f>3.4+1.7+3</f>
        <v>8.1</v>
      </c>
      <c r="AD11" s="53">
        <v>3.165</v>
      </c>
      <c r="AE11" s="47">
        <f t="shared" si="10"/>
        <v>56.115000000000002</v>
      </c>
      <c r="AF11" s="272"/>
      <c r="AG11" s="272"/>
      <c r="AH11" s="52">
        <f>1.8+0.9+1.5</f>
        <v>4.2</v>
      </c>
      <c r="AI11" s="53">
        <v>1.585</v>
      </c>
      <c r="AJ11" s="53">
        <f>10+5.3+7.7</f>
        <v>23</v>
      </c>
      <c r="AK11" s="53">
        <v>9.2650000000000006</v>
      </c>
      <c r="AL11" s="47">
        <f t="shared" si="11"/>
        <v>38.049999999999997</v>
      </c>
      <c r="AM11" s="272"/>
      <c r="AN11" s="272"/>
      <c r="AO11" s="336">
        <f t="shared" si="12"/>
        <v>2.5999999999999943</v>
      </c>
      <c r="AP11" s="335">
        <f t="shared" si="13"/>
        <v>19.594999999999999</v>
      </c>
      <c r="AQ11" s="337">
        <f t="shared" si="14"/>
        <v>-9.9999999999994316E-2</v>
      </c>
      <c r="AR11" s="336">
        <f t="shared" si="15"/>
        <v>47.449999999999996</v>
      </c>
      <c r="AS11" s="335">
        <f t="shared" si="16"/>
        <v>51.86</v>
      </c>
      <c r="AT11" s="337">
        <f t="shared" si="17"/>
        <v>51.575000000000003</v>
      </c>
      <c r="AU11" s="271"/>
      <c r="AV11" s="272"/>
      <c r="AW11" s="272"/>
      <c r="AX11" s="272"/>
      <c r="AY11" s="55" t="str">
        <f t="shared" si="18"/>
        <v/>
      </c>
      <c r="AZ11" s="272"/>
      <c r="BA11" s="273"/>
      <c r="BB11" s="271">
        <f>26.7+2.2</f>
        <v>28.9</v>
      </c>
      <c r="BC11" s="272">
        <v>16.14</v>
      </c>
      <c r="BD11" s="54">
        <f>22+13.8</f>
        <v>35.799999999999997</v>
      </c>
      <c r="BE11" s="272">
        <v>15.25</v>
      </c>
      <c r="BF11" s="55">
        <f t="shared" si="19"/>
        <v>96.09</v>
      </c>
      <c r="BG11" s="272"/>
      <c r="BH11" s="273"/>
      <c r="BI11" s="271"/>
      <c r="BJ11" s="272"/>
      <c r="BK11" s="272"/>
      <c r="BL11" s="272"/>
      <c r="BM11" s="55" t="str">
        <f t="shared" si="20"/>
        <v/>
      </c>
      <c r="BN11" s="54">
        <f>21.3+13.8</f>
        <v>35.1</v>
      </c>
      <c r="BO11" s="273">
        <v>15.045</v>
      </c>
      <c r="BP11" s="271">
        <f>17.4+9.75+4.9</f>
        <v>32.049999999999997</v>
      </c>
      <c r="BQ11" s="272">
        <v>15.4</v>
      </c>
      <c r="BR11" s="272">
        <f>14.3+9.2+13.8</f>
        <v>37.299999999999997</v>
      </c>
      <c r="BS11" s="272">
        <v>14.56</v>
      </c>
      <c r="BT11" s="112">
        <f t="shared" si="21"/>
        <v>99.31</v>
      </c>
      <c r="BU11" s="272">
        <f>14.3+9.05+13.6</f>
        <v>36.950000000000003</v>
      </c>
      <c r="BV11" s="273">
        <v>14.625</v>
      </c>
      <c r="BW11" s="271"/>
      <c r="BX11" s="272"/>
      <c r="BY11" s="272"/>
      <c r="BZ11" s="272"/>
      <c r="CA11" s="55" t="str">
        <f t="shared" si="22"/>
        <v/>
      </c>
      <c r="CB11" s="272"/>
      <c r="CC11" s="273"/>
      <c r="CD11" s="271"/>
      <c r="CE11" s="272"/>
      <c r="CF11" s="272"/>
      <c r="CG11" s="272"/>
      <c r="CH11" s="55" t="str">
        <f t="shared" si="23"/>
        <v/>
      </c>
      <c r="CI11" s="272"/>
      <c r="CJ11" s="273"/>
      <c r="CK11" s="271"/>
      <c r="CL11" s="272"/>
      <c r="CM11" s="272"/>
      <c r="CN11" s="272"/>
      <c r="CO11" s="55" t="str">
        <f t="shared" si="24"/>
        <v/>
      </c>
      <c r="CP11" s="272"/>
      <c r="CQ11" s="273"/>
      <c r="CR11" s="24"/>
      <c r="CS11" s="25"/>
      <c r="CT11" s="25"/>
      <c r="CU11" s="25"/>
      <c r="CV11" s="55" t="str">
        <f t="shared" si="25"/>
        <v/>
      </c>
      <c r="CW11" s="25"/>
      <c r="CX11" s="39"/>
      <c r="CY11" s="24"/>
      <c r="CZ11" s="25"/>
      <c r="DA11" s="25"/>
      <c r="DB11" s="25"/>
      <c r="DC11" s="55" t="str">
        <f t="shared" si="26"/>
        <v/>
      </c>
      <c r="DD11" s="25"/>
      <c r="DE11" s="39"/>
      <c r="DF11" s="24"/>
      <c r="DG11" s="25"/>
      <c r="DH11" s="25"/>
      <c r="DI11" s="25"/>
      <c r="DJ11" s="55" t="str">
        <f t="shared" si="27"/>
        <v/>
      </c>
      <c r="DK11" s="25"/>
      <c r="DL11" s="39"/>
      <c r="DM11" s="24"/>
      <c r="DN11" s="25"/>
      <c r="DO11" s="25"/>
      <c r="DP11" s="25"/>
      <c r="DQ11" s="55" t="str">
        <f t="shared" si="28"/>
        <v/>
      </c>
      <c r="DR11" s="25"/>
      <c r="DS11" s="39"/>
      <c r="DT11" s="24"/>
      <c r="DU11" s="25"/>
      <c r="DV11" s="25"/>
      <c r="DW11" s="25"/>
      <c r="DX11" s="55" t="str">
        <f t="shared" si="29"/>
        <v/>
      </c>
      <c r="DY11" s="25"/>
      <c r="DZ11" s="39"/>
      <c r="EA11" s="24"/>
      <c r="EB11" s="25"/>
      <c r="EC11" s="25"/>
      <c r="ED11" s="25"/>
      <c r="EE11" s="55" t="str">
        <f t="shared" si="30"/>
        <v/>
      </c>
      <c r="EF11" s="25"/>
      <c r="EG11" s="39"/>
      <c r="EH11" s="24"/>
      <c r="EI11" s="25"/>
      <c r="EJ11" s="25"/>
      <c r="EK11" s="25"/>
      <c r="EL11" s="111"/>
      <c r="EM11" s="9"/>
      <c r="EN11" s="18"/>
      <c r="EO11" s="24"/>
      <c r="EP11" s="25"/>
      <c r="EQ11" s="25"/>
      <c r="ER11" s="25"/>
      <c r="ES11" s="111"/>
      <c r="ET11" s="9"/>
      <c r="EU11" s="18"/>
    </row>
    <row r="12" spans="1:152" s="11" customFormat="1" x14ac:dyDescent="0.3">
      <c r="A12" s="15">
        <v>6</v>
      </c>
      <c r="B12" s="62" t="s">
        <v>94</v>
      </c>
      <c r="C12" s="64" t="s">
        <v>24</v>
      </c>
      <c r="D12" s="15">
        <v>2004</v>
      </c>
      <c r="E12" s="40">
        <f t="shared" si="0"/>
        <v>214.375</v>
      </c>
      <c r="F12" s="106" t="s">
        <v>45</v>
      </c>
      <c r="G12" s="107" t="str">
        <f>IF('TRA-M'!$A$2-D12&lt;=1,IF(X12&gt;=$T$3,"YES",IF(AE12&gt;=$AA$3,"YES",IF(AL12&gt;=$AH$3,"YES",""))),"")</f>
        <v/>
      </c>
      <c r="H12" s="108" t="str">
        <f t="shared" si="1"/>
        <v>YES</v>
      </c>
      <c r="I12" s="109" t="str">
        <f t="shared" si="2"/>
        <v>YES</v>
      </c>
      <c r="J12" s="110" t="str">
        <f t="shared" si="3"/>
        <v>YES</v>
      </c>
      <c r="K12" s="17">
        <f t="shared" si="4"/>
        <v>106.015</v>
      </c>
      <c r="L12" s="272"/>
      <c r="M12" s="9">
        <f t="shared" si="5"/>
        <v>0</v>
      </c>
      <c r="N12" s="25"/>
      <c r="O12" s="9">
        <f t="shared" si="6"/>
        <v>0</v>
      </c>
      <c r="P12" s="25"/>
      <c r="Q12" s="9">
        <f t="shared" si="7"/>
        <v>52.72</v>
      </c>
      <c r="R12" s="272"/>
      <c r="S12" s="46">
        <f t="shared" si="8"/>
        <v>55.64</v>
      </c>
      <c r="T12" s="271"/>
      <c r="U12" s="272"/>
      <c r="V12" s="272"/>
      <c r="W12" s="272"/>
      <c r="X12" s="47">
        <f t="shared" si="9"/>
        <v>0</v>
      </c>
      <c r="Y12" s="272"/>
      <c r="Z12" s="272"/>
      <c r="AA12" s="271"/>
      <c r="AB12" s="272"/>
      <c r="AC12" s="272"/>
      <c r="AD12" s="272"/>
      <c r="AE12" s="47">
        <f t="shared" si="10"/>
        <v>0</v>
      </c>
      <c r="AF12" s="272"/>
      <c r="AG12" s="273"/>
      <c r="AH12" s="271">
        <f>18.8+9.2+4.3</f>
        <v>32.299999999999997</v>
      </c>
      <c r="AI12" s="272">
        <v>16.68</v>
      </c>
      <c r="AJ12" s="272">
        <f>17.2+9.5+14.6</f>
        <v>41.3</v>
      </c>
      <c r="AK12" s="272">
        <v>15.734999999999999</v>
      </c>
      <c r="AL12" s="135">
        <f t="shared" si="11"/>
        <v>106.015</v>
      </c>
      <c r="AM12" s="272">
        <f>15.1+8.5+14.2</f>
        <v>37.799999999999997</v>
      </c>
      <c r="AN12" s="273">
        <v>14.92</v>
      </c>
      <c r="AO12" s="336">
        <f t="shared" si="12"/>
        <v>47.489999999999995</v>
      </c>
      <c r="AP12" s="335">
        <f t="shared" si="13"/>
        <v>55.64</v>
      </c>
      <c r="AQ12" s="337">
        <f t="shared" si="14"/>
        <v>3.7450000000000045</v>
      </c>
      <c r="AR12" s="336">
        <f t="shared" si="15"/>
        <v>47.489999999999995</v>
      </c>
      <c r="AS12" s="335">
        <f t="shared" si="16"/>
        <v>55.64</v>
      </c>
      <c r="AT12" s="337">
        <f t="shared" si="17"/>
        <v>56.465000000000003</v>
      </c>
      <c r="AU12" s="271">
        <f>27.3+2.9</f>
        <v>30.2</v>
      </c>
      <c r="AV12" s="272">
        <v>17.29</v>
      </c>
      <c r="AW12" s="54">
        <f>24.6+15</f>
        <v>39.6</v>
      </c>
      <c r="AX12" s="272">
        <v>16.04</v>
      </c>
      <c r="AY12" s="55">
        <f t="shared" si="18"/>
        <v>103.13</v>
      </c>
      <c r="AZ12" s="54">
        <f>25.2+15</f>
        <v>40.200000000000003</v>
      </c>
      <c r="BA12" s="273">
        <v>16.265000000000001</v>
      </c>
      <c r="BB12" s="271"/>
      <c r="BC12" s="272"/>
      <c r="BD12" s="272"/>
      <c r="BE12" s="272"/>
      <c r="BF12" s="55" t="str">
        <f t="shared" si="19"/>
        <v/>
      </c>
      <c r="BG12" s="272"/>
      <c r="BH12" s="273"/>
      <c r="BI12" s="271"/>
      <c r="BJ12" s="272"/>
      <c r="BK12" s="272"/>
      <c r="BL12" s="272"/>
      <c r="BM12" s="55" t="str">
        <f t="shared" si="20"/>
        <v/>
      </c>
      <c r="BN12" s="272"/>
      <c r="BO12" s="273"/>
      <c r="BP12" s="271"/>
      <c r="BQ12" s="272"/>
      <c r="BR12" s="272"/>
      <c r="BS12" s="272"/>
      <c r="BT12" s="55" t="str">
        <f t="shared" si="21"/>
        <v/>
      </c>
      <c r="BU12" s="272"/>
      <c r="BV12" s="273"/>
      <c r="BW12" s="271"/>
      <c r="BX12" s="272"/>
      <c r="BY12" s="272"/>
      <c r="BZ12" s="272"/>
      <c r="CA12" s="55" t="str">
        <f t="shared" si="22"/>
        <v/>
      </c>
      <c r="CB12" s="272"/>
      <c r="CC12" s="273"/>
      <c r="CD12" s="271"/>
      <c r="CE12" s="272"/>
      <c r="CF12" s="272"/>
      <c r="CG12" s="272"/>
      <c r="CH12" s="55" t="str">
        <f t="shared" si="23"/>
        <v/>
      </c>
      <c r="CI12" s="272"/>
      <c r="CJ12" s="273"/>
      <c r="CK12" s="271"/>
      <c r="CL12" s="272"/>
      <c r="CM12" s="272"/>
      <c r="CN12" s="272"/>
      <c r="CO12" s="55" t="str">
        <f t="shared" si="24"/>
        <v/>
      </c>
      <c r="CP12" s="272"/>
      <c r="CQ12" s="273"/>
      <c r="CR12" s="24"/>
      <c r="CS12" s="25"/>
      <c r="CT12" s="25"/>
      <c r="CU12" s="25"/>
      <c r="CV12" s="55" t="str">
        <f t="shared" si="25"/>
        <v/>
      </c>
      <c r="CW12" s="25"/>
      <c r="CX12" s="39"/>
      <c r="CY12" s="24"/>
      <c r="CZ12" s="25"/>
      <c r="DA12" s="25"/>
      <c r="DB12" s="25"/>
      <c r="DC12" s="55" t="str">
        <f t="shared" si="26"/>
        <v/>
      </c>
      <c r="DD12" s="25"/>
      <c r="DE12" s="39"/>
      <c r="DF12" s="24"/>
      <c r="DG12" s="25"/>
      <c r="DH12" s="25"/>
      <c r="DI12" s="25"/>
      <c r="DJ12" s="55" t="str">
        <f t="shared" si="27"/>
        <v/>
      </c>
      <c r="DK12" s="25"/>
      <c r="DL12" s="39"/>
      <c r="DM12" s="24"/>
      <c r="DN12" s="25"/>
      <c r="DO12" s="25"/>
      <c r="DP12" s="25"/>
      <c r="DQ12" s="55" t="str">
        <f t="shared" si="28"/>
        <v/>
      </c>
      <c r="DR12" s="25"/>
      <c r="DS12" s="39"/>
      <c r="DT12" s="24"/>
      <c r="DU12" s="25"/>
      <c r="DV12" s="25"/>
      <c r="DW12" s="25"/>
      <c r="DX12" s="55" t="str">
        <f t="shared" si="29"/>
        <v/>
      </c>
      <c r="DY12" s="25"/>
      <c r="DZ12" s="39"/>
      <c r="EA12" s="24"/>
      <c r="EB12" s="25"/>
      <c r="EC12" s="25"/>
      <c r="ED12" s="25"/>
      <c r="EE12" s="55" t="str">
        <f t="shared" si="30"/>
        <v/>
      </c>
      <c r="EF12" s="25"/>
      <c r="EG12" s="39"/>
      <c r="EH12" s="17"/>
      <c r="EI12" s="9"/>
      <c r="EJ12" s="9"/>
      <c r="EK12" s="9"/>
      <c r="EL12" s="111" t="str">
        <f>IF(EJ12&lt;&gt;"",SUM(EH12:EK12),"")</f>
        <v/>
      </c>
      <c r="EM12" s="9"/>
      <c r="EN12" s="39"/>
      <c r="EO12" s="17"/>
      <c r="EP12" s="9"/>
      <c r="EQ12" s="9"/>
      <c r="ER12" s="9"/>
      <c r="ES12" s="111" t="str">
        <f>IF(EQ12&lt;&gt;"",SUM(EO12:ER12),"")</f>
        <v/>
      </c>
      <c r="ET12" s="9"/>
      <c r="EU12" s="39"/>
    </row>
    <row r="13" spans="1:152" s="11" customFormat="1" x14ac:dyDescent="0.3">
      <c r="A13" s="267"/>
      <c r="B13" s="69" t="s">
        <v>121</v>
      </c>
      <c r="C13" s="126" t="s">
        <v>27</v>
      </c>
      <c r="D13" s="31">
        <v>2017</v>
      </c>
      <c r="E13" s="40">
        <f t="shared" si="0"/>
        <v>213.04500000000002</v>
      </c>
      <c r="F13" s="113"/>
      <c r="G13" s="107" t="str">
        <f>IF('TRA-M'!$A$2-D13&lt;=1,IF(X13&gt;=$T$3,"YES",IF(AE13&gt;=$AA$3,"YES",IF(AL13&gt;=$AH$3,"YES",""))),"")</f>
        <v/>
      </c>
      <c r="H13" s="108" t="str">
        <f t="shared" si="1"/>
        <v/>
      </c>
      <c r="I13" s="109" t="str">
        <f t="shared" si="2"/>
        <v/>
      </c>
      <c r="J13" s="110" t="str">
        <f t="shared" si="3"/>
        <v/>
      </c>
      <c r="K13" s="17">
        <f t="shared" si="4"/>
        <v>92.77000000000001</v>
      </c>
      <c r="L13" s="272"/>
      <c r="M13" s="9">
        <f t="shared" si="5"/>
        <v>43.69</v>
      </c>
      <c r="N13" s="272"/>
      <c r="O13" s="9">
        <f t="shared" si="6"/>
        <v>48.940000000000005</v>
      </c>
      <c r="P13" s="272"/>
      <c r="Q13" s="9">
        <f t="shared" si="7"/>
        <v>27.645000000000003</v>
      </c>
      <c r="R13" s="272"/>
      <c r="S13" s="46" t="str">
        <f t="shared" si="8"/>
        <v/>
      </c>
      <c r="T13" s="271"/>
      <c r="U13" s="272"/>
      <c r="V13" s="272"/>
      <c r="W13" s="272"/>
      <c r="X13" s="47">
        <f t="shared" si="9"/>
        <v>0</v>
      </c>
      <c r="Y13" s="272"/>
      <c r="Z13" s="272"/>
      <c r="AA13" s="271">
        <f>16.8+9.3+3</f>
        <v>29.1</v>
      </c>
      <c r="AB13" s="272">
        <v>14.67</v>
      </c>
      <c r="AC13" s="272">
        <f>14.6+8.9+11.1</f>
        <v>34.6</v>
      </c>
      <c r="AD13" s="272">
        <v>14.4</v>
      </c>
      <c r="AE13" s="47">
        <f t="shared" si="10"/>
        <v>92.77000000000001</v>
      </c>
      <c r="AF13" s="53">
        <f>7.6+5.2+6.3</f>
        <v>19.100000000000001</v>
      </c>
      <c r="AG13" s="53">
        <v>8.5449999999999999</v>
      </c>
      <c r="AH13" s="271">
        <f>16.6+9.4+3</f>
        <v>29</v>
      </c>
      <c r="AI13" s="272">
        <v>14.69</v>
      </c>
      <c r="AJ13" s="272">
        <f>14.7+8.9+11.1</f>
        <v>34.700000000000003</v>
      </c>
      <c r="AK13" s="272">
        <v>14.24</v>
      </c>
      <c r="AL13" s="47">
        <f t="shared" si="11"/>
        <v>92.63</v>
      </c>
      <c r="AM13" s="53">
        <f>4.5+2.8+3.5</f>
        <v>10.8</v>
      </c>
      <c r="AN13" s="53">
        <v>4.58</v>
      </c>
      <c r="AO13" s="336" t="str">
        <f t="shared" si="12"/>
        <v/>
      </c>
      <c r="AP13" s="335" t="str">
        <f t="shared" si="13"/>
        <v/>
      </c>
      <c r="AQ13" s="337" t="str">
        <f t="shared" si="14"/>
        <v/>
      </c>
      <c r="AR13" s="336" t="str">
        <f t="shared" si="15"/>
        <v/>
      </c>
      <c r="AS13" s="335" t="str">
        <f t="shared" si="16"/>
        <v/>
      </c>
      <c r="AT13" s="337" t="str">
        <f t="shared" si="17"/>
        <v/>
      </c>
      <c r="AU13" s="271"/>
      <c r="AV13" s="272"/>
      <c r="AW13" s="272"/>
      <c r="AX13" s="272"/>
      <c r="AY13" s="55" t="str">
        <f t="shared" si="18"/>
        <v/>
      </c>
      <c r="AZ13" s="272"/>
      <c r="BA13" s="273"/>
      <c r="BB13" s="271"/>
      <c r="BC13" s="272"/>
      <c r="BD13" s="272"/>
      <c r="BE13" s="272"/>
      <c r="BF13" s="55" t="str">
        <f t="shared" si="19"/>
        <v/>
      </c>
      <c r="BG13" s="272"/>
      <c r="BH13" s="273"/>
      <c r="BI13" s="271"/>
      <c r="BJ13" s="272"/>
      <c r="BK13" s="272"/>
      <c r="BL13" s="272"/>
      <c r="BM13" s="55" t="str">
        <f t="shared" si="20"/>
        <v/>
      </c>
      <c r="BN13" s="272"/>
      <c r="BO13" s="273"/>
      <c r="BP13" s="271"/>
      <c r="BQ13" s="272"/>
      <c r="BR13" s="272"/>
      <c r="BS13" s="272"/>
      <c r="BT13" s="55" t="str">
        <f t="shared" si="21"/>
        <v/>
      </c>
      <c r="BU13" s="272"/>
      <c r="BV13" s="273"/>
      <c r="BW13" s="271"/>
      <c r="BX13" s="272"/>
      <c r="BY13" s="272"/>
      <c r="BZ13" s="272"/>
      <c r="CA13" s="55" t="str">
        <f t="shared" si="22"/>
        <v/>
      </c>
      <c r="CB13" s="272"/>
      <c r="CC13" s="273"/>
      <c r="CD13" s="271"/>
      <c r="CE13" s="272"/>
      <c r="CF13" s="272"/>
      <c r="CG13" s="272"/>
      <c r="CH13" s="55" t="str">
        <f t="shared" si="23"/>
        <v/>
      </c>
      <c r="CI13" s="272"/>
      <c r="CJ13" s="273"/>
      <c r="CK13" s="271"/>
      <c r="CL13" s="272"/>
      <c r="CM13" s="272"/>
      <c r="CN13" s="272"/>
      <c r="CO13" s="55" t="str">
        <f t="shared" si="24"/>
        <v/>
      </c>
      <c r="CP13" s="272"/>
      <c r="CQ13" s="273"/>
      <c r="CR13" s="24"/>
      <c r="CS13" s="25"/>
      <c r="CT13" s="25"/>
      <c r="CU13" s="25"/>
      <c r="CV13" s="55" t="str">
        <f t="shared" si="25"/>
        <v/>
      </c>
      <c r="CW13" s="25"/>
      <c r="CX13" s="39"/>
      <c r="CY13" s="24"/>
      <c r="CZ13" s="25"/>
      <c r="DA13" s="25"/>
      <c r="DB13" s="25"/>
      <c r="DC13" s="55" t="str">
        <f t="shared" si="26"/>
        <v/>
      </c>
      <c r="DD13" s="25"/>
      <c r="DE13" s="39"/>
      <c r="DF13" s="24"/>
      <c r="DG13" s="25"/>
      <c r="DH13" s="25"/>
      <c r="DI13" s="25"/>
      <c r="DJ13" s="55" t="str">
        <f t="shared" si="27"/>
        <v/>
      </c>
      <c r="DK13" s="25"/>
      <c r="DL13" s="39"/>
      <c r="DM13" s="24"/>
      <c r="DN13" s="25"/>
      <c r="DO13" s="25"/>
      <c r="DP13" s="25"/>
      <c r="DQ13" s="55" t="str">
        <f t="shared" si="28"/>
        <v/>
      </c>
      <c r="DR13" s="25"/>
      <c r="DS13" s="39"/>
      <c r="DT13" s="24"/>
      <c r="DU13" s="25"/>
      <c r="DV13" s="25"/>
      <c r="DW13" s="25"/>
      <c r="DX13" s="55" t="str">
        <f t="shared" si="29"/>
        <v/>
      </c>
      <c r="DY13" s="25"/>
      <c r="DZ13" s="39"/>
      <c r="EA13" s="24"/>
      <c r="EB13" s="25"/>
      <c r="EC13" s="25"/>
      <c r="ED13" s="25"/>
      <c r="EE13" s="55" t="str">
        <f t="shared" si="30"/>
        <v/>
      </c>
      <c r="EF13" s="25"/>
      <c r="EG13" s="39"/>
      <c r="EH13" s="24"/>
      <c r="EI13" s="25"/>
      <c r="EJ13" s="25"/>
      <c r="EK13" s="25"/>
      <c r="EL13" s="111"/>
      <c r="EM13" s="9"/>
      <c r="EN13" s="18"/>
      <c r="EO13" s="24"/>
      <c r="EP13" s="25"/>
      <c r="EQ13" s="25"/>
      <c r="ER13" s="25"/>
      <c r="ES13" s="111"/>
      <c r="ET13" s="9"/>
      <c r="EU13" s="18"/>
      <c r="EV13" s="33"/>
    </row>
    <row r="14" spans="1:152" s="11" customFormat="1" x14ac:dyDescent="0.3">
      <c r="A14" s="115"/>
      <c r="B14" s="69" t="s">
        <v>59</v>
      </c>
      <c r="C14" s="31" t="s">
        <v>25</v>
      </c>
      <c r="D14" s="31">
        <v>2014</v>
      </c>
      <c r="E14" s="40">
        <f t="shared" si="0"/>
        <v>206.845</v>
      </c>
      <c r="F14" s="106"/>
      <c r="G14" s="107" t="str">
        <f>IF('TRA-M'!$A$2-D14&lt;=1,IF(X14&gt;=$T$3,"YES",IF(AE14&gt;=$AA$3,"YES",IF(AL14&gt;=$AH$3,"YES",""))),"")</f>
        <v/>
      </c>
      <c r="H14" s="108" t="str">
        <f t="shared" si="1"/>
        <v/>
      </c>
      <c r="I14" s="109" t="str">
        <f t="shared" si="2"/>
        <v/>
      </c>
      <c r="J14" s="110" t="str">
        <f t="shared" si="3"/>
        <v/>
      </c>
      <c r="K14" s="17">
        <f t="shared" si="4"/>
        <v>82.71</v>
      </c>
      <c r="L14" s="89">
        <v>2.75</v>
      </c>
      <c r="M14" s="9">
        <f t="shared" si="5"/>
        <v>41.364999999999995</v>
      </c>
      <c r="N14" s="272"/>
      <c r="O14" s="9">
        <f t="shared" si="6"/>
        <v>32.24</v>
      </c>
      <c r="P14" s="272"/>
      <c r="Q14" s="9">
        <f t="shared" si="7"/>
        <v>46.78</v>
      </c>
      <c r="R14" s="89">
        <v>1</v>
      </c>
      <c r="S14" s="46" t="str">
        <f t="shared" si="8"/>
        <v/>
      </c>
      <c r="T14" s="272">
        <f>23.5+3</f>
        <v>26.5</v>
      </c>
      <c r="U14" s="272">
        <v>15.305</v>
      </c>
      <c r="V14" s="53">
        <f>18.1+10.6</f>
        <v>28.700000000000003</v>
      </c>
      <c r="W14" s="53">
        <v>12.205</v>
      </c>
      <c r="X14" s="140">
        <f t="shared" si="9"/>
        <v>82.71</v>
      </c>
      <c r="Y14" s="89">
        <f>19.7+12.4</f>
        <v>32.1</v>
      </c>
      <c r="Z14" s="141">
        <v>14.68</v>
      </c>
      <c r="AA14" s="53">
        <f>15.7+8.1+3.3</f>
        <v>27.099999999999998</v>
      </c>
      <c r="AB14" s="53">
        <v>14.265000000000001</v>
      </c>
      <c r="AC14" s="53">
        <f>4.3+2.7+4.4</f>
        <v>11.4</v>
      </c>
      <c r="AD14" s="53">
        <v>4.9249999999999998</v>
      </c>
      <c r="AE14" s="47">
        <f t="shared" si="10"/>
        <v>57.689999999999991</v>
      </c>
      <c r="AF14" s="272"/>
      <c r="AG14" s="273"/>
      <c r="AH14" s="53">
        <f>13.7+7.3+3.3</f>
        <v>24.3</v>
      </c>
      <c r="AI14" s="53">
        <v>13.3</v>
      </c>
      <c r="AJ14" s="53">
        <f>8.7+5.3+8.6</f>
        <v>22.6</v>
      </c>
      <c r="AK14" s="53">
        <v>9.64</v>
      </c>
      <c r="AL14" s="47">
        <f t="shared" si="11"/>
        <v>69.84</v>
      </c>
      <c r="AM14" s="272"/>
      <c r="AN14" s="273"/>
      <c r="AO14" s="336" t="str">
        <f t="shared" si="12"/>
        <v/>
      </c>
      <c r="AP14" s="335" t="str">
        <f t="shared" si="13"/>
        <v/>
      </c>
      <c r="AQ14" s="337" t="str">
        <f t="shared" si="14"/>
        <v/>
      </c>
      <c r="AR14" s="336" t="str">
        <f t="shared" si="15"/>
        <v/>
      </c>
      <c r="AS14" s="335" t="str">
        <f t="shared" si="16"/>
        <v/>
      </c>
      <c r="AT14" s="337" t="str">
        <f t="shared" si="17"/>
        <v/>
      </c>
      <c r="AU14" s="271"/>
      <c r="AV14" s="272"/>
      <c r="AW14" s="272"/>
      <c r="AX14" s="272"/>
      <c r="AY14" s="55" t="str">
        <f t="shared" si="18"/>
        <v/>
      </c>
      <c r="AZ14" s="272"/>
      <c r="BA14" s="273"/>
      <c r="BB14" s="271"/>
      <c r="BC14" s="272"/>
      <c r="BD14" s="272"/>
      <c r="BE14" s="272"/>
      <c r="BF14" s="55" t="str">
        <f t="shared" si="19"/>
        <v/>
      </c>
      <c r="BG14" s="272"/>
      <c r="BH14" s="273"/>
      <c r="BI14" s="271"/>
      <c r="BJ14" s="272"/>
      <c r="BK14" s="272"/>
      <c r="BL14" s="272"/>
      <c r="BM14" s="55" t="str">
        <f t="shared" si="20"/>
        <v/>
      </c>
      <c r="BN14" s="272"/>
      <c r="BO14" s="273"/>
      <c r="BP14" s="271"/>
      <c r="BQ14" s="272"/>
      <c r="BR14" s="272"/>
      <c r="BS14" s="272"/>
      <c r="BT14" s="55" t="str">
        <f t="shared" si="21"/>
        <v/>
      </c>
      <c r="BU14" s="272"/>
      <c r="BV14" s="273"/>
      <c r="BW14" s="271"/>
      <c r="BX14" s="272"/>
      <c r="BY14" s="272"/>
      <c r="BZ14" s="272"/>
      <c r="CA14" s="55" t="str">
        <f t="shared" si="22"/>
        <v/>
      </c>
      <c r="CB14" s="272"/>
      <c r="CC14" s="273"/>
      <c r="CD14" s="271"/>
      <c r="CE14" s="272"/>
      <c r="CF14" s="272"/>
      <c r="CG14" s="272"/>
      <c r="CH14" s="55" t="str">
        <f t="shared" si="23"/>
        <v/>
      </c>
      <c r="CI14" s="272"/>
      <c r="CJ14" s="273"/>
      <c r="CK14" s="271"/>
      <c r="CL14" s="272"/>
      <c r="CM14" s="272"/>
      <c r="CN14" s="272"/>
      <c r="CO14" s="55" t="str">
        <f t="shared" si="24"/>
        <v/>
      </c>
      <c r="CP14" s="272"/>
      <c r="CQ14" s="273"/>
      <c r="CR14" s="24"/>
      <c r="CS14" s="25"/>
      <c r="CT14" s="25"/>
      <c r="CU14" s="25"/>
      <c r="CV14" s="55" t="str">
        <f t="shared" si="25"/>
        <v/>
      </c>
      <c r="CW14" s="25"/>
      <c r="CX14" s="39"/>
      <c r="CY14" s="24"/>
      <c r="CZ14" s="25"/>
      <c r="DA14" s="25"/>
      <c r="DB14" s="25"/>
      <c r="DC14" s="55" t="str">
        <f t="shared" si="26"/>
        <v/>
      </c>
      <c r="DD14" s="25"/>
      <c r="DE14" s="39"/>
      <c r="DF14" s="24"/>
      <c r="DG14" s="25"/>
      <c r="DH14" s="25"/>
      <c r="DI14" s="25"/>
      <c r="DJ14" s="55" t="str">
        <f t="shared" si="27"/>
        <v/>
      </c>
      <c r="DK14" s="25"/>
      <c r="DL14" s="39"/>
      <c r="DM14" s="24"/>
      <c r="DN14" s="25"/>
      <c r="DO14" s="25"/>
      <c r="DP14" s="25"/>
      <c r="DQ14" s="55" t="str">
        <f t="shared" si="28"/>
        <v/>
      </c>
      <c r="DR14" s="25"/>
      <c r="DS14" s="39"/>
      <c r="DT14" s="24"/>
      <c r="DU14" s="25"/>
      <c r="DV14" s="25"/>
      <c r="DW14" s="25"/>
      <c r="DX14" s="55" t="str">
        <f t="shared" si="29"/>
        <v/>
      </c>
      <c r="DY14" s="25"/>
      <c r="DZ14" s="39"/>
      <c r="EA14" s="24"/>
      <c r="EB14" s="25"/>
      <c r="EC14" s="25"/>
      <c r="ED14" s="25"/>
      <c r="EE14" s="55" t="str">
        <f t="shared" si="30"/>
        <v/>
      </c>
      <c r="EF14" s="25"/>
      <c r="EG14" s="39"/>
      <c r="EH14" s="24"/>
      <c r="EI14" s="25"/>
      <c r="EJ14" s="25"/>
      <c r="EK14" s="25"/>
      <c r="EL14" s="111" t="str">
        <f>IF(EJ14&lt;&gt;"",SUM(EH14:EK14),"")</f>
        <v/>
      </c>
      <c r="EM14" s="9"/>
      <c r="EN14" s="18"/>
      <c r="EO14" s="24"/>
      <c r="EP14" s="25"/>
      <c r="EQ14" s="25"/>
      <c r="ER14" s="25"/>
      <c r="ES14" s="111" t="str">
        <f>IF(EQ14&lt;&gt;"",SUM(EO14:ER14),"")</f>
        <v/>
      </c>
      <c r="ET14" s="9"/>
      <c r="EU14" s="18"/>
    </row>
    <row r="15" spans="1:152" s="11" customFormat="1" x14ac:dyDescent="0.3">
      <c r="A15" s="267"/>
      <c r="B15" s="69" t="s">
        <v>107</v>
      </c>
      <c r="C15" s="31" t="s">
        <v>25</v>
      </c>
      <c r="D15" s="31">
        <v>2016</v>
      </c>
      <c r="E15" s="40">
        <f t="shared" si="0"/>
        <v>192.77500000000003</v>
      </c>
      <c r="F15" s="113"/>
      <c r="G15" s="107" t="str">
        <f>IF('TRA-M'!$A$2-D15&lt;=1,IF(X15&gt;=$T$3,"YES",IF(AE15&gt;=$AA$3,"YES",IF(AL15&gt;=$AH$3,"YES",""))),"")</f>
        <v/>
      </c>
      <c r="H15" s="108" t="str">
        <f t="shared" si="1"/>
        <v/>
      </c>
      <c r="I15" s="109" t="str">
        <f t="shared" si="2"/>
        <v/>
      </c>
      <c r="J15" s="110" t="str">
        <f t="shared" si="3"/>
        <v/>
      </c>
      <c r="K15" s="17">
        <f t="shared" si="4"/>
        <v>90.9</v>
      </c>
      <c r="L15" s="272"/>
      <c r="M15" s="9">
        <f t="shared" si="5"/>
        <v>41.265000000000001</v>
      </c>
      <c r="N15" s="89">
        <v>2</v>
      </c>
      <c r="O15" s="9">
        <f t="shared" si="6"/>
        <v>48.205000000000005</v>
      </c>
      <c r="P15" s="272"/>
      <c r="Q15" s="9">
        <f t="shared" si="7"/>
        <v>10.405000000000001</v>
      </c>
      <c r="R15" s="325"/>
      <c r="S15" s="46" t="str">
        <f t="shared" si="8"/>
        <v/>
      </c>
      <c r="T15" s="89">
        <f>23.5+2.4</f>
        <v>25.9</v>
      </c>
      <c r="U15" s="89">
        <v>15.365</v>
      </c>
      <c r="V15" s="53">
        <f>6.4+3.4</f>
        <v>9.8000000000000007</v>
      </c>
      <c r="W15" s="53">
        <v>4.6849999999999996</v>
      </c>
      <c r="X15" s="47">
        <f t="shared" si="9"/>
        <v>55.75</v>
      </c>
      <c r="Y15" s="272"/>
      <c r="Z15" s="273"/>
      <c r="AA15" s="272">
        <f>15.3+9.3+3.7</f>
        <v>28.3</v>
      </c>
      <c r="AB15" s="272">
        <v>15.445</v>
      </c>
      <c r="AC15" s="272">
        <f>14.1+9+9.3</f>
        <v>32.400000000000006</v>
      </c>
      <c r="AD15" s="272">
        <v>14.755000000000001</v>
      </c>
      <c r="AE15" s="47">
        <f t="shared" si="10"/>
        <v>90.9</v>
      </c>
      <c r="AF15" s="290">
        <f>2.8+1.7+2.9</f>
        <v>7.4</v>
      </c>
      <c r="AG15" s="291">
        <v>3.0049999999999999</v>
      </c>
      <c r="AH15" s="53">
        <f>15.7+8.2+2.2</f>
        <v>26.099999999999998</v>
      </c>
      <c r="AI15" s="53">
        <v>13.815</v>
      </c>
      <c r="AJ15" s="272">
        <f>15.5+8.8+9.9</f>
        <v>34.200000000000003</v>
      </c>
      <c r="AK15" s="272">
        <v>14.005000000000001</v>
      </c>
      <c r="AL15" s="47">
        <f t="shared" si="11"/>
        <v>88.12</v>
      </c>
      <c r="AM15" s="48"/>
      <c r="AN15" s="114"/>
      <c r="AO15" s="336" t="str">
        <f t="shared" si="12"/>
        <v/>
      </c>
      <c r="AP15" s="335" t="str">
        <f t="shared" si="13"/>
        <v/>
      </c>
      <c r="AQ15" s="337" t="str">
        <f t="shared" si="14"/>
        <v/>
      </c>
      <c r="AR15" s="336" t="str">
        <f t="shared" si="15"/>
        <v/>
      </c>
      <c r="AS15" s="335" t="str">
        <f t="shared" si="16"/>
        <v/>
      </c>
      <c r="AT15" s="337" t="str">
        <f t="shared" si="17"/>
        <v/>
      </c>
      <c r="AU15" s="271"/>
      <c r="AV15" s="272"/>
      <c r="AW15" s="272"/>
      <c r="AX15" s="272"/>
      <c r="AY15" s="55" t="str">
        <f t="shared" si="18"/>
        <v/>
      </c>
      <c r="AZ15" s="272"/>
      <c r="BA15" s="273"/>
      <c r="BB15" s="271"/>
      <c r="BC15" s="272"/>
      <c r="BD15" s="272"/>
      <c r="BE15" s="272"/>
      <c r="BF15" s="55" t="str">
        <f t="shared" si="19"/>
        <v/>
      </c>
      <c r="BG15" s="272"/>
      <c r="BH15" s="273"/>
      <c r="BI15" s="271"/>
      <c r="BJ15" s="272"/>
      <c r="BK15" s="272"/>
      <c r="BL15" s="272"/>
      <c r="BM15" s="55" t="str">
        <f t="shared" si="20"/>
        <v/>
      </c>
      <c r="BN15" s="272"/>
      <c r="BO15" s="273"/>
      <c r="BP15" s="271"/>
      <c r="BQ15" s="272"/>
      <c r="BR15" s="272"/>
      <c r="BS15" s="272"/>
      <c r="BT15" s="55" t="str">
        <f t="shared" si="21"/>
        <v/>
      </c>
      <c r="BU15" s="272"/>
      <c r="BV15" s="273"/>
      <c r="BW15" s="271"/>
      <c r="BX15" s="272"/>
      <c r="BY15" s="272"/>
      <c r="BZ15" s="272"/>
      <c r="CA15" s="55" t="str">
        <f t="shared" si="22"/>
        <v/>
      </c>
      <c r="CB15" s="272"/>
      <c r="CC15" s="273"/>
      <c r="CD15" s="271"/>
      <c r="CE15" s="272"/>
      <c r="CF15" s="272"/>
      <c r="CG15" s="272"/>
      <c r="CH15" s="55" t="str">
        <f t="shared" si="23"/>
        <v/>
      </c>
      <c r="CI15" s="272"/>
      <c r="CJ15" s="273"/>
      <c r="CK15" s="271"/>
      <c r="CL15" s="272"/>
      <c r="CM15" s="272"/>
      <c r="CN15" s="272"/>
      <c r="CO15" s="55" t="str">
        <f t="shared" si="24"/>
        <v/>
      </c>
      <c r="CP15" s="272"/>
      <c r="CQ15" s="273"/>
      <c r="CR15" s="24"/>
      <c r="CS15" s="25"/>
      <c r="CT15" s="25"/>
      <c r="CU15" s="25"/>
      <c r="CV15" s="55" t="str">
        <f t="shared" si="25"/>
        <v/>
      </c>
      <c r="CW15" s="25"/>
      <c r="CX15" s="39"/>
      <c r="CY15" s="24"/>
      <c r="CZ15" s="25"/>
      <c r="DA15" s="25"/>
      <c r="DB15" s="25"/>
      <c r="DC15" s="55" t="str">
        <f t="shared" si="26"/>
        <v/>
      </c>
      <c r="DD15" s="25"/>
      <c r="DE15" s="39"/>
      <c r="DF15" s="24"/>
      <c r="DG15" s="25"/>
      <c r="DH15" s="25"/>
      <c r="DI15" s="25"/>
      <c r="DJ15" s="55" t="str">
        <f t="shared" si="27"/>
        <v/>
      </c>
      <c r="DK15" s="25"/>
      <c r="DL15" s="39"/>
      <c r="DM15" s="24"/>
      <c r="DN15" s="25"/>
      <c r="DO15" s="25"/>
      <c r="DP15" s="25"/>
      <c r="DQ15" s="55" t="str">
        <f t="shared" si="28"/>
        <v/>
      </c>
      <c r="DR15" s="25"/>
      <c r="DS15" s="39"/>
      <c r="DT15" s="24"/>
      <c r="DU15" s="25"/>
      <c r="DV15" s="25"/>
      <c r="DW15" s="25"/>
      <c r="DX15" s="55" t="str">
        <f t="shared" si="29"/>
        <v/>
      </c>
      <c r="DY15" s="25"/>
      <c r="DZ15" s="39"/>
      <c r="EA15" s="24"/>
      <c r="EB15" s="25"/>
      <c r="EC15" s="25"/>
      <c r="ED15" s="25"/>
      <c r="EE15" s="55" t="str">
        <f t="shared" si="30"/>
        <v/>
      </c>
      <c r="EF15" s="25"/>
      <c r="EG15" s="39"/>
      <c r="EH15" s="24"/>
      <c r="EI15" s="25"/>
      <c r="EJ15" s="25"/>
      <c r="EK15" s="25"/>
      <c r="EL15" s="111"/>
      <c r="EM15" s="9"/>
      <c r="EN15" s="18"/>
      <c r="EO15" s="24"/>
      <c r="EP15" s="25"/>
      <c r="EQ15" s="25"/>
      <c r="ER15" s="25"/>
      <c r="ES15" s="111"/>
      <c r="ET15" s="9"/>
      <c r="EU15" s="18"/>
    </row>
    <row r="16" spans="1:152" s="11" customFormat="1" x14ac:dyDescent="0.3">
      <c r="A16" s="284"/>
      <c r="B16" s="69" t="s">
        <v>123</v>
      </c>
      <c r="C16" s="267" t="s">
        <v>25</v>
      </c>
      <c r="D16" s="31">
        <v>2017</v>
      </c>
      <c r="E16" s="40">
        <f t="shared" si="0"/>
        <v>186.535</v>
      </c>
      <c r="F16" s="113"/>
      <c r="G16" s="107" t="str">
        <f>IF('TRA-M'!$A$2-D16&lt;=1,IF(X16&gt;=$T$3,"YES",IF(AE16&gt;=$AA$3,"YES",IF(AL16&gt;=$AH$3,"YES",""))),"")</f>
        <v/>
      </c>
      <c r="H16" s="108" t="str">
        <f t="shared" si="1"/>
        <v/>
      </c>
      <c r="I16" s="109" t="str">
        <f t="shared" si="2"/>
        <v/>
      </c>
      <c r="J16" s="110" t="str">
        <f t="shared" si="3"/>
        <v/>
      </c>
      <c r="K16" s="17">
        <f t="shared" si="4"/>
        <v>92.075000000000003</v>
      </c>
      <c r="L16" s="278"/>
      <c r="M16" s="9">
        <f t="shared" si="5"/>
        <v>44.08</v>
      </c>
      <c r="N16" s="272"/>
      <c r="O16" s="9">
        <f t="shared" si="6"/>
        <v>5.59</v>
      </c>
      <c r="P16" s="272"/>
      <c r="Q16" s="9">
        <f t="shared" si="7"/>
        <v>44.79</v>
      </c>
      <c r="R16" s="278"/>
      <c r="S16" s="46" t="str">
        <f t="shared" si="8"/>
        <v/>
      </c>
      <c r="T16" s="272"/>
      <c r="U16" s="272"/>
      <c r="V16" s="272"/>
      <c r="W16" s="272"/>
      <c r="X16" s="47">
        <f t="shared" si="9"/>
        <v>0</v>
      </c>
      <c r="Y16" s="278"/>
      <c r="Z16" s="279"/>
      <c r="AA16" s="272">
        <f>16.8+9+3.4</f>
        <v>29.2</v>
      </c>
      <c r="AB16" s="272">
        <v>14.88</v>
      </c>
      <c r="AC16" s="53">
        <f>1.4+0.9+1.7</f>
        <v>4</v>
      </c>
      <c r="AD16" s="53">
        <v>1.59</v>
      </c>
      <c r="AE16" s="47">
        <f t="shared" si="10"/>
        <v>49.67</v>
      </c>
      <c r="AF16" s="272"/>
      <c r="AG16" s="273"/>
      <c r="AH16" s="272">
        <f>16.1+9+4.8</f>
        <v>29.900000000000002</v>
      </c>
      <c r="AI16" s="272">
        <v>14.55</v>
      </c>
      <c r="AJ16" s="272">
        <f>14.4+9.2+10.4</f>
        <v>34</v>
      </c>
      <c r="AK16" s="272">
        <v>13.625</v>
      </c>
      <c r="AL16" s="47">
        <f t="shared" si="11"/>
        <v>92.075000000000003</v>
      </c>
      <c r="AM16" s="53">
        <f>13.4+8+10.4</f>
        <v>31.799999999999997</v>
      </c>
      <c r="AN16" s="73">
        <v>12.99</v>
      </c>
      <c r="AO16" s="336" t="str">
        <f t="shared" si="12"/>
        <v/>
      </c>
      <c r="AP16" s="335" t="str">
        <f t="shared" si="13"/>
        <v/>
      </c>
      <c r="AQ16" s="337" t="str">
        <f t="shared" si="14"/>
        <v/>
      </c>
      <c r="AR16" s="336" t="str">
        <f t="shared" si="15"/>
        <v/>
      </c>
      <c r="AS16" s="335" t="str">
        <f t="shared" si="16"/>
        <v/>
      </c>
      <c r="AT16" s="337" t="str">
        <f t="shared" si="17"/>
        <v/>
      </c>
      <c r="AU16" s="271"/>
      <c r="AV16" s="272"/>
      <c r="AW16" s="272"/>
      <c r="AX16" s="272"/>
      <c r="AY16" s="55" t="str">
        <f t="shared" si="18"/>
        <v/>
      </c>
      <c r="AZ16" s="272"/>
      <c r="BA16" s="273"/>
      <c r="BB16" s="271"/>
      <c r="BC16" s="272"/>
      <c r="BD16" s="272"/>
      <c r="BE16" s="272"/>
      <c r="BF16" s="55" t="str">
        <f t="shared" si="19"/>
        <v/>
      </c>
      <c r="BG16" s="272"/>
      <c r="BH16" s="273"/>
      <c r="BI16" s="271"/>
      <c r="BJ16" s="272"/>
      <c r="BK16" s="272"/>
      <c r="BL16" s="272"/>
      <c r="BM16" s="55" t="str">
        <f t="shared" si="20"/>
        <v/>
      </c>
      <c r="BN16" s="272"/>
      <c r="BO16" s="273"/>
      <c r="BP16" s="271"/>
      <c r="BQ16" s="272"/>
      <c r="BR16" s="272"/>
      <c r="BS16" s="272"/>
      <c r="BT16" s="55" t="str">
        <f t="shared" si="21"/>
        <v/>
      </c>
      <c r="BU16" s="272"/>
      <c r="BV16" s="273"/>
      <c r="BW16" s="271"/>
      <c r="BX16" s="272"/>
      <c r="BY16" s="272"/>
      <c r="BZ16" s="272"/>
      <c r="CA16" s="55" t="str">
        <f t="shared" si="22"/>
        <v/>
      </c>
      <c r="CB16" s="272"/>
      <c r="CC16" s="273"/>
      <c r="CD16" s="271"/>
      <c r="CE16" s="272"/>
      <c r="CF16" s="272"/>
      <c r="CG16" s="272"/>
      <c r="CH16" s="55" t="str">
        <f t="shared" si="23"/>
        <v/>
      </c>
      <c r="CI16" s="272"/>
      <c r="CJ16" s="273"/>
      <c r="CK16" s="271"/>
      <c r="CL16" s="272"/>
      <c r="CM16" s="272"/>
      <c r="CN16" s="272"/>
      <c r="CO16" s="55" t="str">
        <f t="shared" si="24"/>
        <v/>
      </c>
      <c r="CP16" s="272"/>
      <c r="CQ16" s="273"/>
      <c r="CR16" s="24"/>
      <c r="CS16" s="25"/>
      <c r="CT16" s="25"/>
      <c r="CU16" s="25"/>
      <c r="CV16" s="55" t="str">
        <f t="shared" si="25"/>
        <v/>
      </c>
      <c r="CW16" s="25"/>
      <c r="CX16" s="39"/>
      <c r="CY16" s="24"/>
      <c r="CZ16" s="25"/>
      <c r="DA16" s="25"/>
      <c r="DB16" s="25"/>
      <c r="DC16" s="55" t="str">
        <f t="shared" si="26"/>
        <v/>
      </c>
      <c r="DD16" s="25"/>
      <c r="DE16" s="39"/>
      <c r="DF16" s="24"/>
      <c r="DG16" s="25"/>
      <c r="DH16" s="25"/>
      <c r="DI16" s="25"/>
      <c r="DJ16" s="55" t="str">
        <f t="shared" si="27"/>
        <v/>
      </c>
      <c r="DK16" s="25"/>
      <c r="DL16" s="39"/>
      <c r="DM16" s="24"/>
      <c r="DN16" s="25"/>
      <c r="DO16" s="25"/>
      <c r="DP16" s="25"/>
      <c r="DQ16" s="55" t="str">
        <f t="shared" si="28"/>
        <v/>
      </c>
      <c r="DR16" s="25"/>
      <c r="DS16" s="39"/>
      <c r="DT16" s="24"/>
      <c r="DU16" s="25"/>
      <c r="DV16" s="25"/>
      <c r="DW16" s="25"/>
      <c r="DX16" s="55" t="str">
        <f t="shared" si="29"/>
        <v/>
      </c>
      <c r="DY16" s="25"/>
      <c r="DZ16" s="39"/>
      <c r="EA16" s="24"/>
      <c r="EB16" s="25"/>
      <c r="EC16" s="25"/>
      <c r="ED16" s="25"/>
      <c r="EE16" s="55" t="str">
        <f t="shared" si="30"/>
        <v/>
      </c>
      <c r="EF16" s="25"/>
      <c r="EG16" s="39"/>
      <c r="EH16" s="24"/>
      <c r="EI16" s="25"/>
      <c r="EJ16" s="25"/>
      <c r="EK16" s="25"/>
      <c r="EL16" s="111"/>
      <c r="EM16" s="9"/>
      <c r="EN16" s="18"/>
      <c r="EO16" s="24"/>
      <c r="EP16" s="25"/>
      <c r="EQ16" s="25"/>
      <c r="ER16" s="25"/>
      <c r="ES16" s="111"/>
      <c r="ET16" s="9"/>
      <c r="EU16" s="18"/>
      <c r="EV16" s="33"/>
    </row>
    <row r="17" spans="1:152" x14ac:dyDescent="0.3">
      <c r="A17" s="115"/>
      <c r="B17" s="69" t="s">
        <v>56</v>
      </c>
      <c r="C17" s="31" t="s">
        <v>25</v>
      </c>
      <c r="D17" s="31">
        <v>2012</v>
      </c>
      <c r="E17" s="40">
        <f t="shared" si="0"/>
        <v>147.29</v>
      </c>
      <c r="F17" s="106"/>
      <c r="G17" s="107" t="str">
        <f>IF('TRA-M'!$A$2-D17&lt;=1,IF(X17&gt;=$T$3,"YES",IF(AE17&gt;=$AA$3,"YES",IF(AL17&gt;=$AH$3,"YES",""))),"")</f>
        <v/>
      </c>
      <c r="H17" s="108" t="str">
        <f t="shared" si="1"/>
        <v/>
      </c>
      <c r="I17" s="109" t="str">
        <f t="shared" si="2"/>
        <v/>
      </c>
      <c r="J17" s="110" t="str">
        <f t="shared" si="3"/>
        <v/>
      </c>
      <c r="K17" s="17">
        <f t="shared" si="4"/>
        <v>88.759999999999991</v>
      </c>
      <c r="L17" s="89">
        <v>3</v>
      </c>
      <c r="M17" s="9">
        <f t="shared" si="5"/>
        <v>0</v>
      </c>
      <c r="N17" s="25"/>
      <c r="O17" s="9">
        <f t="shared" si="6"/>
        <v>0</v>
      </c>
      <c r="P17" s="25"/>
      <c r="Q17" s="9">
        <f t="shared" si="7"/>
        <v>10.81</v>
      </c>
      <c r="R17" s="89">
        <v>0.2</v>
      </c>
      <c r="S17" s="46">
        <f t="shared" si="8"/>
        <v>44.519999999999996</v>
      </c>
      <c r="T17" s="272">
        <f>25.6+2.1</f>
        <v>27.700000000000003</v>
      </c>
      <c r="U17" s="272">
        <v>15.154999999999999</v>
      </c>
      <c r="V17" s="272">
        <f>20.4+11</f>
        <v>31.4</v>
      </c>
      <c r="W17" s="272">
        <v>14.505000000000001</v>
      </c>
      <c r="X17" s="140">
        <f t="shared" si="9"/>
        <v>88.759999999999991</v>
      </c>
      <c r="Y17" s="290">
        <f>4.9+2.7</f>
        <v>7.6000000000000005</v>
      </c>
      <c r="Z17" s="291">
        <v>3.21</v>
      </c>
      <c r="AA17" s="272"/>
      <c r="AB17" s="272"/>
      <c r="AC17" s="278"/>
      <c r="AD17" s="278"/>
      <c r="AE17" s="47">
        <f t="shared" si="10"/>
        <v>0</v>
      </c>
      <c r="AF17" s="272"/>
      <c r="AG17" s="273"/>
      <c r="AH17" s="272"/>
      <c r="AI17" s="272"/>
      <c r="AJ17" s="272"/>
      <c r="AK17" s="272"/>
      <c r="AL17" s="47">
        <f t="shared" si="11"/>
        <v>0</v>
      </c>
      <c r="AM17" s="278"/>
      <c r="AN17" s="279"/>
      <c r="AO17" s="336">
        <f t="shared" si="12"/>
        <v>40.729999999999997</v>
      </c>
      <c r="AP17" s="335">
        <f t="shared" si="13"/>
        <v>44.519999999999996</v>
      </c>
      <c r="AQ17" s="337" t="str">
        <f t="shared" si="14"/>
        <v/>
      </c>
      <c r="AR17" s="336">
        <f t="shared" si="15"/>
        <v>40.729999999999997</v>
      </c>
      <c r="AS17" s="335">
        <f t="shared" si="16"/>
        <v>44.519999999999996</v>
      </c>
      <c r="AT17" s="337" t="str">
        <f t="shared" si="17"/>
        <v/>
      </c>
      <c r="AU17" s="271"/>
      <c r="AV17" s="272"/>
      <c r="AW17" s="272"/>
      <c r="AX17" s="272"/>
      <c r="AY17" s="55" t="str">
        <f t="shared" si="18"/>
        <v/>
      </c>
      <c r="AZ17" s="272"/>
      <c r="BA17" s="273"/>
      <c r="BB17" s="271">
        <f>23.5+1.9</f>
        <v>25.4</v>
      </c>
      <c r="BC17" s="272">
        <v>15.33</v>
      </c>
      <c r="BD17" s="272">
        <f>19.9+10</f>
        <v>29.9</v>
      </c>
      <c r="BE17" s="272">
        <v>14.62</v>
      </c>
      <c r="BF17" s="55">
        <f t="shared" si="19"/>
        <v>85.25</v>
      </c>
      <c r="BG17" s="272"/>
      <c r="BH17" s="273"/>
      <c r="BI17" s="271"/>
      <c r="BJ17" s="272"/>
      <c r="BK17" s="272"/>
      <c r="BL17" s="272"/>
      <c r="BM17" s="55" t="str">
        <f t="shared" si="20"/>
        <v/>
      </c>
      <c r="BN17" s="272"/>
      <c r="BO17" s="273"/>
      <c r="BP17" s="271"/>
      <c r="BQ17" s="272"/>
      <c r="BR17" s="272"/>
      <c r="BS17" s="272"/>
      <c r="BT17" s="55" t="str">
        <f t="shared" si="21"/>
        <v/>
      </c>
      <c r="BU17" s="272"/>
      <c r="BV17" s="273"/>
      <c r="BW17" s="271"/>
      <c r="BX17" s="272"/>
      <c r="BY17" s="272"/>
      <c r="BZ17" s="272"/>
      <c r="CA17" s="55" t="str">
        <f t="shared" si="22"/>
        <v/>
      </c>
      <c r="CB17" s="272"/>
      <c r="CC17" s="273"/>
      <c r="CD17" s="271"/>
      <c r="CE17" s="272"/>
      <c r="CF17" s="272"/>
      <c r="CG17" s="272"/>
      <c r="CH17" s="55" t="str">
        <f t="shared" si="23"/>
        <v/>
      </c>
      <c r="CI17" s="272"/>
      <c r="CJ17" s="273"/>
      <c r="CK17" s="271"/>
      <c r="CL17" s="272"/>
      <c r="CM17" s="272"/>
      <c r="CN17" s="272"/>
      <c r="CO17" s="55" t="str">
        <f t="shared" si="24"/>
        <v/>
      </c>
      <c r="CP17" s="272"/>
      <c r="CQ17" s="273"/>
      <c r="CR17" s="24"/>
      <c r="CS17" s="25"/>
      <c r="CT17" s="25"/>
      <c r="CU17" s="25"/>
      <c r="CV17" s="55" t="str">
        <f t="shared" si="25"/>
        <v/>
      </c>
      <c r="CW17" s="25"/>
      <c r="CX17" s="39"/>
      <c r="CY17" s="24"/>
      <c r="CZ17" s="25"/>
      <c r="DA17" s="25"/>
      <c r="DB17" s="25"/>
      <c r="DC17" s="55" t="str">
        <f t="shared" si="26"/>
        <v/>
      </c>
      <c r="DD17" s="25"/>
      <c r="DE17" s="39"/>
      <c r="DF17" s="24"/>
      <c r="DG17" s="25"/>
      <c r="DH17" s="25"/>
      <c r="DI17" s="25"/>
      <c r="DJ17" s="55" t="str">
        <f t="shared" si="27"/>
        <v/>
      </c>
      <c r="DK17" s="25"/>
      <c r="DL17" s="39"/>
      <c r="DM17" s="24"/>
      <c r="DN17" s="25"/>
      <c r="DO17" s="25"/>
      <c r="DP17" s="25"/>
      <c r="DQ17" s="55" t="str">
        <f t="shared" si="28"/>
        <v/>
      </c>
      <c r="DR17" s="25"/>
      <c r="DS17" s="39"/>
      <c r="DT17" s="24"/>
      <c r="DU17" s="25"/>
      <c r="DV17" s="25"/>
      <c r="DW17" s="25"/>
      <c r="DX17" s="55" t="str">
        <f t="shared" si="29"/>
        <v/>
      </c>
      <c r="DY17" s="25"/>
      <c r="DZ17" s="39"/>
      <c r="EA17" s="24"/>
      <c r="EB17" s="25"/>
      <c r="EC17" s="25"/>
      <c r="ED17" s="25"/>
      <c r="EE17" s="55" t="str">
        <f t="shared" si="30"/>
        <v/>
      </c>
      <c r="EF17" s="25"/>
      <c r="EG17" s="39"/>
      <c r="EH17" s="24"/>
      <c r="EI17" s="25"/>
      <c r="EJ17" s="25"/>
      <c r="EK17" s="25"/>
      <c r="EL17" s="111" t="str">
        <f>IF(EJ17&lt;&gt;"",SUM(EH17:EK17),"")</f>
        <v/>
      </c>
      <c r="EM17" s="9"/>
      <c r="EN17" s="18"/>
      <c r="EO17" s="24"/>
      <c r="EP17" s="25"/>
      <c r="EQ17" s="25"/>
      <c r="ER17" s="25"/>
      <c r="ES17" s="111" t="str">
        <f>IF(EQ17&lt;&gt;"",SUM(EO17:ER17),"")</f>
        <v/>
      </c>
      <c r="ET17" s="9"/>
      <c r="EU17" s="18"/>
      <c r="EV17" s="11"/>
    </row>
    <row r="18" spans="1:152" x14ac:dyDescent="0.3">
      <c r="B18" s="80"/>
      <c r="C18" s="70"/>
      <c r="D18" s="70"/>
      <c r="F18" s="117"/>
      <c r="AU18" s="27"/>
      <c r="AV18" s="27"/>
      <c r="AW18" s="25"/>
      <c r="AX18" s="25"/>
      <c r="BW18" s="27"/>
      <c r="BX18" s="27"/>
      <c r="BY18" s="25"/>
      <c r="BZ18" s="25"/>
      <c r="CD18" s="27"/>
      <c r="CE18" s="27"/>
      <c r="CF18" s="25"/>
      <c r="CG18" s="25"/>
      <c r="CK18" s="27"/>
      <c r="CL18" s="27"/>
      <c r="CM18" s="25"/>
      <c r="CN18" s="25"/>
      <c r="CR18" s="27"/>
      <c r="CS18" s="27"/>
      <c r="CT18" s="25"/>
      <c r="CU18" s="25"/>
      <c r="CY18" s="27"/>
      <c r="CZ18" s="27"/>
      <c r="DA18" s="25"/>
      <c r="DB18" s="25"/>
      <c r="EH18" s="27"/>
      <c r="EI18" s="27"/>
      <c r="EJ18" s="25"/>
      <c r="EK18" s="25"/>
      <c r="EO18" s="27"/>
      <c r="EP18" s="27"/>
      <c r="EQ18" s="25"/>
      <c r="ER18" s="25"/>
    </row>
    <row r="19" spans="1:152" x14ac:dyDescent="0.3">
      <c r="A19" s="267"/>
      <c r="B19" s="80"/>
      <c r="C19" s="70"/>
      <c r="D19" s="70"/>
      <c r="E19" s="267"/>
      <c r="F19" s="117"/>
      <c r="K19" s="269"/>
      <c r="L19" s="269"/>
      <c r="M19" s="269"/>
      <c r="N19" s="269"/>
      <c r="O19" s="269"/>
      <c r="P19" s="269"/>
      <c r="Q19" s="269"/>
      <c r="R19" s="269"/>
      <c r="S19" s="269"/>
      <c r="T19" s="269"/>
      <c r="U19" s="269"/>
      <c r="V19" s="269"/>
      <c r="W19" s="269"/>
      <c r="X19" s="269"/>
      <c r="Y19" s="269"/>
      <c r="Z19" s="269"/>
      <c r="AA19" s="269"/>
      <c r="AB19" s="269"/>
      <c r="AC19" s="269"/>
      <c r="AD19" s="269"/>
      <c r="AE19" s="269"/>
      <c r="AF19" s="269"/>
      <c r="AG19" s="269"/>
      <c r="AH19" s="269"/>
      <c r="AI19" s="269"/>
      <c r="AJ19" s="269"/>
      <c r="AK19" s="269"/>
      <c r="AL19" s="269"/>
      <c r="AM19" s="269"/>
      <c r="AN19" s="269"/>
      <c r="AO19" s="269"/>
      <c r="AP19" s="269"/>
      <c r="AQ19" s="269"/>
      <c r="AR19" s="269"/>
      <c r="AS19" s="269"/>
      <c r="AT19" s="269"/>
      <c r="AU19" s="27"/>
      <c r="AV19" s="27"/>
      <c r="AW19" s="272"/>
      <c r="AX19" s="272"/>
      <c r="BW19" s="27"/>
      <c r="BX19" s="27"/>
      <c r="BY19" s="272"/>
      <c r="BZ19" s="272"/>
      <c r="CD19" s="27"/>
      <c r="CE19" s="27"/>
      <c r="CF19" s="272"/>
      <c r="CG19" s="272"/>
      <c r="CK19" s="27"/>
      <c r="CL19" s="27"/>
      <c r="CM19" s="272"/>
      <c r="CN19" s="272"/>
      <c r="CR19" s="27"/>
      <c r="CS19" s="27"/>
      <c r="CT19" s="272"/>
      <c r="CU19" s="272"/>
      <c r="CY19" s="27"/>
      <c r="CZ19" s="27"/>
      <c r="DA19" s="272"/>
      <c r="DB19" s="272"/>
      <c r="EH19" s="27"/>
      <c r="EI19" s="27"/>
      <c r="EJ19" s="272"/>
      <c r="EK19" s="272"/>
      <c r="EO19" s="27"/>
      <c r="EP19" s="27"/>
      <c r="EQ19" s="272"/>
      <c r="ER19" s="272"/>
    </row>
    <row r="20" spans="1:152" x14ac:dyDescent="0.3">
      <c r="A20" s="150"/>
      <c r="B20" s="80"/>
      <c r="C20" s="70"/>
      <c r="D20" s="70"/>
      <c r="E20" s="150"/>
      <c r="F20" s="117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146"/>
      <c r="AR20" s="146"/>
      <c r="AS20" s="146"/>
      <c r="AT20" s="146"/>
      <c r="AU20" s="27"/>
      <c r="AV20" s="27"/>
      <c r="AW20" s="145"/>
      <c r="AX20" s="145"/>
      <c r="BW20" s="27"/>
      <c r="BX20" s="27"/>
      <c r="BY20" s="145"/>
      <c r="BZ20" s="145"/>
      <c r="CD20" s="27"/>
      <c r="CE20" s="27"/>
      <c r="CF20" s="145"/>
      <c r="CG20" s="145"/>
      <c r="CK20" s="27"/>
      <c r="CL20" s="27"/>
      <c r="CM20" s="145"/>
      <c r="CN20" s="145"/>
      <c r="CR20" s="27"/>
      <c r="CS20" s="27"/>
      <c r="CT20" s="145"/>
      <c r="CU20" s="145"/>
      <c r="CY20" s="27"/>
      <c r="CZ20" s="27"/>
      <c r="DA20" s="145"/>
      <c r="DB20" s="145"/>
      <c r="EH20" s="27"/>
      <c r="EI20" s="27"/>
      <c r="EJ20" s="145"/>
      <c r="EK20" s="145"/>
      <c r="EO20" s="27"/>
      <c r="EP20" s="27"/>
      <c r="EQ20" s="145"/>
      <c r="ER20" s="145"/>
    </row>
    <row r="21" spans="1:152" x14ac:dyDescent="0.3">
      <c r="A21" s="150"/>
      <c r="B21" s="80"/>
      <c r="C21" s="70"/>
      <c r="D21" s="70"/>
      <c r="E21" s="150"/>
      <c r="F21" s="117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  <c r="AP21" s="146"/>
      <c r="AQ21" s="146"/>
      <c r="AR21" s="146"/>
      <c r="AS21" s="146"/>
      <c r="AT21" s="146"/>
      <c r="AU21" s="27"/>
      <c r="AV21" s="27"/>
      <c r="AW21" s="145"/>
      <c r="AX21" s="145"/>
      <c r="BW21" s="27"/>
      <c r="BX21" s="27"/>
      <c r="BY21" s="145"/>
      <c r="BZ21" s="145"/>
      <c r="CD21" s="27"/>
      <c r="CE21" s="27"/>
      <c r="CF21" s="145"/>
      <c r="CG21" s="145"/>
      <c r="CK21" s="27"/>
      <c r="CL21" s="27"/>
      <c r="CM21" s="145"/>
      <c r="CN21" s="145"/>
      <c r="CR21" s="27"/>
      <c r="CS21" s="27"/>
      <c r="CT21" s="145"/>
      <c r="CU21" s="145"/>
      <c r="CY21" s="27"/>
      <c r="CZ21" s="27"/>
      <c r="DA21" s="145"/>
      <c r="DB21" s="145"/>
      <c r="EH21" s="27"/>
      <c r="EI21" s="27"/>
      <c r="EJ21" s="145"/>
      <c r="EK21" s="145"/>
      <c r="EO21" s="27"/>
      <c r="EP21" s="27"/>
      <c r="EQ21" s="145"/>
      <c r="ER21" s="145"/>
    </row>
    <row r="22" spans="1:152" x14ac:dyDescent="0.3">
      <c r="A22" s="150"/>
      <c r="B22" s="80"/>
      <c r="C22" s="70"/>
      <c r="D22" s="70"/>
      <c r="E22" s="150"/>
      <c r="F22" s="117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27"/>
      <c r="AV22" s="27"/>
      <c r="AW22" s="145"/>
      <c r="AX22" s="145"/>
      <c r="BW22" s="27"/>
      <c r="BX22" s="27"/>
      <c r="BY22" s="145"/>
      <c r="BZ22" s="145"/>
      <c r="CD22" s="27"/>
      <c r="CE22" s="27"/>
      <c r="CF22" s="145"/>
      <c r="CG22" s="145"/>
      <c r="CK22" s="27"/>
      <c r="CL22" s="27"/>
      <c r="CM22" s="145"/>
      <c r="CN22" s="145"/>
      <c r="CR22" s="27"/>
      <c r="CS22" s="27"/>
      <c r="CT22" s="145"/>
      <c r="CU22" s="145"/>
      <c r="CY22" s="27"/>
      <c r="CZ22" s="27"/>
      <c r="DA22" s="145"/>
      <c r="DB22" s="145"/>
      <c r="EH22" s="27"/>
      <c r="EI22" s="27"/>
      <c r="EJ22" s="145"/>
      <c r="EK22" s="145"/>
      <c r="EO22" s="27"/>
      <c r="EP22" s="27"/>
      <c r="EQ22" s="145"/>
      <c r="ER22" s="145"/>
    </row>
    <row r="23" spans="1:152" x14ac:dyDescent="0.3">
      <c r="B23" s="80"/>
      <c r="C23" s="70"/>
      <c r="D23" s="70"/>
      <c r="F23" s="117"/>
      <c r="AU23" s="27"/>
      <c r="AV23" s="27"/>
      <c r="AW23" s="25"/>
      <c r="AX23" s="25"/>
      <c r="BW23" s="27"/>
      <c r="BX23" s="27"/>
      <c r="BY23" s="25"/>
      <c r="BZ23" s="25"/>
      <c r="CD23" s="27"/>
      <c r="CE23" s="27"/>
      <c r="CF23" s="25"/>
      <c r="CG23" s="25"/>
      <c r="CK23" s="27"/>
      <c r="CL23" s="27"/>
      <c r="CM23" s="25"/>
      <c r="CN23" s="25"/>
      <c r="CR23" s="27"/>
      <c r="CS23" s="27"/>
      <c r="CT23" s="25"/>
      <c r="CU23" s="25"/>
      <c r="CY23" s="27"/>
      <c r="CZ23" s="27"/>
      <c r="DA23" s="25"/>
      <c r="DB23" s="25"/>
      <c r="EH23" s="27"/>
      <c r="EI23" s="27"/>
      <c r="EJ23" s="25"/>
      <c r="EK23" s="25"/>
      <c r="EO23" s="27"/>
      <c r="EP23" s="27"/>
      <c r="EQ23" s="25"/>
      <c r="ER23" s="25"/>
    </row>
    <row r="24" spans="1:152" x14ac:dyDescent="0.3">
      <c r="B24" s="256" t="s">
        <v>58</v>
      </c>
      <c r="F24" s="70"/>
      <c r="G24" s="120"/>
      <c r="H24" s="121"/>
      <c r="I24" s="122"/>
      <c r="J24" s="122"/>
      <c r="K24" s="25"/>
      <c r="L24" s="25"/>
      <c r="M24" s="25"/>
      <c r="N24" s="25"/>
      <c r="O24" s="25"/>
      <c r="P24" s="25"/>
      <c r="AU24" s="27"/>
      <c r="AV24" s="27"/>
      <c r="AW24" s="25"/>
      <c r="AX24" s="25"/>
      <c r="BW24" s="27"/>
      <c r="BX24" s="27"/>
      <c r="BY24" s="25"/>
      <c r="BZ24" s="25"/>
      <c r="CD24" s="27"/>
      <c r="CE24" s="27"/>
      <c r="CF24" s="25"/>
      <c r="CG24" s="25"/>
      <c r="CK24" s="27"/>
      <c r="CL24" s="27"/>
      <c r="CM24" s="25"/>
      <c r="CN24" s="25"/>
      <c r="CR24" s="27"/>
      <c r="CS24" s="27"/>
      <c r="CT24" s="25"/>
      <c r="CU24" s="25"/>
      <c r="CY24" s="27"/>
      <c r="CZ24" s="27"/>
      <c r="DA24" s="25"/>
      <c r="DB24" s="25"/>
      <c r="EH24" s="27"/>
      <c r="EI24" s="27"/>
      <c r="EJ24" s="25"/>
      <c r="EK24" s="25"/>
      <c r="EO24" s="27"/>
      <c r="EP24" s="27"/>
      <c r="EQ24" s="25"/>
      <c r="ER24" s="25"/>
    </row>
    <row r="25" spans="1:152" x14ac:dyDescent="0.3">
      <c r="B25" s="253" t="s">
        <v>150</v>
      </c>
      <c r="C25" s="90"/>
      <c r="D25" s="90"/>
      <c r="E25" s="90"/>
      <c r="F25" s="91"/>
      <c r="G25" s="92"/>
      <c r="H25" s="93"/>
      <c r="I25" s="305"/>
      <c r="J25" s="242"/>
      <c r="K25" s="145"/>
      <c r="L25" s="145"/>
      <c r="S25" s="19"/>
      <c r="T25" s="25"/>
      <c r="U25" s="25"/>
      <c r="V25" s="61"/>
      <c r="W25" s="61"/>
      <c r="X25" s="5"/>
      <c r="Y25" s="25"/>
      <c r="Z25" s="25"/>
      <c r="AA25" s="25"/>
      <c r="AB25" s="25"/>
      <c r="AC25" s="61"/>
      <c r="AD25" s="61"/>
      <c r="AE25" s="5"/>
      <c r="AF25" s="25"/>
      <c r="AG25" s="25"/>
      <c r="AH25" s="25"/>
      <c r="AI25" s="25"/>
      <c r="AJ25" s="61"/>
      <c r="AK25" s="61"/>
      <c r="AL25" s="5"/>
      <c r="AM25" s="25"/>
      <c r="AN25" s="25"/>
      <c r="BI25" s="9"/>
      <c r="BJ25" s="9"/>
      <c r="BK25" s="9"/>
      <c r="BL25" s="9"/>
      <c r="BM25" s="9"/>
      <c r="BN25" s="9"/>
      <c r="BO25" s="9"/>
      <c r="BP25" s="9"/>
      <c r="BQ25" s="9"/>
      <c r="BR25" s="25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EA25" s="30"/>
      <c r="EB25" s="9"/>
      <c r="EC25" s="30"/>
      <c r="ED25" s="9"/>
      <c r="EE25" s="9"/>
      <c r="EF25" s="31"/>
      <c r="EG25" s="9"/>
      <c r="EH25" s="33"/>
      <c r="EJ25" s="33"/>
      <c r="EM25" s="33"/>
      <c r="EO25" s="33"/>
      <c r="EQ25" s="33"/>
      <c r="ET25" s="33"/>
    </row>
    <row r="26" spans="1:152" x14ac:dyDescent="0.3">
      <c r="B26" s="254" t="s">
        <v>67</v>
      </c>
      <c r="C26" s="82"/>
      <c r="D26" s="82"/>
      <c r="E26" s="82"/>
      <c r="F26" s="82"/>
      <c r="G26" s="82"/>
      <c r="H26" s="83"/>
      <c r="I26" s="121"/>
      <c r="J26" s="122"/>
      <c r="K26" s="122"/>
      <c r="L26" s="122"/>
      <c r="M26" s="25"/>
      <c r="N26" s="25"/>
      <c r="O26" s="25"/>
      <c r="P26" s="25"/>
      <c r="T26" s="84"/>
      <c r="U26" s="84"/>
      <c r="X26" s="84"/>
      <c r="Z26" s="84"/>
      <c r="AA26" s="84"/>
      <c r="AB26" s="84"/>
      <c r="AE26" s="84"/>
      <c r="AG26" s="84"/>
      <c r="AH26" s="84"/>
      <c r="AI26" s="84"/>
      <c r="AL26" s="84"/>
      <c r="AN26" s="84"/>
      <c r="BI26" s="9"/>
      <c r="BJ26" s="9"/>
      <c r="BK26" s="9"/>
      <c r="BL26" s="9"/>
      <c r="BM26" s="9"/>
      <c r="BN26" s="9"/>
      <c r="BO26" s="9"/>
      <c r="BP26" s="9"/>
      <c r="BQ26" s="25"/>
      <c r="BR26" s="25"/>
      <c r="BS26" s="25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EA26" s="30"/>
      <c r="EB26" s="9"/>
      <c r="EC26" s="30"/>
      <c r="ED26" s="9"/>
      <c r="EE26" s="9"/>
      <c r="EF26" s="31"/>
      <c r="EG26" s="9"/>
      <c r="EH26" s="33"/>
      <c r="EJ26" s="33"/>
      <c r="EM26" s="33"/>
      <c r="EO26" s="33"/>
      <c r="EQ26" s="33"/>
      <c r="ET26" s="33"/>
    </row>
    <row r="27" spans="1:152" x14ac:dyDescent="0.3">
      <c r="B27" s="257" t="s">
        <v>118</v>
      </c>
      <c r="C27" s="85"/>
      <c r="D27" s="85"/>
      <c r="E27" s="85"/>
      <c r="F27" s="85"/>
      <c r="G27" s="85"/>
      <c r="H27" s="86"/>
      <c r="I27" s="121"/>
      <c r="J27" s="122"/>
      <c r="K27" s="122"/>
      <c r="L27" s="122"/>
      <c r="M27" s="25"/>
      <c r="N27" s="25"/>
      <c r="O27" s="25"/>
      <c r="P27" s="25"/>
      <c r="T27" s="84"/>
      <c r="U27" s="84"/>
      <c r="X27" s="84"/>
      <c r="Z27" s="84"/>
      <c r="AA27" s="84"/>
      <c r="AB27" s="84"/>
      <c r="AE27" s="84"/>
      <c r="AG27" s="84"/>
      <c r="AH27" s="84"/>
      <c r="AI27" s="84"/>
      <c r="AL27" s="84"/>
      <c r="AN27" s="84"/>
      <c r="BI27" s="9"/>
      <c r="BJ27" s="9"/>
      <c r="BK27" s="9"/>
      <c r="BL27" s="9"/>
      <c r="BM27" s="9"/>
      <c r="BN27" s="9"/>
      <c r="BO27" s="9"/>
      <c r="BP27" s="9"/>
      <c r="BQ27" s="25"/>
      <c r="BR27" s="25"/>
      <c r="BS27" s="25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EA27" s="30"/>
      <c r="EB27" s="9"/>
      <c r="EC27" s="30"/>
      <c r="ED27" s="9"/>
      <c r="EE27" s="9"/>
      <c r="EF27" s="31"/>
      <c r="EG27" s="9"/>
      <c r="EH27" s="33"/>
      <c r="EJ27" s="33"/>
      <c r="EM27" s="33"/>
      <c r="EO27" s="33"/>
      <c r="EQ27" s="33"/>
      <c r="ET27" s="33"/>
    </row>
    <row r="28" spans="1:152" x14ac:dyDescent="0.3">
      <c r="B28" s="33" t="s">
        <v>145</v>
      </c>
      <c r="E28" s="9"/>
      <c r="F28" s="9"/>
      <c r="G28" s="6"/>
      <c r="H28" s="14"/>
      <c r="I28" s="87"/>
      <c r="J28" s="87"/>
      <c r="K28" s="87"/>
      <c r="L28" s="87"/>
      <c r="T28" s="84"/>
      <c r="U28" s="84"/>
      <c r="X28" s="84"/>
      <c r="Z28" s="84"/>
      <c r="AA28" s="84"/>
      <c r="AB28" s="84"/>
      <c r="AE28" s="84"/>
      <c r="AG28" s="84"/>
      <c r="AH28" s="84"/>
      <c r="AI28" s="84"/>
      <c r="AL28" s="84"/>
      <c r="AN28" s="84"/>
      <c r="BI28" s="9"/>
      <c r="BJ28" s="9"/>
      <c r="BK28" s="9"/>
      <c r="BL28" s="9"/>
      <c r="BM28" s="9"/>
      <c r="BN28" s="9"/>
      <c r="BO28" s="9"/>
      <c r="BW28" s="9"/>
      <c r="BX28" s="9"/>
      <c r="BY28" s="9"/>
      <c r="BZ28" s="9"/>
      <c r="CA28" s="9"/>
      <c r="CB28" s="9"/>
      <c r="CC28" s="9"/>
      <c r="CD28" s="9"/>
      <c r="CE28" s="25"/>
      <c r="CF28" s="25"/>
      <c r="CG28" s="25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EA28" s="30"/>
      <c r="EB28" s="9"/>
      <c r="EC28" s="30"/>
      <c r="ED28" s="9"/>
      <c r="EE28" s="9"/>
      <c r="EF28" s="31"/>
      <c r="EG28" s="9"/>
      <c r="EH28" s="33"/>
      <c r="EJ28" s="33"/>
      <c r="EM28" s="33"/>
      <c r="EO28" s="33"/>
      <c r="EQ28" s="33"/>
      <c r="ET28" s="33"/>
    </row>
    <row r="29" spans="1:152" x14ac:dyDescent="0.3">
      <c r="B29" s="33" t="s">
        <v>52</v>
      </c>
    </row>
  </sheetData>
  <sortState ref="A7:EV17">
    <sortCondition descending="1" ref="F7:F17"/>
    <sortCondition descending="1" ref="H7:H17"/>
    <sortCondition descending="1" ref="E7:E17"/>
  </sortState>
  <mergeCells count="57">
    <mergeCell ref="K1:R1"/>
    <mergeCell ref="K2:R2"/>
    <mergeCell ref="EA3:EG3"/>
    <mergeCell ref="EH1:EN1"/>
    <mergeCell ref="EH2:EN2"/>
    <mergeCell ref="EH3:EN3"/>
    <mergeCell ref="BB3:BH3"/>
    <mergeCell ref="CK3:CQ3"/>
    <mergeCell ref="BW2:CC2"/>
    <mergeCell ref="AO1:AQ1"/>
    <mergeCell ref="BW1:CC1"/>
    <mergeCell ref="BP3:BV3"/>
    <mergeCell ref="BP2:BV2"/>
    <mergeCell ref="BI2:BO2"/>
    <mergeCell ref="AU3:BA3"/>
    <mergeCell ref="BI1:BO1"/>
    <mergeCell ref="EO1:EU1"/>
    <mergeCell ref="EO2:EU2"/>
    <mergeCell ref="EO3:EU3"/>
    <mergeCell ref="EA1:EG1"/>
    <mergeCell ref="EA2:EG2"/>
    <mergeCell ref="CD1:CJ1"/>
    <mergeCell ref="BI3:BO3"/>
    <mergeCell ref="CD2:CJ2"/>
    <mergeCell ref="CK2:CQ2"/>
    <mergeCell ref="BP1:BV1"/>
    <mergeCell ref="CK1:CQ1"/>
    <mergeCell ref="BW3:CC3"/>
    <mergeCell ref="CD3:CJ3"/>
    <mergeCell ref="DT1:DZ1"/>
    <mergeCell ref="DT2:DZ2"/>
    <mergeCell ref="DT3:DZ3"/>
    <mergeCell ref="CR1:CX1"/>
    <mergeCell ref="DF2:DL2"/>
    <mergeCell ref="DF1:DL1"/>
    <mergeCell ref="CY1:DE1"/>
    <mergeCell ref="CY2:DE2"/>
    <mergeCell ref="CR2:CX2"/>
    <mergeCell ref="DF3:DL3"/>
    <mergeCell ref="CR3:CX3"/>
    <mergeCell ref="DM2:DS2"/>
    <mergeCell ref="DM1:DS1"/>
    <mergeCell ref="DM3:DS3"/>
    <mergeCell ref="CY3:DE3"/>
    <mergeCell ref="AU1:BA1"/>
    <mergeCell ref="AR2:AT2"/>
    <mergeCell ref="BB1:BH1"/>
    <mergeCell ref="AO2:AQ2"/>
    <mergeCell ref="T1:Z1"/>
    <mergeCell ref="AA1:AG1"/>
    <mergeCell ref="T2:Z2"/>
    <mergeCell ref="AR1:AT1"/>
    <mergeCell ref="AA2:AG2"/>
    <mergeCell ref="BB2:BH2"/>
    <mergeCell ref="AU2:BA2"/>
    <mergeCell ref="AH2:AN2"/>
    <mergeCell ref="AH1:AN1"/>
  </mergeCells>
  <phoneticPr fontId="0" type="noConversion"/>
  <pageMargins left="0.74803149606299213" right="0.74803149606299213" top="0.98425196850393704" bottom="0.98425196850393704" header="0.51181102362204722" footer="0.51181102362204722"/>
  <pageSetup scale="34" fitToWidth="2" orientation="portrait" r:id="rId1"/>
  <headerFooter alignWithMargins="0">
    <oddHeader>&amp;L&amp;A&amp;R&amp;F</oddHeader>
    <oddFooter>&amp;CPage &amp;P</oddFooter>
  </headerFooter>
  <colBreaks count="4" manualBreakCount="4">
    <brk id="26" max="34" man="1"/>
    <brk id="53" max="34" man="1"/>
    <brk id="81" max="29" man="1"/>
    <brk id="109" max="2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4"/>
  <sheetViews>
    <sheetView view="pageBreakPreview" zoomScale="80" zoomScaleNormal="80" zoomScaleSheetLayoutView="7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9.1796875" defaultRowHeight="13" x14ac:dyDescent="0.3"/>
  <cols>
    <col min="1" max="1" width="5.7265625" style="126" customWidth="1"/>
    <col min="2" max="2" width="25.7265625" style="33" customWidth="1"/>
    <col min="3" max="4" width="7.7265625" style="126" customWidth="1"/>
    <col min="5" max="6" width="8.7265625" style="126" customWidth="1"/>
    <col min="7" max="7" width="8.7265625" style="95" customWidth="1"/>
    <col min="8" max="10" width="8.7265625" style="118" customWidth="1"/>
    <col min="11" max="15" width="8.7265625" style="126" customWidth="1"/>
    <col min="16" max="77" width="8.7265625" style="125" customWidth="1"/>
    <col min="78" max="16384" width="9.1796875" style="33"/>
  </cols>
  <sheetData>
    <row r="1" spans="1:78" s="11" customFormat="1" x14ac:dyDescent="0.3">
      <c r="A1" s="1"/>
      <c r="B1" s="2" t="s">
        <v>19</v>
      </c>
      <c r="C1" s="2"/>
      <c r="D1" s="2"/>
      <c r="E1" s="94"/>
      <c r="F1" s="13"/>
      <c r="G1" s="95"/>
      <c r="H1" s="96"/>
      <c r="I1" s="96"/>
      <c r="J1" s="96"/>
      <c r="K1" s="355" t="s">
        <v>12</v>
      </c>
      <c r="L1" s="356"/>
      <c r="M1" s="356"/>
      <c r="N1" s="357"/>
      <c r="O1" s="46" t="s">
        <v>143</v>
      </c>
      <c r="P1" s="355" t="s">
        <v>106</v>
      </c>
      <c r="Q1" s="356"/>
      <c r="R1" s="356"/>
      <c r="S1" s="357"/>
      <c r="T1" s="355" t="s">
        <v>114</v>
      </c>
      <c r="U1" s="356"/>
      <c r="V1" s="356"/>
      <c r="W1" s="357"/>
      <c r="X1" s="355" t="s">
        <v>153</v>
      </c>
      <c r="Y1" s="356"/>
      <c r="Z1" s="356"/>
      <c r="AA1" s="357"/>
      <c r="AB1" s="371" t="s">
        <v>16</v>
      </c>
      <c r="AC1" s="372"/>
      <c r="AD1" s="372"/>
      <c r="AE1" s="371" t="s">
        <v>10</v>
      </c>
      <c r="AF1" s="372"/>
      <c r="AG1" s="372"/>
      <c r="AH1" s="355" t="s">
        <v>99</v>
      </c>
      <c r="AI1" s="370"/>
      <c r="AJ1" s="370"/>
      <c r="AK1" s="359"/>
      <c r="AL1" s="355"/>
      <c r="AM1" s="370"/>
      <c r="AN1" s="370"/>
      <c r="AO1" s="359"/>
      <c r="AP1" s="355"/>
      <c r="AQ1" s="370"/>
      <c r="AR1" s="370"/>
      <c r="AS1" s="359"/>
      <c r="AT1" s="355"/>
      <c r="AU1" s="370"/>
      <c r="AV1" s="370"/>
      <c r="AW1" s="359"/>
      <c r="AX1" s="355"/>
      <c r="AY1" s="370"/>
      <c r="AZ1" s="370"/>
      <c r="BA1" s="359"/>
      <c r="BB1" s="355"/>
      <c r="BC1" s="370"/>
      <c r="BD1" s="370"/>
      <c r="BE1" s="359"/>
      <c r="BF1" s="355"/>
      <c r="BG1" s="370"/>
      <c r="BH1" s="370"/>
      <c r="BI1" s="359"/>
      <c r="BJ1" s="355"/>
      <c r="BK1" s="370"/>
      <c r="BL1" s="370"/>
      <c r="BM1" s="359"/>
      <c r="BN1" s="355"/>
      <c r="BO1" s="370"/>
      <c r="BP1" s="370"/>
      <c r="BQ1" s="359"/>
      <c r="BR1" s="355"/>
      <c r="BS1" s="370"/>
      <c r="BT1" s="370"/>
      <c r="BU1" s="359"/>
      <c r="BV1" s="355"/>
      <c r="BW1" s="358"/>
      <c r="BX1" s="358"/>
      <c r="BY1" s="359"/>
    </row>
    <row r="2" spans="1:78" s="11" customFormat="1" x14ac:dyDescent="0.3">
      <c r="A2" s="15"/>
      <c r="B2" s="13" t="s">
        <v>21</v>
      </c>
      <c r="C2" s="13"/>
      <c r="D2" s="13"/>
      <c r="E2" s="94"/>
      <c r="F2" s="13"/>
      <c r="G2" s="99"/>
      <c r="H2" s="5">
        <v>222.1</v>
      </c>
      <c r="I2" s="5">
        <v>228.7</v>
      </c>
      <c r="J2" s="5">
        <v>235.7</v>
      </c>
      <c r="K2" s="355" t="s">
        <v>11</v>
      </c>
      <c r="L2" s="356"/>
      <c r="M2" s="356"/>
      <c r="N2" s="357"/>
      <c r="O2" s="46" t="s">
        <v>11</v>
      </c>
      <c r="P2" s="355" t="s">
        <v>103</v>
      </c>
      <c r="Q2" s="356"/>
      <c r="R2" s="356"/>
      <c r="S2" s="357"/>
      <c r="T2" s="355" t="s">
        <v>115</v>
      </c>
      <c r="U2" s="356"/>
      <c r="V2" s="356"/>
      <c r="W2" s="357"/>
      <c r="X2" s="355" t="s">
        <v>154</v>
      </c>
      <c r="Y2" s="356"/>
      <c r="Z2" s="356"/>
      <c r="AA2" s="357"/>
      <c r="AB2" s="371" t="s">
        <v>17</v>
      </c>
      <c r="AC2" s="372"/>
      <c r="AD2" s="372"/>
      <c r="AE2" s="371" t="s">
        <v>11</v>
      </c>
      <c r="AF2" s="372"/>
      <c r="AG2" s="372"/>
      <c r="AH2" s="355" t="s">
        <v>100</v>
      </c>
      <c r="AI2" s="356"/>
      <c r="AJ2" s="356"/>
      <c r="AK2" s="356"/>
      <c r="AL2" s="355"/>
      <c r="AM2" s="356"/>
      <c r="AN2" s="356"/>
      <c r="AO2" s="356"/>
      <c r="AP2" s="355"/>
      <c r="AQ2" s="356"/>
      <c r="AR2" s="356"/>
      <c r="AS2" s="356"/>
      <c r="AT2" s="355"/>
      <c r="AU2" s="356"/>
      <c r="AV2" s="356"/>
      <c r="AW2" s="356"/>
      <c r="AX2" s="355"/>
      <c r="AY2" s="356"/>
      <c r="AZ2" s="356"/>
      <c r="BA2" s="357"/>
      <c r="BB2" s="355"/>
      <c r="BC2" s="356"/>
      <c r="BD2" s="356"/>
      <c r="BE2" s="356"/>
      <c r="BF2" s="367"/>
      <c r="BG2" s="368"/>
      <c r="BH2" s="368"/>
      <c r="BI2" s="369"/>
      <c r="BJ2" s="355"/>
      <c r="BK2" s="356"/>
      <c r="BL2" s="356"/>
      <c r="BM2" s="356"/>
      <c r="BN2" s="355"/>
      <c r="BO2" s="356"/>
      <c r="BP2" s="356"/>
      <c r="BQ2" s="356"/>
      <c r="BR2" s="355"/>
      <c r="BS2" s="356"/>
      <c r="BT2" s="356"/>
      <c r="BU2" s="356"/>
      <c r="BV2" s="355"/>
      <c r="BW2" s="356"/>
      <c r="BX2" s="356"/>
      <c r="BY2" s="357"/>
    </row>
    <row r="3" spans="1:78" s="11" customFormat="1" x14ac:dyDescent="0.3">
      <c r="A3" s="15"/>
      <c r="B3" s="2" t="s">
        <v>35</v>
      </c>
      <c r="C3" s="2"/>
      <c r="D3" s="2"/>
      <c r="E3" s="94"/>
      <c r="F3" s="13"/>
      <c r="G3" s="99"/>
      <c r="H3" s="100"/>
      <c r="I3" s="100"/>
      <c r="J3" s="100"/>
      <c r="K3" s="102"/>
      <c r="L3" s="126"/>
      <c r="M3" s="126"/>
      <c r="N3" s="127"/>
      <c r="O3" s="15"/>
      <c r="P3" s="20">
        <v>81.599999999999994</v>
      </c>
      <c r="Q3" s="16">
        <v>83.5</v>
      </c>
      <c r="R3" s="8">
        <v>86.3</v>
      </c>
      <c r="S3" s="21">
        <v>89.1</v>
      </c>
      <c r="T3" s="20">
        <v>86.7</v>
      </c>
      <c r="U3" s="16">
        <v>88.1</v>
      </c>
      <c r="V3" s="8">
        <v>90.5</v>
      </c>
      <c r="W3" s="21">
        <v>93.2</v>
      </c>
      <c r="X3" s="20">
        <v>86.7</v>
      </c>
      <c r="Y3" s="16">
        <v>88.1</v>
      </c>
      <c r="Z3" s="8">
        <v>90.5</v>
      </c>
      <c r="AA3" s="21">
        <v>93.2</v>
      </c>
      <c r="AB3" s="329"/>
      <c r="AC3" s="259"/>
      <c r="AD3" s="259"/>
      <c r="AE3" s="329"/>
      <c r="AF3" s="259"/>
      <c r="AG3" s="259"/>
      <c r="AH3" s="364"/>
      <c r="AI3" s="365"/>
      <c r="AJ3" s="365"/>
      <c r="AK3" s="366"/>
      <c r="AL3" s="364"/>
      <c r="AM3" s="365"/>
      <c r="AN3" s="365"/>
      <c r="AO3" s="366"/>
      <c r="AP3" s="364"/>
      <c r="AQ3" s="365"/>
      <c r="AR3" s="365"/>
      <c r="AS3" s="366"/>
      <c r="AT3" s="364"/>
      <c r="AU3" s="365"/>
      <c r="AV3" s="365"/>
      <c r="AW3" s="366"/>
      <c r="AX3" s="364"/>
      <c r="AY3" s="365"/>
      <c r="AZ3" s="365"/>
      <c r="BA3" s="366"/>
      <c r="BB3" s="364"/>
      <c r="BC3" s="365"/>
      <c r="BD3" s="365"/>
      <c r="BE3" s="366"/>
      <c r="BF3" s="364"/>
      <c r="BG3" s="365"/>
      <c r="BH3" s="365"/>
      <c r="BI3" s="366"/>
      <c r="BJ3" s="124"/>
      <c r="BK3" s="125"/>
      <c r="BL3" s="125"/>
      <c r="BM3" s="125"/>
      <c r="BN3" s="124"/>
      <c r="BO3" s="125"/>
      <c r="BP3" s="125"/>
      <c r="BQ3" s="125"/>
      <c r="BR3" s="124"/>
      <c r="BS3" s="125"/>
      <c r="BT3" s="125"/>
      <c r="BU3" s="125"/>
      <c r="BV3" s="124"/>
      <c r="BW3" s="125"/>
      <c r="BX3" s="125"/>
      <c r="BY3" s="128"/>
    </row>
    <row r="4" spans="1:78" s="11" customFormat="1" x14ac:dyDescent="0.3">
      <c r="A4" s="15"/>
      <c r="B4" s="2" t="s">
        <v>22</v>
      </c>
      <c r="C4" s="2"/>
      <c r="D4" s="15" t="s">
        <v>42</v>
      </c>
      <c r="E4" s="102" t="s">
        <v>8</v>
      </c>
      <c r="F4" s="103" t="s">
        <v>44</v>
      </c>
      <c r="G4" s="95" t="s">
        <v>34</v>
      </c>
      <c r="H4" s="96" t="s">
        <v>9</v>
      </c>
      <c r="I4" s="97" t="s">
        <v>14</v>
      </c>
      <c r="J4" s="104" t="s">
        <v>41</v>
      </c>
      <c r="K4" s="102" t="s">
        <v>4</v>
      </c>
      <c r="L4" s="126" t="s">
        <v>4</v>
      </c>
      <c r="M4" s="126" t="s">
        <v>4</v>
      </c>
      <c r="N4" s="127" t="s">
        <v>4</v>
      </c>
      <c r="O4" s="15" t="s">
        <v>4</v>
      </c>
      <c r="P4" s="167" t="s">
        <v>34</v>
      </c>
      <c r="Q4" s="96" t="s">
        <v>9</v>
      </c>
      <c r="R4" s="97" t="s">
        <v>14</v>
      </c>
      <c r="S4" s="104" t="s">
        <v>41</v>
      </c>
      <c r="T4" s="167" t="s">
        <v>34</v>
      </c>
      <c r="U4" s="96" t="s">
        <v>9</v>
      </c>
      <c r="V4" s="97" t="s">
        <v>14</v>
      </c>
      <c r="W4" s="104" t="s">
        <v>41</v>
      </c>
      <c r="X4" s="167" t="s">
        <v>34</v>
      </c>
      <c r="Y4" s="96" t="s">
        <v>9</v>
      </c>
      <c r="Z4" s="97" t="s">
        <v>14</v>
      </c>
      <c r="AA4" s="104" t="s">
        <v>41</v>
      </c>
      <c r="AB4" s="329" t="s">
        <v>4</v>
      </c>
      <c r="AC4" s="334" t="s">
        <v>4</v>
      </c>
      <c r="AD4" s="259" t="s">
        <v>4</v>
      </c>
      <c r="AE4" s="329" t="s">
        <v>4</v>
      </c>
      <c r="AF4" s="334" t="s">
        <v>4</v>
      </c>
      <c r="AG4" s="259" t="s">
        <v>4</v>
      </c>
      <c r="AH4" s="124"/>
      <c r="AI4" s="125"/>
      <c r="AJ4" s="125"/>
      <c r="AK4" s="125"/>
      <c r="AL4" s="124"/>
      <c r="AM4" s="125"/>
      <c r="AN4" s="125"/>
      <c r="AO4" s="125"/>
      <c r="AP4" s="124"/>
      <c r="AQ4" s="125"/>
      <c r="AR4" s="125"/>
      <c r="AS4" s="125"/>
      <c r="AT4" s="124"/>
      <c r="AU4" s="125"/>
      <c r="AV4" s="125"/>
      <c r="AW4" s="125"/>
      <c r="AX4" s="124"/>
      <c r="AY4" s="125"/>
      <c r="AZ4" s="125"/>
      <c r="BA4" s="125"/>
      <c r="BB4" s="124"/>
      <c r="BC4" s="125"/>
      <c r="BD4" s="125"/>
      <c r="BE4" s="125"/>
      <c r="BF4" s="124"/>
      <c r="BG4" s="125"/>
      <c r="BH4" s="125"/>
      <c r="BI4" s="125"/>
      <c r="BJ4" s="124"/>
      <c r="BK4" s="125"/>
      <c r="BL4" s="125"/>
      <c r="BM4" s="125"/>
      <c r="BN4" s="124"/>
      <c r="BO4" s="125"/>
      <c r="BP4" s="125"/>
      <c r="BQ4" s="128"/>
      <c r="BR4" s="124"/>
      <c r="BS4" s="125"/>
      <c r="BT4" s="125"/>
      <c r="BU4" s="128"/>
      <c r="BV4" s="124"/>
      <c r="BW4" s="125"/>
      <c r="BX4" s="125"/>
      <c r="BY4" s="128"/>
      <c r="BZ4" s="124"/>
    </row>
    <row r="5" spans="1:78" s="11" customFormat="1" x14ac:dyDescent="0.3">
      <c r="A5" s="15"/>
      <c r="B5" s="35" t="str">
        <f>+'TRA-M'!$A$1</f>
        <v>JULY 2017</v>
      </c>
      <c r="C5" s="36" t="s">
        <v>23</v>
      </c>
      <c r="D5" s="36" t="s">
        <v>43</v>
      </c>
      <c r="E5" s="102" t="s">
        <v>7</v>
      </c>
      <c r="F5" s="37">
        <v>18</v>
      </c>
      <c r="G5" s="95" t="s">
        <v>13</v>
      </c>
      <c r="H5" s="96" t="s">
        <v>13</v>
      </c>
      <c r="I5" s="97" t="s">
        <v>13</v>
      </c>
      <c r="J5" s="104" t="s">
        <v>13</v>
      </c>
      <c r="K5" s="102" t="s">
        <v>2</v>
      </c>
      <c r="L5" s="126" t="s">
        <v>5</v>
      </c>
      <c r="M5" s="126" t="s">
        <v>6</v>
      </c>
      <c r="N5" s="127" t="s">
        <v>3</v>
      </c>
      <c r="O5" s="15" t="s">
        <v>15</v>
      </c>
      <c r="P5" s="281" t="s">
        <v>0</v>
      </c>
      <c r="Q5" s="282" t="s">
        <v>1</v>
      </c>
      <c r="R5" s="282" t="s">
        <v>2</v>
      </c>
      <c r="S5" s="283" t="s">
        <v>3</v>
      </c>
      <c r="T5" s="281" t="s">
        <v>0</v>
      </c>
      <c r="U5" s="282" t="s">
        <v>1</v>
      </c>
      <c r="V5" s="282" t="s">
        <v>2</v>
      </c>
      <c r="W5" s="283" t="s">
        <v>3</v>
      </c>
      <c r="X5" s="124" t="s">
        <v>0</v>
      </c>
      <c r="Y5" s="125" t="s">
        <v>1</v>
      </c>
      <c r="Z5" s="125" t="s">
        <v>2</v>
      </c>
      <c r="AA5" s="128" t="s">
        <v>3</v>
      </c>
      <c r="AB5" s="329" t="s">
        <v>0</v>
      </c>
      <c r="AC5" s="334" t="s">
        <v>6</v>
      </c>
      <c r="AD5" s="259" t="s">
        <v>3</v>
      </c>
      <c r="AE5" s="329" t="s">
        <v>0</v>
      </c>
      <c r="AF5" s="334" t="s">
        <v>6</v>
      </c>
      <c r="AG5" s="259" t="s">
        <v>3</v>
      </c>
      <c r="AH5" s="124" t="s">
        <v>0</v>
      </c>
      <c r="AI5" s="125" t="s">
        <v>1</v>
      </c>
      <c r="AJ5" s="125" t="s">
        <v>2</v>
      </c>
      <c r="AK5" s="125" t="s">
        <v>3</v>
      </c>
      <c r="AL5" s="124" t="s">
        <v>0</v>
      </c>
      <c r="AM5" s="125" t="s">
        <v>1</v>
      </c>
      <c r="AN5" s="125" t="s">
        <v>2</v>
      </c>
      <c r="AO5" s="125" t="s">
        <v>3</v>
      </c>
      <c r="AP5" s="124" t="s">
        <v>0</v>
      </c>
      <c r="AQ5" s="125" t="s">
        <v>1</v>
      </c>
      <c r="AR5" s="125" t="s">
        <v>2</v>
      </c>
      <c r="AS5" s="125" t="s">
        <v>3</v>
      </c>
      <c r="AT5" s="124" t="s">
        <v>0</v>
      </c>
      <c r="AU5" s="125" t="s">
        <v>1</v>
      </c>
      <c r="AV5" s="125" t="s">
        <v>2</v>
      </c>
      <c r="AW5" s="125" t="s">
        <v>3</v>
      </c>
      <c r="AX5" s="124" t="s">
        <v>0</v>
      </c>
      <c r="AY5" s="125" t="s">
        <v>1</v>
      </c>
      <c r="AZ5" s="125" t="s">
        <v>2</v>
      </c>
      <c r="BA5" s="125" t="s">
        <v>3</v>
      </c>
      <c r="BB5" s="124" t="s">
        <v>0</v>
      </c>
      <c r="BC5" s="125" t="s">
        <v>1</v>
      </c>
      <c r="BD5" s="125" t="s">
        <v>2</v>
      </c>
      <c r="BE5" s="125" t="s">
        <v>3</v>
      </c>
      <c r="BF5" s="124" t="s">
        <v>0</v>
      </c>
      <c r="BG5" s="125" t="s">
        <v>1</v>
      </c>
      <c r="BH5" s="125" t="s">
        <v>2</v>
      </c>
      <c r="BI5" s="125" t="s">
        <v>3</v>
      </c>
      <c r="BJ5" s="124" t="s">
        <v>0</v>
      </c>
      <c r="BK5" s="125" t="s">
        <v>1</v>
      </c>
      <c r="BL5" s="125" t="s">
        <v>2</v>
      </c>
      <c r="BM5" s="125" t="s">
        <v>3</v>
      </c>
      <c r="BN5" s="124" t="s">
        <v>0</v>
      </c>
      <c r="BO5" s="125" t="s">
        <v>1</v>
      </c>
      <c r="BP5" s="125" t="s">
        <v>2</v>
      </c>
      <c r="BQ5" s="128" t="s">
        <v>3</v>
      </c>
      <c r="BR5" s="124" t="s">
        <v>0</v>
      </c>
      <c r="BS5" s="125" t="s">
        <v>1</v>
      </c>
      <c r="BT5" s="125" t="s">
        <v>2</v>
      </c>
      <c r="BU5" s="128" t="s">
        <v>3</v>
      </c>
      <c r="BV5" s="124" t="s">
        <v>0</v>
      </c>
      <c r="BW5" s="125" t="s">
        <v>1</v>
      </c>
      <c r="BX5" s="125" t="s">
        <v>2</v>
      </c>
      <c r="BY5" s="128" t="s">
        <v>3</v>
      </c>
      <c r="BZ5" s="124"/>
    </row>
    <row r="6" spans="1:78" s="11" customFormat="1" x14ac:dyDescent="0.3">
      <c r="A6" s="15"/>
      <c r="C6" s="15"/>
      <c r="D6" s="15"/>
      <c r="E6" s="102"/>
      <c r="F6" s="126"/>
      <c r="G6" s="95"/>
      <c r="H6" s="96"/>
      <c r="I6" s="96"/>
      <c r="J6" s="96"/>
      <c r="K6" s="102"/>
      <c r="L6" s="126"/>
      <c r="M6" s="126"/>
      <c r="N6" s="127"/>
      <c r="O6" s="15"/>
      <c r="P6" s="281"/>
      <c r="Q6" s="282"/>
      <c r="R6" s="282"/>
      <c r="S6" s="283"/>
      <c r="T6" s="281"/>
      <c r="U6" s="282"/>
      <c r="V6" s="282"/>
      <c r="W6" s="283"/>
      <c r="X6" s="124"/>
      <c r="Y6" s="125"/>
      <c r="Z6" s="125"/>
      <c r="AA6" s="128"/>
      <c r="AB6" s="259"/>
      <c r="AC6" s="259"/>
      <c r="AD6" s="259"/>
      <c r="AE6" s="329"/>
      <c r="AF6" s="259"/>
      <c r="AG6" s="259"/>
      <c r="AH6" s="124"/>
      <c r="AI6" s="125"/>
      <c r="AJ6" s="125"/>
      <c r="AK6" s="125"/>
      <c r="AL6" s="124"/>
      <c r="AM6" s="125"/>
      <c r="AN6" s="125"/>
      <c r="AO6" s="125"/>
      <c r="AP6" s="124"/>
      <c r="AQ6" s="125"/>
      <c r="AR6" s="125"/>
      <c r="AS6" s="125"/>
      <c r="AT6" s="124"/>
      <c r="AU6" s="125"/>
      <c r="AV6" s="125"/>
      <c r="AW6" s="125"/>
      <c r="AX6" s="124"/>
      <c r="AY6" s="125"/>
      <c r="AZ6" s="125"/>
      <c r="BA6" s="125"/>
      <c r="BB6" s="124"/>
      <c r="BC6" s="125"/>
      <c r="BD6" s="125"/>
      <c r="BE6" s="125"/>
      <c r="BF6" s="124"/>
      <c r="BG6" s="125"/>
      <c r="BH6" s="125"/>
      <c r="BI6" s="125"/>
      <c r="BJ6" s="124"/>
      <c r="BK6" s="125"/>
      <c r="BL6" s="125"/>
      <c r="BM6" s="125"/>
      <c r="BN6" s="124"/>
      <c r="BO6" s="125"/>
      <c r="BP6" s="125"/>
      <c r="BQ6" s="128"/>
      <c r="BR6" s="124"/>
      <c r="BS6" s="125"/>
      <c r="BT6" s="125"/>
      <c r="BU6" s="128"/>
      <c r="BV6" s="124"/>
      <c r="BW6" s="125"/>
      <c r="BX6" s="125"/>
      <c r="BY6" s="128"/>
      <c r="BZ6" s="124"/>
    </row>
    <row r="7" spans="1:78" s="11" customFormat="1" x14ac:dyDescent="0.3">
      <c r="A7" s="126">
        <v>1</v>
      </c>
      <c r="B7" s="212" t="s">
        <v>86</v>
      </c>
      <c r="C7" s="66" t="s">
        <v>27</v>
      </c>
      <c r="D7" s="126">
        <v>2007</v>
      </c>
      <c r="E7" s="40">
        <f>IF(O7="",SUM(K7:N7),SUM(K7:O7))</f>
        <v>226.3</v>
      </c>
      <c r="F7" s="175" t="s">
        <v>45</v>
      </c>
      <c r="G7" s="107" t="str">
        <f>IF('TRA-M'!$A$2-D7&lt;=1,IF(R7&gt;=$P$3,"YES",IF(V7&gt;=$T$3,"YES",IF(Z7&gt;=$X$3,"YES",""))),"")</f>
        <v/>
      </c>
      <c r="H7" s="108" t="str">
        <f>IF(R7&gt;=$Q$3,"YES",IF(V7&gt;=$U$3,"YES",IF(Z7&gt;=$Y$3,"YES","")))</f>
        <v>YES</v>
      </c>
      <c r="I7" s="109" t="str">
        <f>IF(R7&gt;=$R$3,"YES",IF(V7&gt;=$V$3,"YES",IF(Z7&gt;=$Z$3,"YES","")))</f>
        <v>YES</v>
      </c>
      <c r="J7" s="110" t="str">
        <f>IF(R7&gt;=$S$3,"YES",IF(V7&gt;=$W$3,"YES",IF(Z7&gt;=$AA$3,"YES","")))</f>
        <v>YES</v>
      </c>
      <c r="K7" s="129">
        <f>MAX($Z7,$V7,$R7)</f>
        <v>89.5</v>
      </c>
      <c r="L7" s="130">
        <f>IF($K7=$Z7,MAX($T7,$P7),IF($K7=$V7,MAX($X7,$P7),MAX($X7,$T7)))</f>
        <v>41.68</v>
      </c>
      <c r="M7" s="130">
        <f>IF($K7=$Z7,MAX($U7,$Q7),IF($K7=$V7,MAX($Y7,$Q7),MAX($Y7,$U7)))</f>
        <v>44.24</v>
      </c>
      <c r="N7" s="131">
        <f>MAX($AA7,$W7,$S7)</f>
        <v>50.88</v>
      </c>
      <c r="O7" s="19" t="str">
        <f>IF(MAX(AB7:AD7)&lt;=0,"",MAX(AB7:AD7))</f>
        <v/>
      </c>
      <c r="P7" s="277">
        <v>39.299999999999997</v>
      </c>
      <c r="Q7" s="54">
        <v>50.2</v>
      </c>
      <c r="R7" s="47">
        <f>+P7+Q7</f>
        <v>89.5</v>
      </c>
      <c r="S7" s="73">
        <v>18.899999999999999</v>
      </c>
      <c r="T7" s="277">
        <v>41.68</v>
      </c>
      <c r="U7" s="278">
        <v>44.24</v>
      </c>
      <c r="V7" s="47">
        <f>+T7+U7</f>
        <v>85.92</v>
      </c>
      <c r="W7" s="279">
        <v>50.88</v>
      </c>
      <c r="X7" s="277">
        <v>41.24</v>
      </c>
      <c r="Y7" s="53">
        <v>5.05</v>
      </c>
      <c r="Z7" s="47">
        <f>+X7+Y7</f>
        <v>46.29</v>
      </c>
      <c r="AA7" s="279"/>
      <c r="AB7" s="335" t="str">
        <f t="shared" ref="AB7:AD11" si="0">IF(AE7="","",AE7-L7)</f>
        <v/>
      </c>
      <c r="AC7" s="335" t="str">
        <f t="shared" si="0"/>
        <v/>
      </c>
      <c r="AD7" s="335" t="str">
        <f t="shared" si="0"/>
        <v/>
      </c>
      <c r="AE7" s="336" t="str">
        <f>IF(MAX($AH7,$AL7,$AP7,$AT7,$AX7,$BB7,$BF7,$BJ7,$BN7,$BR7,$BV7)=0,"",MAX($AH7,$AL7,$AP7,$AT7,$AX7,$BB7,$BF7,$BJ7,$BN7,$BR7,$BV7))</f>
        <v/>
      </c>
      <c r="AF7" s="335" t="str">
        <f>IF(MAX($AI7,$AM7,$AQ7,$AU7,$AY7,$BC7,$BG7,$BK7,$BO7,$BS7,$BW7)=0,"",MAX($AI7,$AM7,$AQ7,$AU7,$AY7,$BC7,$BG7,$BK7,$BO7,$BS7,$BW7))</f>
        <v/>
      </c>
      <c r="AG7" s="335" t="str">
        <f>IF(MAX($AK7,$AO7,$AS7,$AW7,$BA7,$BE7,$BI7,$BM7,$BQ7,$BU7,$BY7)=0,"",MAX($AK7,$AO7,$AS7,$AW7,$BA7,$BE7,$BI7,$BM7,$BQ7,$BU7,$BY7))</f>
        <v/>
      </c>
      <c r="AH7" s="132"/>
      <c r="AI7" s="133"/>
      <c r="AJ7" s="55" t="str">
        <f>IF(AI7&lt;&gt;"",AH7+AI7,"")</f>
        <v/>
      </c>
      <c r="AK7" s="133"/>
      <c r="AL7" s="132"/>
      <c r="AM7" s="133"/>
      <c r="AN7" s="55" t="str">
        <f>IF(AM7&lt;&gt;"",AL7+AM7,"")</f>
        <v/>
      </c>
      <c r="AO7" s="133"/>
      <c r="AP7" s="132"/>
      <c r="AQ7" s="54"/>
      <c r="AR7" s="55" t="str">
        <f>IF(AQ7&lt;&gt;"",AP7+AQ7,"")</f>
        <v/>
      </c>
      <c r="AS7" s="133"/>
      <c r="AT7" s="132"/>
      <c r="AU7" s="133"/>
      <c r="AV7" s="55" t="str">
        <f>IF(AU7&lt;&gt;"",AT7+AU7,"")</f>
        <v/>
      </c>
      <c r="AW7" s="133"/>
      <c r="AX7" s="132"/>
      <c r="AY7" s="133"/>
      <c r="AZ7" s="55" t="str">
        <f>IF(AY7&lt;&gt;"",AX7+AY7,"")</f>
        <v/>
      </c>
      <c r="BA7" s="133"/>
      <c r="BB7" s="132"/>
      <c r="BC7" s="133"/>
      <c r="BD7" s="55" t="str">
        <f>IF(BC7&lt;&gt;"",BB7+BC7,"")</f>
        <v/>
      </c>
      <c r="BE7" s="133"/>
      <c r="BF7" s="132"/>
      <c r="BG7" s="133"/>
      <c r="BH7" s="55" t="str">
        <f>IF(BG7&lt;&gt;"",BF7+BG7,"")</f>
        <v/>
      </c>
      <c r="BI7" s="133"/>
      <c r="BJ7" s="132"/>
      <c r="BK7" s="133"/>
      <c r="BL7" s="55" t="str">
        <f>IF(BK7&lt;&gt;"",BJ7+BK7,"")</f>
        <v/>
      </c>
      <c r="BM7" s="133"/>
      <c r="BN7" s="132"/>
      <c r="BO7" s="133"/>
      <c r="BP7" s="55" t="str">
        <f>IF(BO7&lt;&gt;"",BN7+BO7,"")</f>
        <v/>
      </c>
      <c r="BQ7" s="134"/>
      <c r="BR7" s="129"/>
      <c r="BS7" s="130"/>
      <c r="BT7" s="111" t="str">
        <f>IF(BS7&lt;&gt;"",BR7+BS7,"")</f>
        <v/>
      </c>
      <c r="BU7" s="134"/>
      <c r="BV7" s="129"/>
      <c r="BW7" s="130"/>
      <c r="BX7" s="111" t="str">
        <f>IF(BW7&lt;&gt;"",BV7+BW7,"")</f>
        <v/>
      </c>
      <c r="BY7" s="134"/>
      <c r="BZ7" s="124"/>
    </row>
    <row r="8" spans="1:78" x14ac:dyDescent="0.3">
      <c r="A8" s="162"/>
      <c r="B8" s="210" t="s">
        <v>134</v>
      </c>
      <c r="C8" s="70" t="s">
        <v>25</v>
      </c>
      <c r="D8" s="126">
        <v>2011</v>
      </c>
      <c r="E8" s="40">
        <f>IF(O8="",SUM(K8:N8),SUM(K8:O8))</f>
        <v>120.62</v>
      </c>
      <c r="F8" s="177"/>
      <c r="G8" s="107" t="str">
        <f>IF('TRA-M'!$A$2-D8&lt;=1,IF(R8&gt;=$P$3,"YES",IF(V8&gt;=$T$3,"YES",IF(Z8&gt;=$X$3,"YES",""))),"")</f>
        <v/>
      </c>
      <c r="H8" s="108" t="str">
        <f>IF(R8&gt;=$Q$3,"YES",IF(V8&gt;=$U$3,"YES",IF(Z8&gt;=$Y$3,"YES","")))</f>
        <v/>
      </c>
      <c r="I8" s="109" t="str">
        <f>IF(R8&gt;=$R$3,"YES",IF(V8&gt;=$V$3,"YES",IF(Z8&gt;=$Z$3,"YES","")))</f>
        <v/>
      </c>
      <c r="J8" s="110" t="str">
        <f>IF(R8&gt;=$S$3,"YES",IF(V8&gt;=$W$3,"YES",IF(Z8&gt;=$AA$3,"YES","")))</f>
        <v/>
      </c>
      <c r="K8" s="129">
        <f>MAX($Z8,$V8,$R8)</f>
        <v>68.64</v>
      </c>
      <c r="L8" s="130">
        <f>IF($K8=$Z8,MAX($T8,$P8),IF($K8=$V8,MAX($X8,$P8),MAX($X8,$T8)))</f>
        <v>5.04</v>
      </c>
      <c r="M8" s="130">
        <f>IF($K8=$Z8,MAX($U8,$Q8),IF($K8=$V8,MAX($Y8,$Q8),MAX($Y8,$U8)))</f>
        <v>38.01</v>
      </c>
      <c r="N8" s="131">
        <f>MAX($AA8,$W8,$S8)</f>
        <v>8.93</v>
      </c>
      <c r="O8" s="19" t="str">
        <f>IF(MAX(AB8:AD8)&lt;=0,"",MAX(AB8:AD8))</f>
        <v/>
      </c>
      <c r="P8" s="277"/>
      <c r="Q8" s="278"/>
      <c r="R8" s="47">
        <f>+P8+Q8</f>
        <v>0</v>
      </c>
      <c r="S8" s="279"/>
      <c r="T8" s="52">
        <v>29.1</v>
      </c>
      <c r="U8" s="278">
        <v>39.54</v>
      </c>
      <c r="V8" s="47">
        <f>+T8+U8</f>
        <v>68.64</v>
      </c>
      <c r="W8" s="73">
        <v>8.93</v>
      </c>
      <c r="X8" s="52">
        <v>5.04</v>
      </c>
      <c r="Y8" s="278">
        <v>38.01</v>
      </c>
      <c r="Z8" s="47">
        <f>+X8+Y8</f>
        <v>43.05</v>
      </c>
      <c r="AA8" s="279"/>
      <c r="AB8" s="336" t="str">
        <f t="shared" si="0"/>
        <v/>
      </c>
      <c r="AC8" s="335" t="str">
        <f t="shared" si="0"/>
        <v/>
      </c>
      <c r="AD8" s="335" t="str">
        <f t="shared" si="0"/>
        <v/>
      </c>
      <c r="AE8" s="336" t="str">
        <f>IF(MAX($AH8,$AL8,$AP8,$AT8,$AX8,$BB8,$BF8,$BJ8,$BN8,$BR8,$BV8)=0,"",MAX($AH8,$AL8,$AP8,$AT8,$AX8,$BB8,$BF8,$BJ8,$BN8,$BR8,$BV8))</f>
        <v/>
      </c>
      <c r="AF8" s="335" t="str">
        <f>IF(MAX($AI8,$AM8,$AQ8,$AU8,$AY8,$BC8,$BG8,$BK8,$BO8,$BS8,$BW8)=0,"",MAX($AI8,$AM8,$AQ8,$AU8,$AY8,$BC8,$BG8,$BK8,$BO8,$BS8,$BW8))</f>
        <v/>
      </c>
      <c r="AG8" s="335" t="str">
        <f>IF(MAX($AK8,$AO8,$AS8,$AW8,$BA8,$BE8,$BI8,$BM8,$BQ8,$BU8,$BY8)=0,"",MAX($AK8,$AO8,$AS8,$AW8,$BA8,$BE8,$BI8,$BM8,$BQ8,$BU8,$BY8))</f>
        <v/>
      </c>
      <c r="AH8" s="132"/>
      <c r="AI8" s="133"/>
      <c r="AJ8" s="55" t="str">
        <f>IF(AI8&lt;&gt;"",AH8+AI8,"")</f>
        <v/>
      </c>
      <c r="AK8" s="133"/>
      <c r="AL8" s="132"/>
      <c r="AM8" s="133"/>
      <c r="AN8" s="55" t="str">
        <f>IF(AM8&lt;&gt;"",AL8+AM8,"")</f>
        <v/>
      </c>
      <c r="AO8" s="133"/>
      <c r="AP8" s="132"/>
      <c r="AQ8" s="133"/>
      <c r="AR8" s="55" t="str">
        <f>IF(AQ8&lt;&gt;"",AP8+AQ8,"")</f>
        <v/>
      </c>
      <c r="AS8" s="133"/>
      <c r="AT8" s="132"/>
      <c r="AU8" s="133"/>
      <c r="AV8" s="55" t="str">
        <f>IF(AU8&lt;&gt;"",AT8+AU8,"")</f>
        <v/>
      </c>
      <c r="AW8" s="133"/>
      <c r="AX8" s="132"/>
      <c r="AY8" s="133"/>
      <c r="AZ8" s="55" t="str">
        <f>IF(AY8&lt;&gt;"",AX8+AY8,"")</f>
        <v/>
      </c>
      <c r="BA8" s="133"/>
      <c r="BB8" s="132"/>
      <c r="BC8" s="133"/>
      <c r="BD8" s="55" t="str">
        <f>IF(BC8&lt;&gt;"",BB8+BC8,"")</f>
        <v/>
      </c>
      <c r="BE8" s="133"/>
      <c r="BF8" s="132"/>
      <c r="BG8" s="133"/>
      <c r="BH8" s="55" t="str">
        <f>IF(BG8&lt;&gt;"",BF8+BG8,"")</f>
        <v/>
      </c>
      <c r="BI8" s="133"/>
      <c r="BJ8" s="132"/>
      <c r="BK8" s="133"/>
      <c r="BL8" s="55" t="str">
        <f>IF(BK8&lt;&gt;"",BJ8+BK8,"")</f>
        <v/>
      </c>
      <c r="BM8" s="133"/>
      <c r="BN8" s="132"/>
      <c r="BO8" s="133"/>
      <c r="BP8" s="55" t="str">
        <f>IF(BO8&lt;&gt;"",BN8+BO8,"")</f>
        <v/>
      </c>
      <c r="BQ8" s="134"/>
      <c r="BR8" s="129"/>
      <c r="BS8" s="133"/>
      <c r="BT8" s="111" t="str">
        <f>IF(BS8&lt;&gt;"",BR8+BS8,"")</f>
        <v/>
      </c>
      <c r="BU8" s="134"/>
      <c r="BV8" s="129"/>
      <c r="BW8" s="133"/>
      <c r="BX8" s="111" t="str">
        <f>IF(BW8&lt;&gt;"",BV8+BW8,"")</f>
        <v/>
      </c>
      <c r="BY8" s="134"/>
      <c r="BZ8" s="124"/>
    </row>
    <row r="9" spans="1:78" x14ac:dyDescent="0.3">
      <c r="A9" s="162"/>
      <c r="B9" s="210" t="s">
        <v>158</v>
      </c>
      <c r="C9" s="70" t="s">
        <v>26</v>
      </c>
      <c r="D9" s="126">
        <v>2011</v>
      </c>
      <c r="E9" s="40">
        <f>IF(O9="",SUM(K9:N9),SUM(K9:O9))</f>
        <v>43.42</v>
      </c>
      <c r="F9" s="177"/>
      <c r="G9" s="107" t="str">
        <f>IF('TRA-M'!$A$2-D9&lt;=1,IF(R9&gt;=$P$3,"YES",IF(V9&gt;=$T$3,"YES",IF(Z9&gt;=$X$3,"YES",""))),"")</f>
        <v/>
      </c>
      <c r="H9" s="108" t="str">
        <f>IF(R9&gt;=$Q$3,"YES",IF(V9&gt;=$U$3,"YES",IF(Z9&gt;=$Y$3,"YES","")))</f>
        <v/>
      </c>
      <c r="I9" s="109" t="str">
        <f>IF(R9&gt;=$R$3,"YES",IF(V9&gt;=$V$3,"YES",IF(Z9&gt;=$Z$3,"YES","")))</f>
        <v/>
      </c>
      <c r="J9" s="110" t="str">
        <f>IF(R9&gt;=$S$3,"YES",IF(V9&gt;=$W$3,"YES",IF(Z9&gt;=$AA$3,"YES","")))</f>
        <v/>
      </c>
      <c r="K9" s="129">
        <f>MAX($Z9,$V9,$R9)</f>
        <v>43.42</v>
      </c>
      <c r="L9" s="130">
        <f>IF($K9=$Z9,MAX($T9,$P9),IF($K9=$V9,MAX($X9,$P9),MAX($X9,$T9)))</f>
        <v>0</v>
      </c>
      <c r="M9" s="130">
        <f>IF($K9=$Z9,MAX($U9,$Q9),IF($K9=$V9,MAX($Y9,$Q9),MAX($Y9,$U9)))</f>
        <v>0</v>
      </c>
      <c r="N9" s="131">
        <f>MAX($AA9,$W9,$S9)</f>
        <v>0</v>
      </c>
      <c r="O9" s="19" t="str">
        <f>IF(MAX(AB9:AD9)&lt;=0,"",MAX(AB9:AD9))</f>
        <v/>
      </c>
      <c r="P9" s="277"/>
      <c r="Q9" s="278"/>
      <c r="R9" s="47">
        <f>+P9+Q9</f>
        <v>0</v>
      </c>
      <c r="S9" s="279"/>
      <c r="T9" s="277"/>
      <c r="U9" s="278"/>
      <c r="V9" s="47">
        <f>+T9+U9</f>
        <v>0</v>
      </c>
      <c r="W9" s="279"/>
      <c r="X9" s="277">
        <v>33.93</v>
      </c>
      <c r="Y9" s="53">
        <v>9.49</v>
      </c>
      <c r="Z9" s="47">
        <f>+X9+Y9</f>
        <v>43.42</v>
      </c>
      <c r="AA9" s="279"/>
      <c r="AB9" s="336" t="str">
        <f t="shared" si="0"/>
        <v/>
      </c>
      <c r="AC9" s="335" t="str">
        <f t="shared" si="0"/>
        <v/>
      </c>
      <c r="AD9" s="335" t="str">
        <f t="shared" si="0"/>
        <v/>
      </c>
      <c r="AE9" s="336" t="str">
        <f>IF(MAX($AH9,$AL9,$AP9,$AT9,$AX9,$BB9,$BF9,$BJ9,$BN9,$BR9,$BV9)=0,"",MAX($AH9,$AL9,$AP9,$AT9,$AX9,$BB9,$BF9,$BJ9,$BN9,$BR9,$BV9))</f>
        <v/>
      </c>
      <c r="AF9" s="335" t="str">
        <f>IF(MAX($AI9,$AM9,$AQ9,$AU9,$AY9,$BC9,$BG9,$BK9,$BO9,$BS9,$BW9)=0,"",MAX($AI9,$AM9,$AQ9,$AU9,$AY9,$BC9,$BG9,$BK9,$BO9,$BS9,$BW9))</f>
        <v/>
      </c>
      <c r="AG9" s="335" t="str">
        <f>IF(MAX($AK9,$AO9,$AS9,$AW9,$BA9,$BE9,$BI9,$BM9,$BQ9,$BU9,$BY9)=0,"",MAX($AK9,$AO9,$AS9,$AW9,$BA9,$BE9,$BI9,$BM9,$BQ9,$BU9,$BY9))</f>
        <v/>
      </c>
      <c r="AH9" s="132"/>
      <c r="AI9" s="133"/>
      <c r="AJ9" s="55" t="str">
        <f>IF(AI9&lt;&gt;"",AH9+AI9,"")</f>
        <v/>
      </c>
      <c r="AK9" s="133"/>
      <c r="AL9" s="132"/>
      <c r="AM9" s="133"/>
      <c r="AN9" s="55" t="str">
        <f>IF(AM9&lt;&gt;"",AL9+AM9,"")</f>
        <v/>
      </c>
      <c r="AO9" s="133"/>
      <c r="AP9" s="132"/>
      <c r="AQ9" s="133"/>
      <c r="AR9" s="55" t="str">
        <f>IF(AQ9&lt;&gt;"",AP9+AQ9,"")</f>
        <v/>
      </c>
      <c r="AS9" s="133"/>
      <c r="AT9" s="132"/>
      <c r="AU9" s="133"/>
      <c r="AV9" s="55" t="str">
        <f>IF(AU9&lt;&gt;"",AT9+AU9,"")</f>
        <v/>
      </c>
      <c r="AW9" s="133"/>
      <c r="AX9" s="132"/>
      <c r="AY9" s="133"/>
      <c r="AZ9" s="55" t="str">
        <f>IF(AY9&lt;&gt;"",AX9+AY9,"")</f>
        <v/>
      </c>
      <c r="BA9" s="133"/>
      <c r="BB9" s="132"/>
      <c r="BC9" s="133"/>
      <c r="BD9" s="55" t="str">
        <f>IF(BC9&lt;&gt;"",BB9+BC9,"")</f>
        <v/>
      </c>
      <c r="BE9" s="133"/>
      <c r="BF9" s="132"/>
      <c r="BG9" s="133"/>
      <c r="BH9" s="55" t="str">
        <f>IF(BG9&lt;&gt;"",BF9+BG9,"")</f>
        <v/>
      </c>
      <c r="BI9" s="133"/>
      <c r="BJ9" s="132"/>
      <c r="BK9" s="133"/>
      <c r="BL9" s="55" t="str">
        <f>IF(BK9&lt;&gt;"",BJ9+BK9,"")</f>
        <v/>
      </c>
      <c r="BM9" s="133"/>
      <c r="BN9" s="132"/>
      <c r="BO9" s="133"/>
      <c r="BP9" s="55" t="str">
        <f>IF(BO9&lt;&gt;"",BN9+BO9,"")</f>
        <v/>
      </c>
      <c r="BQ9" s="134"/>
      <c r="BR9" s="129"/>
      <c r="BS9" s="133"/>
      <c r="BT9" s="111" t="str">
        <f>IF(BS9&lt;&gt;"",BR9+BS9,"")</f>
        <v/>
      </c>
      <c r="BU9" s="134"/>
      <c r="BV9" s="129"/>
      <c r="BW9" s="133"/>
      <c r="BX9" s="111" t="str">
        <f>IF(BW9&lt;&gt;"",BV9+BW9,"")</f>
        <v/>
      </c>
      <c r="BY9" s="134"/>
      <c r="BZ9" s="124"/>
    </row>
    <row r="10" spans="1:78" x14ac:dyDescent="0.3">
      <c r="A10" s="211"/>
      <c r="B10" s="210" t="s">
        <v>85</v>
      </c>
      <c r="C10" s="70" t="s">
        <v>25</v>
      </c>
      <c r="D10" s="126">
        <v>2016</v>
      </c>
      <c r="E10" s="40">
        <f>IF(O10="",SUM(K10:N10),SUM(K10:O10))</f>
        <v>39.9</v>
      </c>
      <c r="F10" s="175"/>
      <c r="G10" s="107" t="str">
        <f>IF('TRA-M'!$A$2-D10&lt;=1,IF(R10&gt;=$P$3,"YES",IF(V10&gt;=$T$3,"YES",IF(Z10&gt;=$X$3,"YES",""))),"")</f>
        <v/>
      </c>
      <c r="H10" s="108" t="str">
        <f>IF(R10&gt;=$Q$3,"YES",IF(V10&gt;=$U$3,"YES",IF(Z10&gt;=$Y$3,"YES","")))</f>
        <v/>
      </c>
      <c r="I10" s="109" t="str">
        <f>IF(R10&gt;=$R$3,"YES",IF(V10&gt;=$V$3,"YES",IF(Z10&gt;=$Z$3,"YES","")))</f>
        <v/>
      </c>
      <c r="J10" s="110" t="str">
        <f>IF(R10&gt;=$S$3,"YES",IF(V10&gt;=$W$3,"YES",IF(Z10&gt;=$AA$3,"YES","")))</f>
        <v/>
      </c>
      <c r="K10" s="129">
        <f>MAX($Z10,$V10,$R10)</f>
        <v>0</v>
      </c>
      <c r="L10" s="130">
        <f>IF($K10=$Z10,MAX($T10,$P10),IF($K10=$V10,MAX($X10,$P10),MAX($X10,$T10)))</f>
        <v>0</v>
      </c>
      <c r="M10" s="130">
        <f>IF($K10=$Z10,MAX($U10,$Q10),IF($K10=$V10,MAX($Y10,$Q10),MAX($Y10,$U10)))</f>
        <v>0</v>
      </c>
      <c r="N10" s="131">
        <f>MAX($AA10,$W10,$S10)</f>
        <v>0</v>
      </c>
      <c r="O10" s="19">
        <f>IF(MAX(AB10:AD10)&lt;=0,"",MAX(AB10:AD10))</f>
        <v>39.9</v>
      </c>
      <c r="P10" s="277"/>
      <c r="Q10" s="278"/>
      <c r="R10" s="47">
        <f>+P10+Q10</f>
        <v>0</v>
      </c>
      <c r="S10" s="279"/>
      <c r="T10" s="277"/>
      <c r="U10" s="278"/>
      <c r="V10" s="47">
        <f>+T10+U10</f>
        <v>0</v>
      </c>
      <c r="W10" s="279"/>
      <c r="X10" s="277"/>
      <c r="Y10" s="278"/>
      <c r="Z10" s="47">
        <f>+X10+Y10</f>
        <v>0</v>
      </c>
      <c r="AA10" s="279"/>
      <c r="AB10" s="336">
        <f t="shared" si="0"/>
        <v>31</v>
      </c>
      <c r="AC10" s="335">
        <f t="shared" si="0"/>
        <v>39.700000000000003</v>
      </c>
      <c r="AD10" s="335">
        <f t="shared" si="0"/>
        <v>39.9</v>
      </c>
      <c r="AE10" s="336">
        <f>IF(MAX($AH10,$AL10,$AP10,$AT10,$AX10,$BB10,$BF10,$BJ10,$BN10,$BR10,$BV10)=0,"",MAX($AH10,$AL10,$AP10,$AT10,$AX10,$BB10,$BF10,$BJ10,$BN10,$BR10,$BV10))</f>
        <v>31</v>
      </c>
      <c r="AF10" s="335">
        <f>IF(MAX($AI10,$AM10,$AQ10,$AU10,$AY10,$BC10,$BG10,$BK10,$BO10,$BS10,$BW10)=0,"",MAX($AI10,$AM10,$AQ10,$AU10,$AY10,$BC10,$BG10,$BK10,$BO10,$BS10,$BW10))</f>
        <v>39.700000000000003</v>
      </c>
      <c r="AG10" s="335">
        <f>IF(MAX($AK10,$AO10,$AS10,$AW10,$BA10,$BE10,$BI10,$BM10,$BQ10,$BU10,$BY10)=0,"",MAX($AK10,$AO10,$AS10,$AW10,$BA10,$BE10,$BI10,$BM10,$BQ10,$BU10,$BY10))</f>
        <v>39.9</v>
      </c>
      <c r="AH10" s="132">
        <v>31</v>
      </c>
      <c r="AI10" s="133">
        <v>39.700000000000003</v>
      </c>
      <c r="AJ10" s="55">
        <f>IF(AI10&lt;&gt;"",AH10+AI10,"")</f>
        <v>70.7</v>
      </c>
      <c r="AK10" s="133">
        <v>39.9</v>
      </c>
      <c r="AL10" s="132"/>
      <c r="AM10" s="133"/>
      <c r="AN10" s="55" t="str">
        <f>IF(AM10&lt;&gt;"",AL10+AM10,"")</f>
        <v/>
      </c>
      <c r="AO10" s="133"/>
      <c r="AP10" s="132"/>
      <c r="AQ10" s="133"/>
      <c r="AR10" s="55" t="str">
        <f>IF(AQ10&lt;&gt;"",AP10+AQ10,"")</f>
        <v/>
      </c>
      <c r="AS10" s="133"/>
      <c r="AT10" s="132"/>
      <c r="AU10" s="133"/>
      <c r="AV10" s="55" t="str">
        <f>IF(AU10&lt;&gt;"",AT10+AU10,"")</f>
        <v/>
      </c>
      <c r="AW10" s="133"/>
      <c r="AX10" s="132"/>
      <c r="AY10" s="133"/>
      <c r="AZ10" s="55" t="str">
        <f>IF(AY10&lt;&gt;"",AX10+AY10,"")</f>
        <v/>
      </c>
      <c r="BA10" s="133"/>
      <c r="BB10" s="132"/>
      <c r="BC10" s="133"/>
      <c r="BD10" s="55" t="str">
        <f>IF(BC10&lt;&gt;"",BB10+BC10,"")</f>
        <v/>
      </c>
      <c r="BE10" s="133"/>
      <c r="BF10" s="132"/>
      <c r="BG10" s="133"/>
      <c r="BH10" s="55" t="str">
        <f>IF(BG10&lt;&gt;"",BF10+BG10,"")</f>
        <v/>
      </c>
      <c r="BI10" s="133"/>
      <c r="BJ10" s="132"/>
      <c r="BK10" s="133"/>
      <c r="BL10" s="55" t="str">
        <f>IF(BK10&lt;&gt;"",BJ10+BK10,"")</f>
        <v/>
      </c>
      <c r="BM10" s="133"/>
      <c r="BN10" s="132"/>
      <c r="BO10" s="133"/>
      <c r="BP10" s="55" t="str">
        <f>IF(BO10&lt;&gt;"",BN10+BO10,"")</f>
        <v/>
      </c>
      <c r="BQ10" s="134"/>
      <c r="BR10" s="129"/>
      <c r="BS10" s="133"/>
      <c r="BT10" s="111" t="str">
        <f>IF(BS10&lt;&gt;"",BR10+BS10,"")</f>
        <v/>
      </c>
      <c r="BU10" s="134"/>
      <c r="BV10" s="129"/>
      <c r="BW10" s="133"/>
      <c r="BX10" s="111" t="str">
        <f>IF(BW10&lt;&gt;"",BV10+BW10,"")</f>
        <v/>
      </c>
      <c r="BY10" s="134"/>
      <c r="BZ10" s="124"/>
    </row>
    <row r="11" spans="1:78" x14ac:dyDescent="0.3">
      <c r="A11" s="162"/>
      <c r="B11" s="210" t="s">
        <v>159</v>
      </c>
      <c r="C11" s="70" t="s">
        <v>160</v>
      </c>
      <c r="D11" s="126">
        <v>2017</v>
      </c>
      <c r="E11" s="40">
        <f>IF(O11="",SUM(K11:N11),SUM(K11:O11))</f>
        <v>36.49</v>
      </c>
      <c r="F11" s="177"/>
      <c r="G11" s="107" t="str">
        <f>IF('TRA-M'!$A$2-D11&lt;=1,IF(R11&gt;=$P$3,"YES",IF(V11&gt;=$T$3,"YES",IF(Z11&gt;=$X$3,"YES",""))),"")</f>
        <v/>
      </c>
      <c r="H11" s="108" t="str">
        <f>IF(R11&gt;=$Q$3,"YES",IF(V11&gt;=$U$3,"YES",IF(Z11&gt;=$Y$3,"YES","")))</f>
        <v/>
      </c>
      <c r="I11" s="109" t="str">
        <f>IF(R11&gt;=$R$3,"YES",IF(V11&gt;=$V$3,"YES",IF(Z11&gt;=$Z$3,"YES","")))</f>
        <v/>
      </c>
      <c r="J11" s="110" t="str">
        <f>IF(R11&gt;=$S$3,"YES",IF(V11&gt;=$W$3,"YES",IF(Z11&gt;=$AA$3,"YES","")))</f>
        <v/>
      </c>
      <c r="K11" s="129">
        <f>MAX($Z11,$V11,$R11)</f>
        <v>36.49</v>
      </c>
      <c r="L11" s="130">
        <f>IF($K11=$Z11,MAX($T11,$P11),IF($K11=$V11,MAX($X11,$P11),MAX($X11,$T11)))</f>
        <v>0</v>
      </c>
      <c r="M11" s="130">
        <f>IF($K11=$Z11,MAX($U11,$Q11),IF($K11=$V11,MAX($Y11,$Q11),MAX($Y11,$U11)))</f>
        <v>0</v>
      </c>
      <c r="N11" s="131">
        <f>MAX($AA11,$W11,$S11)</f>
        <v>0</v>
      </c>
      <c r="O11" s="19" t="str">
        <f>IF(MAX(AB11:AD11)&lt;=0,"",MAX(AB11:AD11))</f>
        <v/>
      </c>
      <c r="P11" s="277"/>
      <c r="Q11" s="278"/>
      <c r="R11" s="47">
        <f>+P11+Q11</f>
        <v>0</v>
      </c>
      <c r="S11" s="279"/>
      <c r="T11" s="277"/>
      <c r="U11" s="278"/>
      <c r="V11" s="47">
        <f>+T11+U11</f>
        <v>0</v>
      </c>
      <c r="W11" s="279"/>
      <c r="X11" s="52">
        <v>0</v>
      </c>
      <c r="Y11" s="278">
        <v>36.49</v>
      </c>
      <c r="Z11" s="47">
        <f>+X11+Y11</f>
        <v>36.49</v>
      </c>
      <c r="AA11" s="279"/>
      <c r="AB11" s="336" t="str">
        <f t="shared" si="0"/>
        <v/>
      </c>
      <c r="AC11" s="335" t="str">
        <f t="shared" si="0"/>
        <v/>
      </c>
      <c r="AD11" s="335" t="str">
        <f t="shared" si="0"/>
        <v/>
      </c>
      <c r="AE11" s="336" t="str">
        <f>IF(MAX($AH11,$AL11,$AP11,$AT11,$AX11,$BB11,$BF11,$BJ11,$BN11,$BR11,$BV11)=0,"",MAX($AH11,$AL11,$AP11,$AT11,$AX11,$BB11,$BF11,$BJ11,$BN11,$BR11,$BV11))</f>
        <v/>
      </c>
      <c r="AF11" s="335" t="str">
        <f>IF(MAX($AI11,$AM11,$AQ11,$AU11,$AY11,$BC11,$BG11,$BK11,$BO11,$BS11,$BW11)=0,"",MAX($AI11,$AM11,$AQ11,$AU11,$AY11,$BC11,$BG11,$BK11,$BO11,$BS11,$BW11))</f>
        <v/>
      </c>
      <c r="AG11" s="335" t="str">
        <f>IF(MAX($AK11,$AO11,$AS11,$AW11,$BA11,$BE11,$BI11,$BM11,$BQ11,$BU11,$BY11)=0,"",MAX($AK11,$AO11,$AS11,$AW11,$BA11,$BE11,$BI11,$BM11,$BQ11,$BU11,$BY11))</f>
        <v/>
      </c>
      <c r="AH11" s="132"/>
      <c r="AI11" s="133"/>
      <c r="AJ11" s="55" t="str">
        <f>IF(AI11&lt;&gt;"",AH11+AI11,"")</f>
        <v/>
      </c>
      <c r="AK11" s="133"/>
      <c r="AL11" s="132"/>
      <c r="AM11" s="133"/>
      <c r="AN11" s="55" t="str">
        <f>IF(AM11&lt;&gt;"",AL11+AM11,"")</f>
        <v/>
      </c>
      <c r="AO11" s="133"/>
      <c r="AP11" s="132"/>
      <c r="AQ11" s="133"/>
      <c r="AR11" s="55" t="str">
        <f>IF(AQ11&lt;&gt;"",AP11+AQ11,"")</f>
        <v/>
      </c>
      <c r="AS11" s="133"/>
      <c r="AT11" s="132"/>
      <c r="AU11" s="133"/>
      <c r="AV11" s="55" t="str">
        <f>IF(AU11&lt;&gt;"",AT11+AU11,"")</f>
        <v/>
      </c>
      <c r="AW11" s="133"/>
      <c r="AX11" s="132"/>
      <c r="AY11" s="133"/>
      <c r="AZ11" s="55" t="str">
        <f>IF(AY11&lt;&gt;"",AX11+AY11,"")</f>
        <v/>
      </c>
      <c r="BA11" s="133"/>
      <c r="BB11" s="132"/>
      <c r="BC11" s="133"/>
      <c r="BD11" s="55" t="str">
        <f>IF(BC11&lt;&gt;"",BB11+BC11,"")</f>
        <v/>
      </c>
      <c r="BE11" s="133"/>
      <c r="BF11" s="132"/>
      <c r="BG11" s="133"/>
      <c r="BH11" s="55" t="str">
        <f>IF(BG11&lt;&gt;"",BF11+BG11,"")</f>
        <v/>
      </c>
      <c r="BI11" s="133"/>
      <c r="BJ11" s="132"/>
      <c r="BK11" s="133"/>
      <c r="BL11" s="55" t="str">
        <f>IF(BK11&lt;&gt;"",BJ11+BK11,"")</f>
        <v/>
      </c>
      <c r="BM11" s="133"/>
      <c r="BN11" s="132"/>
      <c r="BO11" s="133"/>
      <c r="BP11" s="55" t="str">
        <f>IF(BO11&lt;&gt;"",BN11+BO11,"")</f>
        <v/>
      </c>
      <c r="BQ11" s="134"/>
      <c r="BR11" s="129"/>
      <c r="BS11" s="133"/>
      <c r="BT11" s="111" t="str">
        <f>IF(BS11&lt;&gt;"",BR11+BS11,"")</f>
        <v/>
      </c>
      <c r="BU11" s="134"/>
      <c r="BV11" s="129"/>
      <c r="BW11" s="133"/>
      <c r="BX11" s="111" t="str">
        <f>IF(BW11&lt;&gt;"",BV11+BW11,"")</f>
        <v/>
      </c>
      <c r="BY11" s="134"/>
      <c r="BZ11" s="124"/>
    </row>
    <row r="12" spans="1:78" x14ac:dyDescent="0.3">
      <c r="E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3"/>
      <c r="AI12" s="133"/>
      <c r="AJ12" s="130"/>
      <c r="AK12" s="130"/>
      <c r="AL12" s="133"/>
      <c r="AM12" s="133"/>
      <c r="AN12" s="130"/>
      <c r="AO12" s="130"/>
      <c r="AP12" s="133"/>
      <c r="AQ12" s="133"/>
      <c r="AR12" s="130"/>
      <c r="AS12" s="130"/>
      <c r="AT12" s="133"/>
      <c r="AU12" s="133"/>
      <c r="AV12" s="130"/>
      <c r="AW12" s="130"/>
      <c r="AX12" s="133"/>
      <c r="AY12" s="133"/>
      <c r="AZ12" s="130"/>
      <c r="BA12" s="130"/>
      <c r="BB12" s="133"/>
      <c r="BC12" s="133"/>
      <c r="BD12" s="130"/>
      <c r="BE12" s="130"/>
      <c r="BF12" s="133"/>
      <c r="BG12" s="133"/>
      <c r="BH12" s="133"/>
      <c r="BI12" s="133"/>
      <c r="BJ12" s="133"/>
      <c r="BK12" s="133"/>
      <c r="BL12" s="133"/>
      <c r="BM12" s="133"/>
      <c r="BN12" s="133"/>
      <c r="BO12" s="133"/>
      <c r="BP12" s="133"/>
      <c r="BQ12" s="130"/>
      <c r="BR12" s="130"/>
      <c r="BS12" s="130"/>
      <c r="BT12" s="130"/>
      <c r="BU12" s="130"/>
      <c r="BV12" s="130"/>
      <c r="BW12" s="130"/>
      <c r="BX12" s="130"/>
      <c r="BY12" s="130"/>
    </row>
    <row r="13" spans="1:78" x14ac:dyDescent="0.3">
      <c r="A13" s="284"/>
      <c r="C13" s="284"/>
      <c r="D13" s="284"/>
      <c r="E13" s="280"/>
      <c r="F13" s="284"/>
      <c r="K13" s="280"/>
      <c r="L13" s="280"/>
      <c r="M13" s="280"/>
      <c r="N13" s="280"/>
      <c r="O13" s="280"/>
      <c r="P13" s="280"/>
      <c r="Q13" s="280"/>
      <c r="R13" s="280"/>
      <c r="S13" s="280"/>
      <c r="T13" s="280"/>
      <c r="U13" s="280"/>
      <c r="V13" s="280"/>
      <c r="W13" s="280"/>
      <c r="X13" s="280"/>
      <c r="Y13" s="280"/>
      <c r="Z13" s="280"/>
      <c r="AA13" s="280"/>
      <c r="AB13" s="280"/>
      <c r="AC13" s="280"/>
      <c r="AD13" s="280"/>
      <c r="AE13" s="280"/>
      <c r="AF13" s="280"/>
      <c r="AG13" s="280"/>
      <c r="AH13" s="278"/>
      <c r="AI13" s="278"/>
      <c r="AJ13" s="280"/>
      <c r="AK13" s="280"/>
      <c r="AL13" s="278"/>
      <c r="AM13" s="278"/>
      <c r="AN13" s="280"/>
      <c r="AO13" s="280"/>
      <c r="AP13" s="278"/>
      <c r="AQ13" s="278"/>
      <c r="AR13" s="280"/>
      <c r="AS13" s="280"/>
      <c r="AT13" s="278"/>
      <c r="AU13" s="278"/>
      <c r="AV13" s="280"/>
      <c r="AW13" s="280"/>
      <c r="AX13" s="278"/>
      <c r="AY13" s="278"/>
      <c r="AZ13" s="280"/>
      <c r="BA13" s="280"/>
      <c r="BB13" s="278"/>
      <c r="BC13" s="278"/>
      <c r="BD13" s="280"/>
      <c r="BE13" s="280"/>
      <c r="BF13" s="278"/>
      <c r="BG13" s="278"/>
      <c r="BH13" s="278"/>
      <c r="BI13" s="278"/>
      <c r="BJ13" s="278"/>
      <c r="BK13" s="278"/>
      <c r="BL13" s="278"/>
      <c r="BM13" s="278"/>
      <c r="BN13" s="278"/>
      <c r="BO13" s="278"/>
      <c r="BP13" s="278"/>
      <c r="BQ13" s="280"/>
      <c r="BR13" s="280"/>
      <c r="BS13" s="280"/>
      <c r="BT13" s="280"/>
      <c r="BU13" s="280"/>
      <c r="BV13" s="280"/>
      <c r="BW13" s="280"/>
      <c r="BX13" s="280"/>
      <c r="BY13" s="280"/>
    </row>
    <row r="14" spans="1:78" x14ac:dyDescent="0.3">
      <c r="E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3"/>
      <c r="AI14" s="133"/>
      <c r="AJ14" s="130"/>
      <c r="AK14" s="130"/>
      <c r="AL14" s="133"/>
      <c r="AM14" s="133"/>
      <c r="AN14" s="130"/>
      <c r="AO14" s="130"/>
      <c r="AP14" s="133"/>
      <c r="AQ14" s="133"/>
      <c r="AR14" s="130"/>
      <c r="AS14" s="130"/>
      <c r="AT14" s="133"/>
      <c r="AU14" s="133"/>
      <c r="AV14" s="130"/>
      <c r="AW14" s="130"/>
      <c r="AX14" s="133"/>
      <c r="AY14" s="133"/>
      <c r="AZ14" s="130"/>
      <c r="BA14" s="130"/>
      <c r="BB14" s="133"/>
      <c r="BC14" s="133"/>
      <c r="BD14" s="130"/>
      <c r="BE14" s="130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0"/>
      <c r="BR14" s="130"/>
      <c r="BS14" s="130"/>
      <c r="BT14" s="130"/>
      <c r="BU14" s="130"/>
      <c r="BV14" s="130"/>
      <c r="BW14" s="130"/>
      <c r="BX14" s="130"/>
      <c r="BY14" s="130"/>
    </row>
    <row r="15" spans="1:78" x14ac:dyDescent="0.3">
      <c r="E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3"/>
      <c r="AI15" s="133"/>
      <c r="AJ15" s="130"/>
      <c r="AK15" s="130"/>
      <c r="AL15" s="133"/>
      <c r="AM15" s="133"/>
      <c r="AN15" s="130"/>
      <c r="AO15" s="130"/>
      <c r="AP15" s="133"/>
      <c r="AQ15" s="133"/>
      <c r="AR15" s="130"/>
      <c r="AS15" s="130"/>
      <c r="AT15" s="133"/>
      <c r="AU15" s="133"/>
      <c r="AV15" s="130"/>
      <c r="AW15" s="130"/>
      <c r="AX15" s="133"/>
      <c r="AY15" s="133"/>
      <c r="AZ15" s="130"/>
      <c r="BA15" s="130"/>
      <c r="BB15" s="133"/>
      <c r="BC15" s="133"/>
      <c r="BD15" s="130"/>
      <c r="BE15" s="130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0"/>
      <c r="BR15" s="130"/>
      <c r="BS15" s="130"/>
      <c r="BT15" s="130"/>
      <c r="BU15" s="130"/>
      <c r="BV15" s="130"/>
      <c r="BW15" s="130"/>
      <c r="BX15" s="130"/>
      <c r="BY15" s="130"/>
    </row>
    <row r="16" spans="1:78" x14ac:dyDescent="0.3">
      <c r="E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3"/>
      <c r="AI16" s="133"/>
      <c r="AJ16" s="130"/>
      <c r="AK16" s="130"/>
      <c r="AL16" s="133"/>
      <c r="AM16" s="133"/>
      <c r="AN16" s="130"/>
      <c r="AO16" s="130"/>
      <c r="AP16" s="133"/>
      <c r="AQ16" s="133"/>
      <c r="AR16" s="130"/>
      <c r="AS16" s="130"/>
      <c r="AT16" s="133"/>
      <c r="AU16" s="133"/>
      <c r="AV16" s="130"/>
      <c r="AW16" s="130"/>
      <c r="AX16" s="133"/>
      <c r="AY16" s="133"/>
      <c r="AZ16" s="130"/>
      <c r="BA16" s="130"/>
      <c r="BB16" s="133"/>
      <c r="BC16" s="133"/>
      <c r="BD16" s="130"/>
      <c r="BE16" s="130"/>
      <c r="BF16" s="133"/>
      <c r="BG16" s="133"/>
      <c r="BH16" s="133"/>
      <c r="BI16" s="133"/>
      <c r="BJ16" s="133"/>
      <c r="BK16" s="133"/>
      <c r="BL16" s="133"/>
      <c r="BM16" s="133"/>
      <c r="BN16" s="133"/>
      <c r="BO16" s="133"/>
      <c r="BP16" s="133"/>
      <c r="BQ16" s="130"/>
      <c r="BR16" s="130"/>
      <c r="BS16" s="130"/>
      <c r="BT16" s="130"/>
      <c r="BU16" s="130"/>
      <c r="BV16" s="130"/>
      <c r="BW16" s="130"/>
      <c r="BX16" s="130"/>
      <c r="BY16" s="130"/>
    </row>
    <row r="17" spans="2:77" x14ac:dyDescent="0.3">
      <c r="E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3"/>
      <c r="AI17" s="133"/>
      <c r="AJ17" s="130"/>
      <c r="AK17" s="130"/>
      <c r="AL17" s="133"/>
      <c r="AM17" s="133"/>
      <c r="AN17" s="130"/>
      <c r="AO17" s="130"/>
      <c r="AP17" s="133"/>
      <c r="AQ17" s="133"/>
      <c r="AR17" s="130"/>
      <c r="AS17" s="130"/>
      <c r="AT17" s="133"/>
      <c r="AU17" s="133"/>
      <c r="AV17" s="130"/>
      <c r="AW17" s="130"/>
      <c r="AX17" s="133"/>
      <c r="AY17" s="133"/>
      <c r="AZ17" s="130"/>
      <c r="BA17" s="130"/>
      <c r="BB17" s="133"/>
      <c r="BC17" s="133"/>
      <c r="BD17" s="130"/>
      <c r="BE17" s="130"/>
      <c r="BF17" s="133"/>
      <c r="BG17" s="133"/>
      <c r="BH17" s="133"/>
      <c r="BI17" s="133"/>
      <c r="BJ17" s="133"/>
      <c r="BK17" s="133"/>
      <c r="BL17" s="133"/>
      <c r="BM17" s="133"/>
      <c r="BN17" s="133"/>
      <c r="BO17" s="133"/>
      <c r="BP17" s="133"/>
      <c r="BQ17" s="130"/>
      <c r="BR17" s="130"/>
      <c r="BS17" s="130"/>
      <c r="BT17" s="130"/>
      <c r="BU17" s="130"/>
      <c r="BV17" s="130"/>
      <c r="BW17" s="130"/>
      <c r="BX17" s="130"/>
      <c r="BY17" s="130"/>
    </row>
    <row r="18" spans="2:77" x14ac:dyDescent="0.3">
      <c r="E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3"/>
      <c r="AI18" s="133"/>
      <c r="AJ18" s="130"/>
      <c r="AK18" s="130"/>
      <c r="AL18" s="133"/>
      <c r="AM18" s="133"/>
      <c r="AN18" s="130"/>
      <c r="AO18" s="130"/>
      <c r="AP18" s="133"/>
      <c r="AQ18" s="133"/>
      <c r="AR18" s="130"/>
      <c r="AS18" s="130"/>
      <c r="AT18" s="133"/>
      <c r="AU18" s="133"/>
      <c r="AV18" s="130"/>
      <c r="AW18" s="130"/>
      <c r="AX18" s="133"/>
      <c r="AY18" s="133"/>
      <c r="AZ18" s="130"/>
      <c r="BA18" s="130"/>
      <c r="BB18" s="133"/>
      <c r="BC18" s="133"/>
      <c r="BD18" s="130"/>
      <c r="BE18" s="130"/>
      <c r="BF18" s="133"/>
      <c r="BG18" s="133"/>
      <c r="BH18" s="133"/>
      <c r="BI18" s="133"/>
      <c r="BJ18" s="133"/>
      <c r="BK18" s="133"/>
      <c r="BL18" s="133"/>
      <c r="BM18" s="133"/>
      <c r="BN18" s="133"/>
      <c r="BO18" s="133"/>
      <c r="BP18" s="133"/>
      <c r="BQ18" s="130"/>
      <c r="BR18" s="130"/>
      <c r="BS18" s="130"/>
      <c r="BT18" s="130"/>
      <c r="BU18" s="130"/>
      <c r="BV18" s="130"/>
      <c r="BW18" s="130"/>
      <c r="BX18" s="130"/>
      <c r="BY18" s="130"/>
    </row>
    <row r="19" spans="2:77" x14ac:dyDescent="0.3">
      <c r="E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3"/>
      <c r="AI19" s="133"/>
      <c r="AJ19" s="130"/>
      <c r="AK19" s="130"/>
      <c r="AL19" s="133"/>
      <c r="AM19" s="133"/>
      <c r="AN19" s="130"/>
      <c r="AO19" s="130"/>
      <c r="AP19" s="133"/>
      <c r="AQ19" s="133"/>
      <c r="AR19" s="130"/>
      <c r="AS19" s="130"/>
      <c r="AT19" s="133"/>
      <c r="AU19" s="133"/>
      <c r="AV19" s="130"/>
      <c r="AW19" s="130"/>
      <c r="AX19" s="133"/>
      <c r="AY19" s="133"/>
      <c r="AZ19" s="130"/>
      <c r="BA19" s="130"/>
      <c r="BB19" s="133"/>
      <c r="BC19" s="133"/>
      <c r="BD19" s="130"/>
      <c r="BE19" s="130"/>
      <c r="BF19" s="133"/>
      <c r="BG19" s="133"/>
      <c r="BH19" s="133"/>
      <c r="BI19" s="133"/>
      <c r="BJ19" s="133"/>
      <c r="BK19" s="133"/>
      <c r="BL19" s="133"/>
      <c r="BM19" s="133"/>
      <c r="BN19" s="133"/>
      <c r="BO19" s="133"/>
      <c r="BP19" s="133"/>
      <c r="BQ19" s="130"/>
      <c r="BR19" s="130"/>
      <c r="BS19" s="130"/>
      <c r="BT19" s="130"/>
      <c r="BU19" s="130"/>
      <c r="BV19" s="130"/>
      <c r="BW19" s="130"/>
      <c r="BX19" s="130"/>
      <c r="BY19" s="130"/>
    </row>
    <row r="20" spans="2:77" x14ac:dyDescent="0.3">
      <c r="E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3"/>
      <c r="AI20" s="133"/>
      <c r="AJ20" s="130"/>
      <c r="AK20" s="130"/>
      <c r="AL20" s="133"/>
      <c r="AM20" s="133"/>
      <c r="AN20" s="130"/>
      <c r="AO20" s="130"/>
      <c r="AP20" s="133"/>
      <c r="AQ20" s="133"/>
      <c r="AR20" s="130"/>
      <c r="AS20" s="130"/>
      <c r="AT20" s="133"/>
      <c r="AU20" s="133"/>
      <c r="AV20" s="130"/>
      <c r="AW20" s="130"/>
      <c r="AX20" s="133"/>
      <c r="AY20" s="133"/>
      <c r="AZ20" s="130"/>
      <c r="BA20" s="130"/>
      <c r="BB20" s="133"/>
      <c r="BC20" s="133"/>
      <c r="BD20" s="130"/>
      <c r="BE20" s="130"/>
      <c r="BF20" s="133"/>
      <c r="BG20" s="133"/>
      <c r="BH20" s="133"/>
      <c r="BI20" s="133"/>
      <c r="BJ20" s="133"/>
      <c r="BK20" s="133"/>
      <c r="BL20" s="133"/>
      <c r="BM20" s="133"/>
      <c r="BN20" s="133"/>
      <c r="BO20" s="133"/>
      <c r="BP20" s="133"/>
      <c r="BQ20" s="130"/>
      <c r="BR20" s="130"/>
      <c r="BS20" s="130"/>
      <c r="BT20" s="130"/>
      <c r="BU20" s="130"/>
      <c r="BV20" s="130"/>
      <c r="BW20" s="130"/>
      <c r="BX20" s="130"/>
      <c r="BY20" s="130"/>
    </row>
    <row r="21" spans="2:77" x14ac:dyDescent="0.3">
      <c r="E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3"/>
      <c r="AI21" s="133"/>
      <c r="AJ21" s="130"/>
      <c r="AK21" s="130"/>
      <c r="AL21" s="133"/>
      <c r="AM21" s="133"/>
      <c r="AN21" s="130"/>
      <c r="AO21" s="130"/>
      <c r="AP21" s="133"/>
      <c r="AQ21" s="133"/>
      <c r="AR21" s="130"/>
      <c r="AS21" s="130"/>
      <c r="AT21" s="133"/>
      <c r="AU21" s="133"/>
      <c r="AV21" s="130"/>
      <c r="AW21" s="130"/>
      <c r="AX21" s="133"/>
      <c r="AY21" s="133"/>
      <c r="AZ21" s="130"/>
      <c r="BA21" s="130"/>
      <c r="BB21" s="133"/>
      <c r="BC21" s="133"/>
      <c r="BD21" s="130"/>
      <c r="BE21" s="130"/>
      <c r="BF21" s="133"/>
      <c r="BG21" s="133"/>
      <c r="BH21" s="133"/>
      <c r="BI21" s="133"/>
      <c r="BJ21" s="133"/>
      <c r="BK21" s="133"/>
      <c r="BL21" s="133"/>
      <c r="BM21" s="133"/>
      <c r="BN21" s="133"/>
      <c r="BO21" s="133"/>
      <c r="BP21" s="133"/>
      <c r="BQ21" s="130"/>
      <c r="BR21" s="130"/>
      <c r="BS21" s="130"/>
      <c r="BT21" s="130"/>
      <c r="BU21" s="130"/>
      <c r="BV21" s="130"/>
      <c r="BW21" s="130"/>
      <c r="BX21" s="130"/>
      <c r="BY21" s="130"/>
    </row>
    <row r="22" spans="2:77" x14ac:dyDescent="0.3">
      <c r="B22" s="80"/>
      <c r="E22" s="117"/>
      <c r="F22" s="117"/>
      <c r="G22" s="117"/>
      <c r="H22" s="107"/>
      <c r="I22" s="108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</row>
    <row r="23" spans="2:77" x14ac:dyDescent="0.3">
      <c r="B23" s="254" t="s">
        <v>67</v>
      </c>
      <c r="C23" s="82"/>
      <c r="D23" s="82"/>
      <c r="E23" s="82"/>
      <c r="F23" s="82"/>
      <c r="G23" s="82"/>
      <c r="H23" s="83"/>
      <c r="I23" s="121"/>
      <c r="J23" s="121"/>
      <c r="K23" s="118"/>
      <c r="L23" s="70"/>
      <c r="M23" s="70"/>
      <c r="N23" s="70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</row>
    <row r="24" spans="2:77" x14ac:dyDescent="0.3">
      <c r="B24" s="33" t="s">
        <v>52</v>
      </c>
    </row>
  </sheetData>
  <sortState ref="A7:BZ11">
    <sortCondition descending="1" ref="F7:F11"/>
    <sortCondition descending="1" ref="H7:H11"/>
    <sortCondition descending="1" ref="E7:E11"/>
  </sortState>
  <mergeCells count="41">
    <mergeCell ref="AE2:AG2"/>
    <mergeCell ref="AH2:AK2"/>
    <mergeCell ref="AL2:AO2"/>
    <mergeCell ref="AB1:AD1"/>
    <mergeCell ref="AE1:AG1"/>
    <mergeCell ref="AH1:AK1"/>
    <mergeCell ref="AL1:AO1"/>
    <mergeCell ref="AB2:AD2"/>
    <mergeCell ref="K2:N2"/>
    <mergeCell ref="P2:S2"/>
    <mergeCell ref="T2:W2"/>
    <mergeCell ref="X2:AA2"/>
    <mergeCell ref="BB1:BE1"/>
    <mergeCell ref="BB2:BE2"/>
    <mergeCell ref="AX2:BA2"/>
    <mergeCell ref="K1:N1"/>
    <mergeCell ref="P1:S1"/>
    <mergeCell ref="T1:W1"/>
    <mergeCell ref="X1:AA1"/>
    <mergeCell ref="AP1:AS1"/>
    <mergeCell ref="AT1:AW1"/>
    <mergeCell ref="AX1:BA1"/>
    <mergeCell ref="AP2:AS2"/>
    <mergeCell ref="AT2:AW2"/>
    <mergeCell ref="BF1:BI1"/>
    <mergeCell ref="BJ1:BM1"/>
    <mergeCell ref="BN1:BQ1"/>
    <mergeCell ref="BR1:BU1"/>
    <mergeCell ref="BV1:BY1"/>
    <mergeCell ref="BF2:BI2"/>
    <mergeCell ref="BJ2:BM2"/>
    <mergeCell ref="BN2:BQ2"/>
    <mergeCell ref="BR2:BU2"/>
    <mergeCell ref="BV2:BY2"/>
    <mergeCell ref="BF3:BI3"/>
    <mergeCell ref="AH3:AK3"/>
    <mergeCell ref="AL3:AO3"/>
    <mergeCell ref="AP3:AS3"/>
    <mergeCell ref="AT3:AW3"/>
    <mergeCell ref="AX3:BA3"/>
    <mergeCell ref="BB3:BE3"/>
  </mergeCells>
  <phoneticPr fontId="0" type="noConversion"/>
  <pageMargins left="0.47244094488188998" right="0.47244094488188998" top="0.78740157480314998" bottom="0.59055118110236204" header="0.511811023622047" footer="0.511811023622047"/>
  <pageSetup scale="50" fitToWidth="0" orientation="landscape" r:id="rId1"/>
  <headerFooter alignWithMargins="0">
    <oddHeader>&amp;L&amp;A&amp;R&amp;F</oddHeader>
    <oddFooter>&amp;CPage &amp;P</oddFooter>
  </headerFooter>
  <colBreaks count="2" manualBreakCount="2">
    <brk id="23" max="29" man="1"/>
    <brk id="49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"/>
  <sheetViews>
    <sheetView view="pageBreakPreview"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9.1796875" defaultRowHeight="13" x14ac:dyDescent="0.3"/>
  <cols>
    <col min="1" max="1" width="5.7265625" style="126" customWidth="1"/>
    <col min="2" max="2" width="25.7265625" style="33" customWidth="1"/>
    <col min="3" max="4" width="7.7265625" style="126" customWidth="1"/>
    <col min="5" max="6" width="8.7265625" style="126" customWidth="1"/>
    <col min="7" max="7" width="8.7265625" style="95" customWidth="1"/>
    <col min="8" max="10" width="8.7265625" style="118" customWidth="1"/>
    <col min="11" max="15" width="8.7265625" style="126" customWidth="1"/>
    <col min="16" max="77" width="8.7265625" style="125" customWidth="1"/>
    <col min="78" max="16384" width="9.1796875" style="33"/>
  </cols>
  <sheetData>
    <row r="1" spans="1:77" s="11" customFormat="1" x14ac:dyDescent="0.3">
      <c r="A1" s="1"/>
      <c r="B1" s="2" t="s">
        <v>19</v>
      </c>
      <c r="C1" s="2"/>
      <c r="D1" s="2"/>
      <c r="E1" s="94"/>
      <c r="F1" s="13"/>
      <c r="G1" s="95"/>
      <c r="H1" s="96"/>
      <c r="I1" s="96"/>
      <c r="J1" s="96"/>
      <c r="K1" s="355" t="s">
        <v>12</v>
      </c>
      <c r="L1" s="356"/>
      <c r="M1" s="356"/>
      <c r="N1" s="357"/>
      <c r="O1" s="46" t="s">
        <v>143</v>
      </c>
      <c r="P1" s="355" t="s">
        <v>106</v>
      </c>
      <c r="Q1" s="356"/>
      <c r="R1" s="356"/>
      <c r="S1" s="357"/>
      <c r="T1" s="355" t="s">
        <v>114</v>
      </c>
      <c r="U1" s="356"/>
      <c r="V1" s="356"/>
      <c r="W1" s="357"/>
      <c r="X1" s="355" t="s">
        <v>153</v>
      </c>
      <c r="Y1" s="356"/>
      <c r="Z1" s="356"/>
      <c r="AA1" s="357"/>
      <c r="AB1" s="371" t="s">
        <v>16</v>
      </c>
      <c r="AC1" s="372"/>
      <c r="AD1" s="372"/>
      <c r="AE1" s="371" t="s">
        <v>10</v>
      </c>
      <c r="AF1" s="372"/>
      <c r="AG1" s="372"/>
      <c r="AH1" s="355" t="s">
        <v>97</v>
      </c>
      <c r="AI1" s="370"/>
      <c r="AJ1" s="370"/>
      <c r="AK1" s="359"/>
      <c r="AL1" s="355"/>
      <c r="AM1" s="370"/>
      <c r="AN1" s="370"/>
      <c r="AO1" s="359"/>
      <c r="AP1" s="355"/>
      <c r="AQ1" s="370"/>
      <c r="AR1" s="370"/>
      <c r="AS1" s="359"/>
      <c r="AT1" s="355"/>
      <c r="AU1" s="370"/>
      <c r="AV1" s="370"/>
      <c r="AW1" s="359"/>
      <c r="AX1" s="355"/>
      <c r="AY1" s="370"/>
      <c r="AZ1" s="370"/>
      <c r="BA1" s="359"/>
      <c r="BB1" s="355"/>
      <c r="BC1" s="370"/>
      <c r="BD1" s="370"/>
      <c r="BE1" s="359"/>
      <c r="BF1" s="355"/>
      <c r="BG1" s="370"/>
      <c r="BH1" s="370"/>
      <c r="BI1" s="359"/>
      <c r="BJ1" s="355"/>
      <c r="BK1" s="370"/>
      <c r="BL1" s="370"/>
      <c r="BM1" s="359"/>
      <c r="BN1" s="367"/>
      <c r="BO1" s="368"/>
      <c r="BP1" s="368"/>
      <c r="BQ1" s="369"/>
      <c r="BR1" s="355"/>
      <c r="BS1" s="370"/>
      <c r="BT1" s="370"/>
      <c r="BU1" s="359"/>
      <c r="BV1" s="355"/>
      <c r="BW1" s="358"/>
      <c r="BX1" s="358"/>
      <c r="BY1" s="359"/>
    </row>
    <row r="2" spans="1:77" s="11" customFormat="1" x14ac:dyDescent="0.3">
      <c r="A2" s="15"/>
      <c r="B2" s="13" t="s">
        <v>21</v>
      </c>
      <c r="C2" s="13"/>
      <c r="D2" s="13"/>
      <c r="E2" s="94"/>
      <c r="F2" s="13"/>
      <c r="G2" s="99"/>
      <c r="H2" s="5">
        <v>212.3</v>
      </c>
      <c r="I2" s="5">
        <v>218.2</v>
      </c>
      <c r="J2" s="5">
        <v>226</v>
      </c>
      <c r="K2" s="355" t="s">
        <v>11</v>
      </c>
      <c r="L2" s="356"/>
      <c r="M2" s="356"/>
      <c r="N2" s="357"/>
      <c r="O2" s="46" t="s">
        <v>11</v>
      </c>
      <c r="P2" s="355" t="s">
        <v>103</v>
      </c>
      <c r="Q2" s="356"/>
      <c r="R2" s="356"/>
      <c r="S2" s="357"/>
      <c r="T2" s="355" t="s">
        <v>115</v>
      </c>
      <c r="U2" s="356"/>
      <c r="V2" s="356"/>
      <c r="W2" s="357"/>
      <c r="X2" s="355" t="s">
        <v>154</v>
      </c>
      <c r="Y2" s="356"/>
      <c r="Z2" s="356"/>
      <c r="AA2" s="357"/>
      <c r="AB2" s="371" t="s">
        <v>17</v>
      </c>
      <c r="AC2" s="372"/>
      <c r="AD2" s="372"/>
      <c r="AE2" s="371" t="s">
        <v>11</v>
      </c>
      <c r="AF2" s="372"/>
      <c r="AG2" s="372"/>
      <c r="AH2" s="355" t="s">
        <v>98</v>
      </c>
      <c r="AI2" s="356"/>
      <c r="AJ2" s="356"/>
      <c r="AK2" s="356"/>
      <c r="AL2" s="355"/>
      <c r="AM2" s="356"/>
      <c r="AN2" s="356"/>
      <c r="AO2" s="356"/>
      <c r="AP2" s="355"/>
      <c r="AQ2" s="356"/>
      <c r="AR2" s="356"/>
      <c r="AS2" s="356"/>
      <c r="AT2" s="355"/>
      <c r="AU2" s="356"/>
      <c r="AV2" s="356"/>
      <c r="AW2" s="356"/>
      <c r="AX2" s="355"/>
      <c r="AY2" s="356"/>
      <c r="AZ2" s="356"/>
      <c r="BA2" s="357"/>
      <c r="BB2" s="355"/>
      <c r="BC2" s="356"/>
      <c r="BD2" s="356"/>
      <c r="BE2" s="357"/>
      <c r="BF2" s="355"/>
      <c r="BG2" s="356"/>
      <c r="BH2" s="356"/>
      <c r="BI2" s="357"/>
      <c r="BJ2" s="355"/>
      <c r="BK2" s="356"/>
      <c r="BL2" s="356"/>
      <c r="BM2" s="357"/>
      <c r="BN2" s="367"/>
      <c r="BO2" s="368"/>
      <c r="BP2" s="368"/>
      <c r="BQ2" s="369"/>
      <c r="BR2" s="355"/>
      <c r="BS2" s="356"/>
      <c r="BT2" s="356"/>
      <c r="BU2" s="356"/>
      <c r="BV2" s="355"/>
      <c r="BW2" s="356"/>
      <c r="BX2" s="356"/>
      <c r="BY2" s="357"/>
    </row>
    <row r="3" spans="1:77" s="11" customFormat="1" x14ac:dyDescent="0.3">
      <c r="A3" s="15"/>
      <c r="B3" s="2" t="s">
        <v>35</v>
      </c>
      <c r="C3" s="2"/>
      <c r="D3" s="2"/>
      <c r="E3" s="94"/>
      <c r="F3" s="13"/>
      <c r="G3" s="99"/>
      <c r="H3" s="100"/>
      <c r="I3" s="100"/>
      <c r="J3" s="100"/>
      <c r="K3" s="102"/>
      <c r="L3" s="126"/>
      <c r="M3" s="126"/>
      <c r="N3" s="127"/>
      <c r="O3" s="15"/>
      <c r="P3" s="20">
        <v>79.099999999999994</v>
      </c>
      <c r="Q3" s="16">
        <v>80.7</v>
      </c>
      <c r="R3" s="8">
        <v>83.1</v>
      </c>
      <c r="S3" s="21">
        <v>86</v>
      </c>
      <c r="T3" s="20">
        <v>83.4</v>
      </c>
      <c r="U3" s="16">
        <v>84.4</v>
      </c>
      <c r="V3" s="8">
        <v>86.6</v>
      </c>
      <c r="W3" s="21">
        <v>89.6</v>
      </c>
      <c r="X3" s="20">
        <v>83.4</v>
      </c>
      <c r="Y3" s="16">
        <v>84.4</v>
      </c>
      <c r="Z3" s="8">
        <v>86.6</v>
      </c>
      <c r="AA3" s="21">
        <v>89.6</v>
      </c>
      <c r="AB3" s="329"/>
      <c r="AC3" s="259"/>
      <c r="AD3" s="259"/>
      <c r="AE3" s="329"/>
      <c r="AF3" s="259"/>
      <c r="AG3" s="259"/>
      <c r="AH3" s="364"/>
      <c r="AI3" s="365"/>
      <c r="AJ3" s="365"/>
      <c r="AK3" s="366"/>
      <c r="AL3" s="364"/>
      <c r="AM3" s="365"/>
      <c r="AN3" s="365"/>
      <c r="AO3" s="366"/>
      <c r="AP3" s="364"/>
      <c r="AQ3" s="365"/>
      <c r="AR3" s="365"/>
      <c r="AS3" s="366"/>
      <c r="AT3" s="364"/>
      <c r="AU3" s="365"/>
      <c r="AV3" s="365"/>
      <c r="AW3" s="366"/>
      <c r="AX3" s="364"/>
      <c r="AY3" s="365"/>
      <c r="AZ3" s="365"/>
      <c r="BA3" s="366"/>
      <c r="BB3" s="364"/>
      <c r="BC3" s="365"/>
      <c r="BD3" s="365"/>
      <c r="BE3" s="366"/>
      <c r="BF3" s="364"/>
      <c r="BG3" s="365"/>
      <c r="BH3" s="365"/>
      <c r="BI3" s="366"/>
      <c r="BJ3" s="364"/>
      <c r="BK3" s="365"/>
      <c r="BL3" s="365"/>
      <c r="BM3" s="366"/>
      <c r="BN3" s="364"/>
      <c r="BO3" s="365"/>
      <c r="BP3" s="365"/>
      <c r="BQ3" s="366"/>
      <c r="BR3" s="364"/>
      <c r="BS3" s="365"/>
      <c r="BT3" s="365"/>
      <c r="BU3" s="366"/>
      <c r="BV3" s="364"/>
      <c r="BW3" s="365"/>
      <c r="BX3" s="365"/>
      <c r="BY3" s="366"/>
    </row>
    <row r="4" spans="1:77" s="11" customFormat="1" x14ac:dyDescent="0.3">
      <c r="A4" s="15"/>
      <c r="B4" s="2" t="s">
        <v>20</v>
      </c>
      <c r="C4" s="2"/>
      <c r="D4" s="15" t="s">
        <v>42</v>
      </c>
      <c r="E4" s="102" t="s">
        <v>8</v>
      </c>
      <c r="F4" s="103" t="s">
        <v>44</v>
      </c>
      <c r="G4" s="95" t="s">
        <v>34</v>
      </c>
      <c r="H4" s="96" t="s">
        <v>9</v>
      </c>
      <c r="I4" s="97" t="s">
        <v>14</v>
      </c>
      <c r="J4" s="104" t="s">
        <v>41</v>
      </c>
      <c r="K4" s="102" t="s">
        <v>4</v>
      </c>
      <c r="L4" s="126" t="s">
        <v>4</v>
      </c>
      <c r="M4" s="126" t="s">
        <v>4</v>
      </c>
      <c r="N4" s="127" t="s">
        <v>4</v>
      </c>
      <c r="O4" s="15" t="s">
        <v>4</v>
      </c>
      <c r="P4" s="167" t="s">
        <v>34</v>
      </c>
      <c r="Q4" s="96" t="s">
        <v>9</v>
      </c>
      <c r="R4" s="97" t="s">
        <v>14</v>
      </c>
      <c r="S4" s="104" t="s">
        <v>41</v>
      </c>
      <c r="T4" s="167" t="s">
        <v>34</v>
      </c>
      <c r="U4" s="96" t="s">
        <v>9</v>
      </c>
      <c r="V4" s="97" t="s">
        <v>14</v>
      </c>
      <c r="W4" s="104" t="s">
        <v>41</v>
      </c>
      <c r="X4" s="167" t="s">
        <v>34</v>
      </c>
      <c r="Y4" s="96" t="s">
        <v>9</v>
      </c>
      <c r="Z4" s="97" t="s">
        <v>14</v>
      </c>
      <c r="AA4" s="104" t="s">
        <v>41</v>
      </c>
      <c r="AB4" s="329" t="s">
        <v>4</v>
      </c>
      <c r="AC4" s="334" t="s">
        <v>4</v>
      </c>
      <c r="AD4" s="259" t="s">
        <v>4</v>
      </c>
      <c r="AE4" s="329" t="s">
        <v>4</v>
      </c>
      <c r="AF4" s="334" t="s">
        <v>4</v>
      </c>
      <c r="AG4" s="259" t="s">
        <v>4</v>
      </c>
      <c r="AH4" s="281"/>
      <c r="AI4" s="282"/>
      <c r="AJ4" s="282"/>
      <c r="AK4" s="282"/>
      <c r="AL4" s="124"/>
      <c r="AM4" s="125"/>
      <c r="AN4" s="125"/>
      <c r="AO4" s="125"/>
      <c r="AP4" s="124"/>
      <c r="AQ4" s="125"/>
      <c r="AR4" s="125"/>
      <c r="AS4" s="125"/>
      <c r="AT4" s="124"/>
      <c r="AU4" s="125"/>
      <c r="AV4" s="125"/>
      <c r="AW4" s="125"/>
      <c r="AX4" s="124"/>
      <c r="AY4" s="125"/>
      <c r="AZ4" s="125"/>
      <c r="BA4" s="125"/>
      <c r="BB4" s="124"/>
      <c r="BC4" s="125"/>
      <c r="BD4" s="125"/>
      <c r="BE4" s="125"/>
      <c r="BF4" s="124"/>
      <c r="BG4" s="125"/>
      <c r="BH4" s="125"/>
      <c r="BI4" s="125"/>
      <c r="BJ4" s="124"/>
      <c r="BK4" s="125"/>
      <c r="BL4" s="125"/>
      <c r="BM4" s="125"/>
      <c r="BN4" s="56"/>
      <c r="BO4" s="57"/>
      <c r="BP4" s="57"/>
      <c r="BQ4" s="57"/>
      <c r="BR4" s="124"/>
      <c r="BS4" s="125"/>
      <c r="BT4" s="125"/>
      <c r="BU4" s="125"/>
      <c r="BV4" s="124"/>
      <c r="BW4" s="125"/>
      <c r="BX4" s="125"/>
      <c r="BY4" s="128"/>
    </row>
    <row r="5" spans="1:77" s="11" customFormat="1" x14ac:dyDescent="0.3">
      <c r="A5" s="15"/>
      <c r="B5" s="35" t="str">
        <f>+'TRA-M'!$A$1</f>
        <v>JULY 2017</v>
      </c>
      <c r="C5" s="36" t="s">
        <v>23</v>
      </c>
      <c r="D5" s="36" t="s">
        <v>43</v>
      </c>
      <c r="E5" s="102" t="s">
        <v>7</v>
      </c>
      <c r="F5" s="37">
        <v>14.3</v>
      </c>
      <c r="G5" s="95" t="s">
        <v>13</v>
      </c>
      <c r="H5" s="96" t="s">
        <v>13</v>
      </c>
      <c r="I5" s="97" t="s">
        <v>13</v>
      </c>
      <c r="J5" s="104" t="s">
        <v>13</v>
      </c>
      <c r="K5" s="102" t="s">
        <v>2</v>
      </c>
      <c r="L5" s="126" t="s">
        <v>5</v>
      </c>
      <c r="M5" s="126" t="s">
        <v>6</v>
      </c>
      <c r="N5" s="127" t="s">
        <v>3</v>
      </c>
      <c r="O5" s="15" t="s">
        <v>15</v>
      </c>
      <c r="P5" s="281" t="s">
        <v>0</v>
      </c>
      <c r="Q5" s="282" t="s">
        <v>1</v>
      </c>
      <c r="R5" s="282" t="s">
        <v>2</v>
      </c>
      <c r="S5" s="283" t="s">
        <v>3</v>
      </c>
      <c r="T5" s="281" t="s">
        <v>0</v>
      </c>
      <c r="U5" s="282" t="s">
        <v>1</v>
      </c>
      <c r="V5" s="282" t="s">
        <v>2</v>
      </c>
      <c r="W5" s="283" t="s">
        <v>3</v>
      </c>
      <c r="X5" s="124" t="s">
        <v>0</v>
      </c>
      <c r="Y5" s="125" t="s">
        <v>1</v>
      </c>
      <c r="Z5" s="125" t="s">
        <v>2</v>
      </c>
      <c r="AA5" s="128" t="s">
        <v>3</v>
      </c>
      <c r="AB5" s="329" t="s">
        <v>0</v>
      </c>
      <c r="AC5" s="334" t="s">
        <v>6</v>
      </c>
      <c r="AD5" s="259" t="s">
        <v>3</v>
      </c>
      <c r="AE5" s="329" t="s">
        <v>0</v>
      </c>
      <c r="AF5" s="334" t="s">
        <v>6</v>
      </c>
      <c r="AG5" s="259" t="s">
        <v>3</v>
      </c>
      <c r="AH5" s="281" t="s">
        <v>0</v>
      </c>
      <c r="AI5" s="282" t="s">
        <v>1</v>
      </c>
      <c r="AJ5" s="282" t="s">
        <v>2</v>
      </c>
      <c r="AK5" s="282" t="s">
        <v>3</v>
      </c>
      <c r="AL5" s="124" t="s">
        <v>0</v>
      </c>
      <c r="AM5" s="125" t="s">
        <v>1</v>
      </c>
      <c r="AN5" s="125" t="s">
        <v>2</v>
      </c>
      <c r="AO5" s="125" t="s">
        <v>3</v>
      </c>
      <c r="AP5" s="124" t="s">
        <v>0</v>
      </c>
      <c r="AQ5" s="125" t="s">
        <v>1</v>
      </c>
      <c r="AR5" s="125" t="s">
        <v>2</v>
      </c>
      <c r="AS5" s="125" t="s">
        <v>3</v>
      </c>
      <c r="AT5" s="124" t="s">
        <v>0</v>
      </c>
      <c r="AU5" s="125" t="s">
        <v>1</v>
      </c>
      <c r="AV5" s="125" t="s">
        <v>2</v>
      </c>
      <c r="AW5" s="125" t="s">
        <v>3</v>
      </c>
      <c r="AX5" s="124" t="s">
        <v>0</v>
      </c>
      <c r="AY5" s="125" t="s">
        <v>1</v>
      </c>
      <c r="AZ5" s="125" t="s">
        <v>2</v>
      </c>
      <c r="BA5" s="125" t="s">
        <v>3</v>
      </c>
      <c r="BB5" s="124" t="s">
        <v>0</v>
      </c>
      <c r="BC5" s="125" t="s">
        <v>1</v>
      </c>
      <c r="BD5" s="125" t="s">
        <v>2</v>
      </c>
      <c r="BE5" s="125" t="s">
        <v>3</v>
      </c>
      <c r="BF5" s="124" t="s">
        <v>0</v>
      </c>
      <c r="BG5" s="125" t="s">
        <v>1</v>
      </c>
      <c r="BH5" s="125" t="s">
        <v>2</v>
      </c>
      <c r="BI5" s="125" t="s">
        <v>3</v>
      </c>
      <c r="BJ5" s="124" t="s">
        <v>0</v>
      </c>
      <c r="BK5" s="125" t="s">
        <v>1</v>
      </c>
      <c r="BL5" s="125" t="s">
        <v>2</v>
      </c>
      <c r="BM5" s="125" t="s">
        <v>3</v>
      </c>
      <c r="BN5" s="56" t="s">
        <v>0</v>
      </c>
      <c r="BO5" s="57" t="s">
        <v>1</v>
      </c>
      <c r="BP5" s="57" t="s">
        <v>2</v>
      </c>
      <c r="BQ5" s="57" t="s">
        <v>3</v>
      </c>
      <c r="BR5" s="124" t="s">
        <v>0</v>
      </c>
      <c r="BS5" s="125" t="s">
        <v>1</v>
      </c>
      <c r="BT5" s="125" t="s">
        <v>2</v>
      </c>
      <c r="BU5" s="125" t="s">
        <v>3</v>
      </c>
      <c r="BV5" s="124" t="s">
        <v>0</v>
      </c>
      <c r="BW5" s="125" t="s">
        <v>1</v>
      </c>
      <c r="BX5" s="125" t="s">
        <v>2</v>
      </c>
      <c r="BY5" s="128" t="s">
        <v>3</v>
      </c>
    </row>
    <row r="6" spans="1:77" s="11" customFormat="1" x14ac:dyDescent="0.3">
      <c r="A6" s="15"/>
      <c r="B6" s="62"/>
      <c r="C6" s="15"/>
      <c r="D6" s="15"/>
      <c r="E6" s="102"/>
      <c r="F6" s="126"/>
      <c r="G6" s="95"/>
      <c r="H6" s="96"/>
      <c r="I6" s="96"/>
      <c r="J6" s="96"/>
      <c r="K6" s="102"/>
      <c r="L6" s="126"/>
      <c r="M6" s="126"/>
      <c r="N6" s="127"/>
      <c r="O6" s="15"/>
      <c r="P6" s="281"/>
      <c r="Q6" s="282"/>
      <c r="R6" s="282"/>
      <c r="S6" s="283"/>
      <c r="T6" s="281"/>
      <c r="U6" s="282"/>
      <c r="V6" s="282"/>
      <c r="W6" s="283"/>
      <c r="X6" s="124"/>
      <c r="Y6" s="125"/>
      <c r="Z6" s="125"/>
      <c r="AA6" s="128"/>
      <c r="AB6" s="259"/>
      <c r="AC6" s="259"/>
      <c r="AD6" s="259"/>
      <c r="AE6" s="329"/>
      <c r="AF6" s="259"/>
      <c r="AG6" s="259"/>
      <c r="AH6" s="281"/>
      <c r="AI6" s="282"/>
      <c r="AJ6" s="282"/>
      <c r="AK6" s="282"/>
      <c r="AL6" s="124"/>
      <c r="AM6" s="125"/>
      <c r="AN6" s="125"/>
      <c r="AO6" s="125"/>
      <c r="AP6" s="124"/>
      <c r="AQ6" s="125"/>
      <c r="AR6" s="125"/>
      <c r="AS6" s="125"/>
      <c r="AT6" s="124"/>
      <c r="AU6" s="125"/>
      <c r="AV6" s="125"/>
      <c r="AW6" s="125"/>
      <c r="AX6" s="124"/>
      <c r="AY6" s="125"/>
      <c r="AZ6" s="125"/>
      <c r="BA6" s="125"/>
      <c r="BB6" s="124"/>
      <c r="BC6" s="125"/>
      <c r="BD6" s="125"/>
      <c r="BE6" s="125"/>
      <c r="BF6" s="124"/>
      <c r="BG6" s="125"/>
      <c r="BH6" s="125"/>
      <c r="BI6" s="125"/>
      <c r="BJ6" s="124"/>
      <c r="BK6" s="125"/>
      <c r="BL6" s="125"/>
      <c r="BM6" s="125"/>
      <c r="BN6" s="56"/>
      <c r="BO6" s="57"/>
      <c r="BP6" s="57"/>
      <c r="BQ6" s="57"/>
      <c r="BR6" s="124"/>
      <c r="BS6" s="125"/>
      <c r="BT6" s="125"/>
      <c r="BU6" s="125"/>
      <c r="BV6" s="124"/>
      <c r="BW6" s="125"/>
      <c r="BX6" s="125"/>
      <c r="BY6" s="128"/>
    </row>
    <row r="7" spans="1:77" s="11" customFormat="1" x14ac:dyDescent="0.3">
      <c r="A7" s="126">
        <v>1</v>
      </c>
      <c r="B7" s="63" t="s">
        <v>60</v>
      </c>
      <c r="C7" s="66" t="s">
        <v>25</v>
      </c>
      <c r="D7" s="15">
        <v>2014</v>
      </c>
      <c r="E7" s="40">
        <f>IF(O7="",SUM(K7:N7),SUM(K7:O7))</f>
        <v>214.87</v>
      </c>
      <c r="F7" s="175" t="s">
        <v>45</v>
      </c>
      <c r="G7" s="107" t="str">
        <f>IF('TRA-M'!$A$2-D7&lt;=1,IF(R7&gt;=$P$3,"YES",IF(V7&gt;=$T$3,"YES",IF(Z7&gt;=$X$3,"YES",""))),"")</f>
        <v/>
      </c>
      <c r="H7" s="108" t="str">
        <f>IF(R7&gt;=$Q$3,"YES",IF(V7&gt;=$U$3,"YES",IF(Z7&gt;=$Y$3,"YES","")))</f>
        <v>YES</v>
      </c>
      <c r="I7" s="109" t="str">
        <f>IF(R7&gt;=$R$3,"YES",IF(V7&gt;=$V$3,"YES",IF(Z7&gt;=$Z$3,"YES","")))</f>
        <v/>
      </c>
      <c r="J7" s="110" t="str">
        <f>IF(R7&gt;=$S$3,"YES",IF(V7&gt;=$W$3,"YES",IF(Z7&gt;=$AA$3,"YES","")))</f>
        <v/>
      </c>
      <c r="K7" s="129">
        <f>MAX($Z7,$V7,$R7)</f>
        <v>83.82</v>
      </c>
      <c r="L7" s="130">
        <f>IF($K7=$Z7,MAX($T7,$P7),IF($K7=$V7,MAX($X7,$P7),MAX($X7,$T7)))</f>
        <v>40.549999999999997</v>
      </c>
      <c r="M7" s="130">
        <f>IF($K7=$Z7,MAX($U7,$Q7),IF($K7=$V7,MAX($Y7,$Q7),MAX($Y7,$U7)))</f>
        <v>44.6</v>
      </c>
      <c r="N7" s="131">
        <f>MAX($AA7,$W7,$S7)</f>
        <v>43.6</v>
      </c>
      <c r="O7" s="19">
        <f>IF(MAX(AB7:AD7)&lt;=0,"",MAX(AB7:AD7))</f>
        <v>2.2999999999999972</v>
      </c>
      <c r="P7" s="277">
        <v>37.1</v>
      </c>
      <c r="Q7" s="54">
        <v>44.6</v>
      </c>
      <c r="R7" s="47">
        <f>+P7+Q7</f>
        <v>81.7</v>
      </c>
      <c r="S7" s="279">
        <v>43.6</v>
      </c>
      <c r="T7" s="277">
        <v>37.89</v>
      </c>
      <c r="U7" s="278">
        <v>45.93</v>
      </c>
      <c r="V7" s="135">
        <f>+T7+U7</f>
        <v>83.82</v>
      </c>
      <c r="W7" s="73">
        <v>38.1</v>
      </c>
      <c r="X7" s="277">
        <v>40.549999999999997</v>
      </c>
      <c r="Y7" s="53">
        <v>9.65</v>
      </c>
      <c r="Z7" s="47">
        <f>+X7+Y7</f>
        <v>50.199999999999996</v>
      </c>
      <c r="AA7" s="279"/>
      <c r="AB7" s="335">
        <f t="shared" ref="AB7:AD8" si="0">IF(AE7="","",AE7-L7)</f>
        <v>-3.6499999999999986</v>
      </c>
      <c r="AC7" s="335">
        <f t="shared" si="0"/>
        <v>0.5</v>
      </c>
      <c r="AD7" s="335">
        <f t="shared" si="0"/>
        <v>2.2999999999999972</v>
      </c>
      <c r="AE7" s="336">
        <f>IF(MAX($AH7,$AL7,$AP7,$AT7,$AX7,$BB7,$BF7,$BJ7,$BN7,$BR7,$BV7)=0,"",MAX($AH7,$AL7,$AP7,$AT7,$AX7,$BB7,$BF7,$BJ7,$BN7,$BR7,$BV7))</f>
        <v>36.9</v>
      </c>
      <c r="AF7" s="335">
        <f>IF(MAX($AI7,$AM7,$AQ7,$AU7,$AY7,$BC7,$BG7,$BK7,$BO7,$BS7,$BW7)=0,"",MAX($AI7,$AM7,$AQ7,$AU7,$AY7,$BC7,$BG7,$BK7,$BO7,$BS7,$BW7))</f>
        <v>45.1</v>
      </c>
      <c r="AG7" s="335">
        <f>IF(MAX($AK7,$AO7,$AS7,$AW7,$BA7,$BE7,$BI7,$BM7,$BQ7,$BU7,$BY7)=0,"",MAX($AK7,$AO7,$AS7,$AW7,$BA7,$BE7,$BI7,$BM7,$BQ7,$BU7,$BY7))</f>
        <v>45.9</v>
      </c>
      <c r="AH7" s="277">
        <v>36.9</v>
      </c>
      <c r="AI7" s="54">
        <v>45.1</v>
      </c>
      <c r="AJ7" s="55">
        <f>IF(AI7&lt;&gt;"",AH7+AI7,"")</f>
        <v>82</v>
      </c>
      <c r="AK7" s="54">
        <v>45.9</v>
      </c>
      <c r="AL7" s="277"/>
      <c r="AM7" s="278"/>
      <c r="AN7" s="55" t="str">
        <f>IF(AM7&lt;&gt;"",AL7+AM7,"")</f>
        <v/>
      </c>
      <c r="AO7" s="278"/>
      <c r="AP7" s="132"/>
      <c r="AQ7" s="133"/>
      <c r="AR7" s="55" t="str">
        <f>IF(AQ7&lt;&gt;"",AP7+AQ7,"")</f>
        <v/>
      </c>
      <c r="AS7" s="133"/>
      <c r="AT7" s="132"/>
      <c r="AU7" s="133"/>
      <c r="AV7" s="55" t="str">
        <f>IF(AU7&lt;&gt;"",AT7+AU7,"")</f>
        <v/>
      </c>
      <c r="AW7" s="133"/>
      <c r="AX7" s="132"/>
      <c r="AY7" s="133"/>
      <c r="AZ7" s="55" t="str">
        <f>IF(AY7&lt;&gt;"",AX7+AY7,"")</f>
        <v/>
      </c>
      <c r="BA7" s="133"/>
      <c r="BB7" s="132"/>
      <c r="BC7" s="133"/>
      <c r="BD7" s="55" t="str">
        <f>IF(BC7&lt;&gt;"",BB7+BC7,"")</f>
        <v/>
      </c>
      <c r="BE7" s="133"/>
      <c r="BF7" s="129"/>
      <c r="BG7" s="133"/>
      <c r="BH7" s="111" t="str">
        <f>IF(BG7&lt;&gt;"",BF7+BG7,"")</f>
        <v/>
      </c>
      <c r="BI7" s="133"/>
      <c r="BJ7" s="129"/>
      <c r="BK7" s="133"/>
      <c r="BL7" s="111" t="str">
        <f>IF(BK7&lt;&gt;"",BJ7+BK7,"")</f>
        <v/>
      </c>
      <c r="BM7" s="133"/>
      <c r="BN7" s="132"/>
      <c r="BO7" s="133"/>
      <c r="BP7" s="111" t="str">
        <f>IF(BO7&lt;&gt;"",BN7+BO7,"")</f>
        <v/>
      </c>
      <c r="BQ7" s="133"/>
      <c r="BR7" s="129"/>
      <c r="BS7" s="130"/>
      <c r="BT7" s="111" t="str">
        <f>IF(BS7&lt;&gt;"",BR7+BS7,"")</f>
        <v/>
      </c>
      <c r="BU7" s="133"/>
      <c r="BV7" s="129"/>
      <c r="BW7" s="130"/>
      <c r="BX7" s="111" t="str">
        <f>IF(BW7&lt;&gt;"",BV7+BW7,"")</f>
        <v/>
      </c>
      <c r="BY7" s="134"/>
    </row>
    <row r="8" spans="1:77" x14ac:dyDescent="0.3">
      <c r="B8" s="69" t="s">
        <v>133</v>
      </c>
      <c r="C8" s="70" t="s">
        <v>25</v>
      </c>
      <c r="D8" s="15">
        <v>2014</v>
      </c>
      <c r="E8" s="40">
        <f>IF(O8="",SUM(K8:N8),SUM(K8:O8))</f>
        <v>132.92999999999998</v>
      </c>
      <c r="F8" s="175"/>
      <c r="G8" s="107" t="str">
        <f>IF('TRA-M'!$A$2-D8&lt;=1,IF(R8&gt;=$P$3,"YES",IF(V8&gt;=$T$3,"YES",IF(Z8&gt;=$X$3,"YES",""))),"")</f>
        <v/>
      </c>
      <c r="H8" s="108" t="str">
        <f>IF(R8&gt;=$Q$3,"YES",IF(V8&gt;=$U$3,"YES",IF(Z8&gt;=$Y$3,"YES","")))</f>
        <v/>
      </c>
      <c r="I8" s="109" t="str">
        <f>IF(R8&gt;=$R$3,"YES",IF(V8&gt;=$V$3,"YES",IF(Z8&gt;=$Z$3,"YES","")))</f>
        <v/>
      </c>
      <c r="J8" s="110" t="str">
        <f>IF(R8&gt;=$S$3,"YES",IF(V8&gt;=$W$3,"YES",IF(Z8&gt;=$AA$3,"YES","")))</f>
        <v/>
      </c>
      <c r="K8" s="129">
        <f>MAX($Z8,$V8,$R8)</f>
        <v>66.679999999999993</v>
      </c>
      <c r="L8" s="130">
        <f>IF($K8=$Z8,MAX($T8,$P8),IF($K8=$V8,MAX($X8,$P8),MAX($X8,$T8)))</f>
        <v>22.91</v>
      </c>
      <c r="M8" s="130">
        <f>IF($K8=$Z8,MAX($U8,$Q8),IF($K8=$V8,MAX($Y8,$Q8),MAX($Y8,$U8)))</f>
        <v>9.18</v>
      </c>
      <c r="N8" s="131">
        <f>MAX($AA8,$W8,$S8)</f>
        <v>34.159999999999997</v>
      </c>
      <c r="O8" s="19" t="str">
        <f>IF(MAX(AB8:AD8)&lt;=0,"",MAX(AB8:AD8))</f>
        <v/>
      </c>
      <c r="P8" s="277"/>
      <c r="Q8" s="278"/>
      <c r="R8" s="47">
        <f>+P8+Q8</f>
        <v>0</v>
      </c>
      <c r="S8" s="279"/>
      <c r="T8" s="277">
        <v>39.799999999999997</v>
      </c>
      <c r="U8" s="53">
        <v>26.88</v>
      </c>
      <c r="V8" s="47">
        <f>+T8+U8</f>
        <v>66.679999999999993</v>
      </c>
      <c r="W8" s="279">
        <v>34.159999999999997</v>
      </c>
      <c r="X8" s="52">
        <v>22.91</v>
      </c>
      <c r="Y8" s="53">
        <v>9.18</v>
      </c>
      <c r="Z8" s="47">
        <f>+X8+Y8</f>
        <v>32.090000000000003</v>
      </c>
      <c r="AA8" s="279"/>
      <c r="AB8" s="336" t="str">
        <f t="shared" si="0"/>
        <v/>
      </c>
      <c r="AC8" s="335" t="str">
        <f t="shared" si="0"/>
        <v/>
      </c>
      <c r="AD8" s="335" t="str">
        <f t="shared" si="0"/>
        <v/>
      </c>
      <c r="AE8" s="336" t="str">
        <f>IF(MAX($AH8,$AL8,$AP8,$AT8,$AX8,$BB8,$BF8,$BJ8,$BN8,$BR8,$BV8)=0,"",MAX($AH8,$AL8,$AP8,$AT8,$AX8,$BB8,$BF8,$BJ8,$BN8,$BR8,$BV8))</f>
        <v/>
      </c>
      <c r="AF8" s="335" t="str">
        <f>IF(MAX($AI8,$AM8,$AQ8,$AU8,$AY8,$BC8,$BG8,$BK8,$BO8,$BS8,$BW8)=0,"",MAX($AI8,$AM8,$AQ8,$AU8,$AY8,$BC8,$BG8,$BK8,$BO8,$BS8,$BW8))</f>
        <v/>
      </c>
      <c r="AG8" s="337" t="str">
        <f>IF(MAX($AK8,$AO8,$AS8,$AW8,$BA8,$BE8,$BI8,$BM8,$BQ8,$BU8,$BY8)=0,"",MAX($AK8,$AO8,$AS8,$AW8,$BA8,$BE8,$BI8,$BM8,$BQ8,$BU8,$BY8))</f>
        <v/>
      </c>
      <c r="AH8" s="278"/>
      <c r="AI8" s="278"/>
      <c r="AJ8" s="55" t="str">
        <f>IF(AI8&lt;&gt;"",AH8+AI8,"")</f>
        <v/>
      </c>
      <c r="AK8" s="279"/>
      <c r="AL8" s="133"/>
      <c r="AM8" s="133"/>
      <c r="AN8" s="55" t="str">
        <f>IF(AM8&lt;&gt;"",AL8+AM8,"")</f>
        <v/>
      </c>
      <c r="AO8" s="134"/>
      <c r="AP8" s="133"/>
      <c r="AQ8" s="133"/>
      <c r="AR8" s="55" t="str">
        <f>IF(AQ8&lt;&gt;"",AP8+AQ8,"")</f>
        <v/>
      </c>
      <c r="AS8" s="134"/>
      <c r="AT8" s="133"/>
      <c r="AU8" s="133"/>
      <c r="AV8" s="55" t="str">
        <f>IF(AU8&lt;&gt;"",AT8+AU8,"")</f>
        <v/>
      </c>
      <c r="AW8" s="134"/>
      <c r="AX8" s="133"/>
      <c r="AY8" s="133"/>
      <c r="AZ8" s="55" t="str">
        <f>IF(AY8&lt;&gt;"",AX8+AY8,"")</f>
        <v/>
      </c>
      <c r="BA8" s="134"/>
      <c r="BB8" s="133"/>
      <c r="BC8" s="133"/>
      <c r="BD8" s="55" t="str">
        <f>IF(BC8&lt;&gt;"",BB8+BC8,"")</f>
        <v/>
      </c>
      <c r="BE8" s="134"/>
      <c r="BF8" s="130"/>
      <c r="BG8" s="133"/>
      <c r="BH8" s="111" t="str">
        <f>IF(BG8&lt;&gt;"",BF8+BG8,"")</f>
        <v/>
      </c>
      <c r="BI8" s="134"/>
      <c r="BJ8" s="130"/>
      <c r="BK8" s="133"/>
      <c r="BL8" s="111" t="str">
        <f>IF(BK8&lt;&gt;"",BJ8+BK8,"")</f>
        <v/>
      </c>
      <c r="BM8" s="134"/>
      <c r="BN8" s="133"/>
      <c r="BO8" s="133"/>
      <c r="BP8" s="111" t="str">
        <f>IF(BO8&lt;&gt;"",BN8+BO8,"")</f>
        <v/>
      </c>
      <c r="BQ8" s="134"/>
      <c r="BR8" s="130"/>
      <c r="BS8" s="130"/>
      <c r="BT8" s="111" t="str">
        <f>IF(BS8&lt;&gt;"",BR8+BS8,"")</f>
        <v/>
      </c>
      <c r="BU8" s="134"/>
      <c r="BV8" s="130"/>
      <c r="BW8" s="130"/>
      <c r="BX8" s="111" t="str">
        <f>IF(BW8&lt;&gt;"",BV8+BW8,"")</f>
        <v/>
      </c>
      <c r="BY8" s="134"/>
    </row>
    <row r="9" spans="1:77" x14ac:dyDescent="0.3">
      <c r="D9" s="15"/>
      <c r="E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3"/>
      <c r="Y9" s="133"/>
      <c r="Z9" s="133"/>
      <c r="AA9" s="133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3"/>
      <c r="BO9" s="133"/>
      <c r="BP9" s="133"/>
      <c r="BQ9" s="133"/>
      <c r="BR9" s="130"/>
      <c r="BS9" s="130"/>
      <c r="BT9" s="130"/>
      <c r="BU9" s="130"/>
      <c r="BV9" s="130"/>
      <c r="BW9" s="130"/>
      <c r="BX9" s="130"/>
      <c r="BY9" s="130"/>
    </row>
    <row r="10" spans="1:77" x14ac:dyDescent="0.3">
      <c r="A10" s="284"/>
      <c r="C10" s="284"/>
      <c r="D10" s="288"/>
      <c r="E10" s="280"/>
      <c r="F10" s="284"/>
      <c r="K10" s="280"/>
      <c r="L10" s="280"/>
      <c r="M10" s="280"/>
      <c r="N10" s="280"/>
      <c r="O10" s="280"/>
      <c r="P10" s="280"/>
      <c r="Q10" s="280"/>
      <c r="R10" s="280"/>
      <c r="S10" s="280"/>
      <c r="T10" s="280"/>
      <c r="U10" s="280"/>
      <c r="V10" s="280"/>
      <c r="W10" s="280"/>
      <c r="X10" s="278"/>
      <c r="Y10" s="278"/>
      <c r="Z10" s="278"/>
      <c r="AA10" s="278"/>
      <c r="AB10" s="280"/>
      <c r="AC10" s="280"/>
      <c r="AD10" s="280"/>
      <c r="AE10" s="280"/>
      <c r="AF10" s="280"/>
      <c r="AG10" s="280"/>
      <c r="AH10" s="280"/>
      <c r="AI10" s="280"/>
      <c r="AJ10" s="280"/>
      <c r="AK10" s="280"/>
      <c r="AL10" s="280"/>
      <c r="AM10" s="280"/>
      <c r="AN10" s="280"/>
      <c r="AO10" s="280"/>
      <c r="AP10" s="280"/>
      <c r="AQ10" s="280"/>
      <c r="AR10" s="280"/>
      <c r="AS10" s="280"/>
      <c r="AT10" s="280"/>
      <c r="AU10" s="280"/>
      <c r="AV10" s="280"/>
      <c r="AW10" s="280"/>
      <c r="AX10" s="280"/>
      <c r="AY10" s="280"/>
      <c r="AZ10" s="280"/>
      <c r="BA10" s="280"/>
      <c r="BB10" s="280"/>
      <c r="BC10" s="280"/>
      <c r="BD10" s="280"/>
      <c r="BE10" s="280"/>
      <c r="BF10" s="280"/>
      <c r="BG10" s="280"/>
      <c r="BH10" s="280"/>
      <c r="BI10" s="280"/>
      <c r="BJ10" s="280"/>
      <c r="BK10" s="280"/>
      <c r="BL10" s="280"/>
      <c r="BM10" s="280"/>
      <c r="BN10" s="278"/>
      <c r="BO10" s="278"/>
      <c r="BP10" s="278"/>
      <c r="BQ10" s="278"/>
      <c r="BR10" s="280"/>
      <c r="BS10" s="280"/>
      <c r="BT10" s="280"/>
      <c r="BU10" s="280"/>
      <c r="BV10" s="280"/>
      <c r="BW10" s="280"/>
      <c r="BX10" s="280"/>
      <c r="BY10" s="280"/>
    </row>
    <row r="11" spans="1:77" x14ac:dyDescent="0.3">
      <c r="D11" s="15"/>
      <c r="E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3"/>
      <c r="BO11" s="133"/>
      <c r="BP11" s="133"/>
      <c r="BQ11" s="133"/>
      <c r="BR11" s="130"/>
      <c r="BS11" s="130"/>
      <c r="BT11" s="130"/>
      <c r="BU11" s="130"/>
      <c r="BV11" s="130"/>
      <c r="BW11" s="130"/>
      <c r="BX11" s="130"/>
      <c r="BY11" s="130"/>
    </row>
    <row r="12" spans="1:77" x14ac:dyDescent="0.3">
      <c r="D12" s="15"/>
      <c r="E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3"/>
      <c r="BO12" s="133"/>
      <c r="BP12" s="133"/>
      <c r="BQ12" s="133"/>
      <c r="BR12" s="130"/>
      <c r="BS12" s="130"/>
      <c r="BT12" s="130"/>
      <c r="BU12" s="130"/>
      <c r="BV12" s="130"/>
      <c r="BW12" s="130"/>
      <c r="BX12" s="130"/>
      <c r="BY12" s="130"/>
    </row>
    <row r="13" spans="1:77" x14ac:dyDescent="0.3">
      <c r="D13" s="15"/>
      <c r="E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3"/>
      <c r="BO13" s="133"/>
      <c r="BP13" s="133"/>
      <c r="BQ13" s="133"/>
      <c r="BR13" s="130"/>
      <c r="BS13" s="130"/>
      <c r="BT13" s="130"/>
      <c r="BU13" s="130"/>
      <c r="BV13" s="130"/>
      <c r="BW13" s="130"/>
      <c r="BX13" s="130"/>
      <c r="BY13" s="130"/>
    </row>
    <row r="14" spans="1:77" x14ac:dyDescent="0.3">
      <c r="E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3"/>
      <c r="BO14" s="133"/>
      <c r="BP14" s="133"/>
      <c r="BQ14" s="133"/>
      <c r="BR14" s="130"/>
      <c r="BS14" s="130"/>
      <c r="BT14" s="130"/>
      <c r="BU14" s="130"/>
      <c r="BV14" s="130"/>
      <c r="BW14" s="130"/>
      <c r="BX14" s="130"/>
      <c r="BY14" s="130"/>
    </row>
    <row r="15" spans="1:77" x14ac:dyDescent="0.3">
      <c r="E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3"/>
      <c r="BO15" s="133"/>
      <c r="BP15" s="133"/>
      <c r="BQ15" s="133"/>
      <c r="BR15" s="130"/>
      <c r="BS15" s="130"/>
      <c r="BT15" s="130"/>
      <c r="BU15" s="130"/>
      <c r="BV15" s="130"/>
      <c r="BW15" s="130"/>
      <c r="BX15" s="130"/>
      <c r="BY15" s="130"/>
    </row>
    <row r="16" spans="1:77" x14ac:dyDescent="0.3">
      <c r="E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3"/>
      <c r="BO16" s="133"/>
      <c r="BP16" s="133"/>
      <c r="BQ16" s="133"/>
      <c r="BR16" s="130"/>
      <c r="BS16" s="130"/>
      <c r="BT16" s="130"/>
      <c r="BU16" s="130"/>
      <c r="BV16" s="130"/>
      <c r="BW16" s="130"/>
      <c r="BX16" s="130"/>
      <c r="BY16" s="130"/>
    </row>
    <row r="17" spans="2:77" x14ac:dyDescent="0.3">
      <c r="E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3"/>
      <c r="BO17" s="133"/>
      <c r="BP17" s="133"/>
      <c r="BQ17" s="133"/>
      <c r="BR17" s="130"/>
      <c r="BS17" s="130"/>
      <c r="BT17" s="130"/>
      <c r="BU17" s="130"/>
      <c r="BV17" s="130"/>
      <c r="BW17" s="130"/>
      <c r="BX17" s="130"/>
      <c r="BY17" s="130"/>
    </row>
    <row r="18" spans="2:77" x14ac:dyDescent="0.3">
      <c r="E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3"/>
      <c r="BL18" s="130"/>
      <c r="BM18" s="130"/>
      <c r="BN18" s="133"/>
      <c r="BO18" s="133"/>
      <c r="BP18" s="133"/>
      <c r="BQ18" s="133"/>
      <c r="BR18" s="130"/>
      <c r="BS18" s="130"/>
      <c r="BT18" s="130"/>
      <c r="BU18" s="130"/>
      <c r="BV18" s="130"/>
      <c r="BW18" s="130"/>
      <c r="BX18" s="130"/>
      <c r="BY18" s="130"/>
    </row>
    <row r="19" spans="2:77" x14ac:dyDescent="0.3">
      <c r="E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3"/>
      <c r="BL19" s="130"/>
      <c r="BM19" s="130"/>
      <c r="BN19" s="133"/>
      <c r="BO19" s="133"/>
      <c r="BP19" s="133"/>
      <c r="BQ19" s="133"/>
      <c r="BR19" s="130"/>
      <c r="BS19" s="130"/>
      <c r="BT19" s="130"/>
      <c r="BU19" s="130"/>
      <c r="BV19" s="130"/>
      <c r="BW19" s="130"/>
      <c r="BX19" s="130"/>
      <c r="BY19" s="130"/>
    </row>
    <row r="20" spans="2:77" x14ac:dyDescent="0.3">
      <c r="E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3"/>
      <c r="BL20" s="130"/>
      <c r="BM20" s="130"/>
      <c r="BN20" s="133"/>
      <c r="BO20" s="133"/>
      <c r="BP20" s="133"/>
      <c r="BQ20" s="133"/>
      <c r="BR20" s="130"/>
      <c r="BS20" s="130"/>
      <c r="BT20" s="130"/>
      <c r="BU20" s="130"/>
      <c r="BV20" s="130"/>
      <c r="BW20" s="130"/>
      <c r="BX20" s="130"/>
      <c r="BY20" s="130"/>
    </row>
    <row r="21" spans="2:77" x14ac:dyDescent="0.3">
      <c r="E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3"/>
      <c r="BL21" s="130"/>
      <c r="BM21" s="130"/>
      <c r="BN21" s="133"/>
      <c r="BO21" s="133"/>
      <c r="BP21" s="133"/>
      <c r="BQ21" s="133"/>
      <c r="BR21" s="130"/>
      <c r="BS21" s="130"/>
      <c r="BT21" s="130"/>
      <c r="BU21" s="130"/>
      <c r="BV21" s="130"/>
      <c r="BW21" s="130"/>
      <c r="BX21" s="130"/>
      <c r="BY21" s="130"/>
    </row>
    <row r="22" spans="2:77" x14ac:dyDescent="0.3">
      <c r="B22" s="80"/>
      <c r="E22" s="81"/>
      <c r="F22" s="117"/>
      <c r="G22" s="117"/>
      <c r="H22" s="107"/>
      <c r="I22" s="306"/>
      <c r="J22" s="121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3"/>
      <c r="BL22" s="130"/>
      <c r="BM22" s="130"/>
      <c r="BN22" s="133"/>
      <c r="BO22" s="133"/>
      <c r="BP22" s="133"/>
      <c r="BQ22" s="133"/>
      <c r="BR22" s="130"/>
      <c r="BS22" s="130"/>
      <c r="BT22" s="130"/>
      <c r="BU22" s="130"/>
      <c r="BV22" s="130"/>
      <c r="BW22" s="130"/>
      <c r="BX22" s="130"/>
      <c r="BY22" s="130"/>
    </row>
    <row r="23" spans="2:77" x14ac:dyDescent="0.3">
      <c r="B23" s="254" t="s">
        <v>67</v>
      </c>
      <c r="C23" s="82"/>
      <c r="D23" s="82"/>
      <c r="E23" s="82"/>
      <c r="F23" s="82"/>
      <c r="G23" s="82"/>
      <c r="H23" s="83"/>
      <c r="I23" s="121"/>
      <c r="J23" s="121"/>
      <c r="K23" s="118"/>
      <c r="L23" s="70"/>
      <c r="M23" s="70"/>
      <c r="N23" s="70"/>
    </row>
    <row r="24" spans="2:77" x14ac:dyDescent="0.3">
      <c r="B24" s="33" t="s">
        <v>52</v>
      </c>
    </row>
  </sheetData>
  <sortState ref="A7:EV8">
    <sortCondition descending="1" ref="F7:F8"/>
    <sortCondition descending="1" ref="H7:H8"/>
    <sortCondition descending="1" ref="E7:E8"/>
  </sortState>
  <mergeCells count="45">
    <mergeCell ref="K1:N1"/>
    <mergeCell ref="P1:S1"/>
    <mergeCell ref="T1:W1"/>
    <mergeCell ref="X1:AA1"/>
    <mergeCell ref="K2:N2"/>
    <mergeCell ref="P2:S2"/>
    <mergeCell ref="T2:W2"/>
    <mergeCell ref="X2:AA2"/>
    <mergeCell ref="BF1:BI1"/>
    <mergeCell ref="BF2:BI2"/>
    <mergeCell ref="AH2:AK2"/>
    <mergeCell ref="AB1:AD1"/>
    <mergeCell ref="AE1:AG1"/>
    <mergeCell ref="AH1:AK1"/>
    <mergeCell ref="AL1:AO1"/>
    <mergeCell ref="AB2:AD2"/>
    <mergeCell ref="AE2:AG2"/>
    <mergeCell ref="AL2:AO2"/>
    <mergeCell ref="AP2:AS2"/>
    <mergeCell ref="AT2:AW2"/>
    <mergeCell ref="AX2:BA2"/>
    <mergeCell ref="AP1:AS1"/>
    <mergeCell ref="AT1:AW1"/>
    <mergeCell ref="AX1:BA1"/>
    <mergeCell ref="AP3:AS3"/>
    <mergeCell ref="AL3:AO3"/>
    <mergeCell ref="AH3:AK3"/>
    <mergeCell ref="AX3:BA3"/>
    <mergeCell ref="AT3:AW3"/>
    <mergeCell ref="BF3:BI3"/>
    <mergeCell ref="BB3:BE3"/>
    <mergeCell ref="BV1:BY1"/>
    <mergeCell ref="BV2:BY2"/>
    <mergeCell ref="BJ1:BM1"/>
    <mergeCell ref="BJ2:BM2"/>
    <mergeCell ref="BN1:BQ1"/>
    <mergeCell ref="BJ3:BM3"/>
    <mergeCell ref="BN3:BQ3"/>
    <mergeCell ref="BR3:BU3"/>
    <mergeCell ref="BV3:BY3"/>
    <mergeCell ref="BB1:BE1"/>
    <mergeCell ref="BB2:BE2"/>
    <mergeCell ref="BN2:BQ2"/>
    <mergeCell ref="BR1:BU1"/>
    <mergeCell ref="BR2:BU2"/>
  </mergeCells>
  <phoneticPr fontId="0" type="noConversion"/>
  <pageMargins left="0.47244094488188981" right="0.47244094488188981" top="0.98425196850393704" bottom="0.98425196850393704" header="0.51181102362204722" footer="0.51181102362204722"/>
  <pageSetup scale="50" fitToWidth="0" orientation="landscape" r:id="rId1"/>
  <headerFooter alignWithMargins="0">
    <oddHeader>&amp;L&amp;A&amp;R&amp;F</oddHeader>
    <oddFooter>&amp;CPage &amp;P</oddFooter>
  </headerFooter>
  <colBreaks count="2" manualBreakCount="2">
    <brk id="23" max="24" man="1"/>
    <brk id="49" max="2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4"/>
  <sheetViews>
    <sheetView view="pageBreakPreview" zoomScale="80" zoomScaleNormal="80" zoomScaleSheetLayoutView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9.1796875" defaultRowHeight="13" x14ac:dyDescent="0.3"/>
  <cols>
    <col min="1" max="1" width="5.7265625" style="126" customWidth="1"/>
    <col min="2" max="2" width="25.7265625" style="33" customWidth="1"/>
    <col min="3" max="4" width="7.7265625" style="126" customWidth="1"/>
    <col min="5" max="5" width="8.7265625" style="126" customWidth="1"/>
    <col min="6" max="6" width="8.7265625" style="162" customWidth="1"/>
    <col min="7" max="7" width="8.7265625" style="95" customWidth="1"/>
    <col min="8" max="8" width="8.7265625" style="118" customWidth="1"/>
    <col min="9" max="10" width="8.7265625" style="168" customWidth="1"/>
    <col min="11" max="15" width="8.7265625" style="126" customWidth="1"/>
    <col min="16" max="19" width="8.7265625" style="125" customWidth="1"/>
    <col min="20" max="20" width="8.7265625" style="169" customWidth="1"/>
    <col min="21" max="24" width="8.7265625" style="125" customWidth="1"/>
    <col min="25" max="25" width="8.7265625" style="169" customWidth="1"/>
    <col min="26" max="29" width="8.7265625" style="125" customWidth="1"/>
    <col min="30" max="30" width="8.7265625" style="169" customWidth="1"/>
    <col min="31" max="76" width="8.7265625" style="125" customWidth="1"/>
    <col min="77" max="16384" width="9.1796875" style="33"/>
  </cols>
  <sheetData>
    <row r="1" spans="1:88" s="11" customFormat="1" x14ac:dyDescent="0.3">
      <c r="A1" s="1"/>
      <c r="B1" s="2" t="s">
        <v>19</v>
      </c>
      <c r="C1" s="2"/>
      <c r="D1" s="2"/>
      <c r="E1" s="94"/>
      <c r="F1" s="155"/>
      <c r="G1" s="95"/>
      <c r="H1" s="96"/>
      <c r="I1" s="156"/>
      <c r="J1" s="156"/>
      <c r="K1" s="355" t="s">
        <v>12</v>
      </c>
      <c r="L1" s="356"/>
      <c r="M1" s="356"/>
      <c r="N1" s="357"/>
      <c r="O1" s="46" t="s">
        <v>143</v>
      </c>
      <c r="P1" s="355" t="s">
        <v>81</v>
      </c>
      <c r="Q1" s="356"/>
      <c r="R1" s="356"/>
      <c r="S1" s="356"/>
      <c r="T1" s="357"/>
      <c r="U1" s="355" t="s">
        <v>114</v>
      </c>
      <c r="V1" s="356"/>
      <c r="W1" s="356"/>
      <c r="X1" s="356"/>
      <c r="Y1" s="357"/>
      <c r="Z1" s="355" t="s">
        <v>153</v>
      </c>
      <c r="AA1" s="356"/>
      <c r="AB1" s="356"/>
      <c r="AC1" s="356"/>
      <c r="AD1" s="357"/>
      <c r="AE1" s="371" t="s">
        <v>16</v>
      </c>
      <c r="AF1" s="372"/>
      <c r="AG1" s="375"/>
      <c r="AH1" s="371" t="s">
        <v>10</v>
      </c>
      <c r="AI1" s="372"/>
      <c r="AJ1" s="375"/>
      <c r="AK1" s="355" t="s">
        <v>97</v>
      </c>
      <c r="AL1" s="370"/>
      <c r="AM1" s="370"/>
      <c r="AN1" s="359"/>
      <c r="AO1" s="367" t="s">
        <v>166</v>
      </c>
      <c r="AP1" s="373"/>
      <c r="AQ1" s="373"/>
      <c r="AR1" s="374"/>
      <c r="AS1" s="367"/>
      <c r="AT1" s="373"/>
      <c r="AU1" s="373"/>
      <c r="AV1" s="374"/>
      <c r="AW1" s="355"/>
      <c r="AX1" s="370"/>
      <c r="AY1" s="370"/>
      <c r="AZ1" s="359"/>
      <c r="BA1" s="355"/>
      <c r="BB1" s="356"/>
      <c r="BC1" s="356"/>
      <c r="BD1" s="356"/>
      <c r="BE1" s="355"/>
      <c r="BF1" s="356"/>
      <c r="BG1" s="356"/>
      <c r="BH1" s="356"/>
      <c r="BI1" s="355"/>
      <c r="BJ1" s="356"/>
      <c r="BK1" s="356"/>
      <c r="BL1" s="356"/>
      <c r="BM1" s="125"/>
      <c r="BN1" s="125"/>
      <c r="BO1" s="125"/>
      <c r="BP1" s="125"/>
      <c r="BQ1" s="355"/>
      <c r="BR1" s="356"/>
      <c r="BS1" s="356"/>
      <c r="BT1" s="357"/>
      <c r="BU1" s="355"/>
      <c r="BV1" s="356"/>
      <c r="BW1" s="356"/>
      <c r="BX1" s="357"/>
    </row>
    <row r="2" spans="1:88" s="11" customFormat="1" x14ac:dyDescent="0.3">
      <c r="A2" s="15"/>
      <c r="B2" s="13" t="s">
        <v>21</v>
      </c>
      <c r="C2" s="13"/>
      <c r="D2" s="13"/>
      <c r="E2" s="94"/>
      <c r="F2" s="155"/>
      <c r="G2" s="160"/>
      <c r="H2" s="160">
        <v>194.1</v>
      </c>
      <c r="I2" s="160">
        <v>201.6</v>
      </c>
      <c r="J2" s="160">
        <v>215.7</v>
      </c>
      <c r="K2" s="355" t="s">
        <v>11</v>
      </c>
      <c r="L2" s="356"/>
      <c r="M2" s="356"/>
      <c r="N2" s="357"/>
      <c r="O2" s="46" t="s">
        <v>11</v>
      </c>
      <c r="P2" s="355" t="s">
        <v>82</v>
      </c>
      <c r="Q2" s="356"/>
      <c r="R2" s="356"/>
      <c r="S2" s="356"/>
      <c r="T2" s="357"/>
      <c r="U2" s="355" t="s">
        <v>115</v>
      </c>
      <c r="V2" s="356"/>
      <c r="W2" s="356"/>
      <c r="X2" s="356"/>
      <c r="Y2" s="357"/>
      <c r="Z2" s="355" t="s">
        <v>154</v>
      </c>
      <c r="AA2" s="356"/>
      <c r="AB2" s="356"/>
      <c r="AC2" s="356"/>
      <c r="AD2" s="357"/>
      <c r="AE2" s="371" t="s">
        <v>17</v>
      </c>
      <c r="AF2" s="372"/>
      <c r="AG2" s="375"/>
      <c r="AH2" s="371" t="s">
        <v>11</v>
      </c>
      <c r="AI2" s="372"/>
      <c r="AJ2" s="375"/>
      <c r="AK2" s="355" t="s">
        <v>98</v>
      </c>
      <c r="AL2" s="356"/>
      <c r="AM2" s="356"/>
      <c r="AN2" s="356"/>
      <c r="AO2" s="367" t="s">
        <v>167</v>
      </c>
      <c r="AP2" s="368"/>
      <c r="AQ2" s="368"/>
      <c r="AR2" s="368"/>
      <c r="AS2" s="367"/>
      <c r="AT2" s="368"/>
      <c r="AU2" s="368"/>
      <c r="AV2" s="368"/>
      <c r="AW2" s="355"/>
      <c r="AX2" s="356"/>
      <c r="AY2" s="356"/>
      <c r="AZ2" s="356"/>
      <c r="BA2" s="355"/>
      <c r="BB2" s="356"/>
      <c r="BC2" s="356"/>
      <c r="BD2" s="357"/>
      <c r="BE2" s="367"/>
      <c r="BF2" s="368"/>
      <c r="BG2" s="368"/>
      <c r="BH2" s="369"/>
      <c r="BI2" s="367"/>
      <c r="BJ2" s="368"/>
      <c r="BK2" s="368"/>
      <c r="BL2" s="369"/>
      <c r="BM2" s="125"/>
      <c r="BN2" s="125"/>
      <c r="BO2" s="125"/>
      <c r="BP2" s="125"/>
      <c r="BQ2" s="355"/>
      <c r="BR2" s="356"/>
      <c r="BS2" s="356"/>
      <c r="BT2" s="357"/>
      <c r="BU2" s="355"/>
      <c r="BV2" s="356"/>
      <c r="BW2" s="356"/>
      <c r="BX2" s="357"/>
    </row>
    <row r="3" spans="1:88" s="11" customFormat="1" x14ac:dyDescent="0.3">
      <c r="A3" s="15"/>
      <c r="B3" s="2" t="s">
        <v>33</v>
      </c>
      <c r="C3" s="2"/>
      <c r="D3" s="2"/>
      <c r="E3" s="94"/>
      <c r="F3" s="162"/>
      <c r="G3" s="99"/>
      <c r="H3" s="100"/>
      <c r="I3" s="163"/>
      <c r="J3" s="163"/>
      <c r="K3" s="102"/>
      <c r="L3" s="126"/>
      <c r="M3" s="126"/>
      <c r="N3" s="127"/>
      <c r="O3" s="15"/>
      <c r="P3" s="164">
        <v>64.400000000000006</v>
      </c>
      <c r="Q3" s="98">
        <v>66.7</v>
      </c>
      <c r="R3" s="165">
        <v>68.900000000000006</v>
      </c>
      <c r="S3" s="104">
        <v>71.599999999999994</v>
      </c>
      <c r="T3" s="166"/>
      <c r="U3" s="164">
        <v>62.6</v>
      </c>
      <c r="V3" s="98">
        <v>64.7</v>
      </c>
      <c r="W3" s="165">
        <v>67.2</v>
      </c>
      <c r="X3" s="104">
        <v>71.900000000000006</v>
      </c>
      <c r="Y3" s="166"/>
      <c r="Z3" s="164">
        <v>62.6</v>
      </c>
      <c r="AA3" s="98">
        <v>64.7</v>
      </c>
      <c r="AB3" s="165">
        <v>67.2</v>
      </c>
      <c r="AC3" s="104">
        <v>71.900000000000006</v>
      </c>
      <c r="AD3" s="166"/>
      <c r="AE3" s="259"/>
      <c r="AF3" s="259"/>
      <c r="AG3" s="259"/>
      <c r="AH3" s="329"/>
      <c r="AI3" s="259"/>
      <c r="AJ3" s="259"/>
      <c r="AK3" s="376"/>
      <c r="AL3" s="377"/>
      <c r="AM3" s="377"/>
      <c r="AN3" s="377"/>
      <c r="AO3" s="376"/>
      <c r="AP3" s="377"/>
      <c r="AQ3" s="377"/>
      <c r="AR3" s="377"/>
      <c r="AS3" s="376"/>
      <c r="AT3" s="377"/>
      <c r="AU3" s="377"/>
      <c r="AV3" s="377"/>
      <c r="AW3" s="376"/>
      <c r="AX3" s="377"/>
      <c r="AY3" s="377"/>
      <c r="AZ3" s="377"/>
      <c r="BA3" s="376"/>
      <c r="BB3" s="377"/>
      <c r="BC3" s="377"/>
      <c r="BD3" s="377"/>
      <c r="BE3" s="376"/>
      <c r="BF3" s="377"/>
      <c r="BG3" s="377"/>
      <c r="BH3" s="377"/>
      <c r="BI3" s="376"/>
      <c r="BJ3" s="377"/>
      <c r="BK3" s="377"/>
      <c r="BL3" s="377"/>
      <c r="BM3" s="124"/>
      <c r="BN3" s="125"/>
      <c r="BO3" s="125"/>
      <c r="BP3" s="128"/>
      <c r="BQ3" s="124"/>
      <c r="BR3" s="125"/>
      <c r="BS3" s="125"/>
      <c r="BT3" s="128"/>
      <c r="BU3" s="124"/>
      <c r="BV3" s="125"/>
      <c r="BW3" s="125"/>
      <c r="BX3" s="128"/>
    </row>
    <row r="4" spans="1:88" s="11" customFormat="1" x14ac:dyDescent="0.3">
      <c r="A4" s="15"/>
      <c r="B4" s="2" t="s">
        <v>22</v>
      </c>
      <c r="C4" s="2"/>
      <c r="D4" s="15" t="s">
        <v>42</v>
      </c>
      <c r="E4" s="102" t="s">
        <v>8</v>
      </c>
      <c r="F4" s="162" t="s">
        <v>44</v>
      </c>
      <c r="G4" s="95" t="s">
        <v>34</v>
      </c>
      <c r="H4" s="96" t="s">
        <v>9</v>
      </c>
      <c r="I4" s="156" t="s">
        <v>14</v>
      </c>
      <c r="J4" s="104" t="s">
        <v>41</v>
      </c>
      <c r="K4" s="102" t="s">
        <v>4</v>
      </c>
      <c r="L4" s="126" t="s">
        <v>4</v>
      </c>
      <c r="M4" s="126" t="s">
        <v>4</v>
      </c>
      <c r="N4" s="127" t="s">
        <v>4</v>
      </c>
      <c r="O4" s="15" t="s">
        <v>4</v>
      </c>
      <c r="P4" s="167" t="s">
        <v>34</v>
      </c>
      <c r="Q4" s="118" t="s">
        <v>9</v>
      </c>
      <c r="R4" s="168" t="s">
        <v>14</v>
      </c>
      <c r="S4" s="104" t="s">
        <v>41</v>
      </c>
      <c r="T4" s="169"/>
      <c r="U4" s="167" t="s">
        <v>34</v>
      </c>
      <c r="V4" s="118" t="s">
        <v>9</v>
      </c>
      <c r="W4" s="168" t="s">
        <v>14</v>
      </c>
      <c r="X4" s="104" t="s">
        <v>41</v>
      </c>
      <c r="Y4" s="169"/>
      <c r="Z4" s="167" t="s">
        <v>34</v>
      </c>
      <c r="AA4" s="118" t="s">
        <v>9</v>
      </c>
      <c r="AB4" s="168" t="s">
        <v>14</v>
      </c>
      <c r="AC4" s="104" t="s">
        <v>41</v>
      </c>
      <c r="AD4" s="169"/>
      <c r="AE4" s="329" t="s">
        <v>4</v>
      </c>
      <c r="AF4" s="334" t="s">
        <v>4</v>
      </c>
      <c r="AG4" s="334" t="s">
        <v>4</v>
      </c>
      <c r="AH4" s="329" t="s">
        <v>4</v>
      </c>
      <c r="AI4" s="334" t="s">
        <v>4</v>
      </c>
      <c r="AJ4" s="334" t="s">
        <v>4</v>
      </c>
      <c r="AK4" s="285"/>
      <c r="AL4" s="286"/>
      <c r="AM4" s="286"/>
      <c r="AN4" s="286"/>
      <c r="AO4" s="285"/>
      <c r="AP4" s="286"/>
      <c r="AQ4" s="286"/>
      <c r="AR4" s="286"/>
      <c r="AS4" s="56"/>
      <c r="AT4" s="57"/>
      <c r="AU4" s="57"/>
      <c r="AV4" s="57"/>
      <c r="AW4" s="56"/>
      <c r="AX4" s="57"/>
      <c r="AY4" s="57"/>
      <c r="AZ4" s="57"/>
      <c r="BA4" s="56"/>
      <c r="BB4" s="57"/>
      <c r="BC4" s="57"/>
      <c r="BD4" s="57"/>
      <c r="BE4" s="56"/>
      <c r="BF4" s="57"/>
      <c r="BG4" s="57"/>
      <c r="BH4" s="57"/>
      <c r="BI4" s="56"/>
      <c r="BJ4" s="57"/>
      <c r="BK4" s="57"/>
      <c r="BL4" s="57"/>
      <c r="BM4" s="124"/>
      <c r="BN4" s="125"/>
      <c r="BO4" s="125"/>
      <c r="BP4" s="128"/>
      <c r="BQ4" s="124"/>
      <c r="BR4" s="125"/>
      <c r="BS4" s="125"/>
      <c r="BT4" s="128"/>
      <c r="BU4" s="124"/>
      <c r="BV4" s="125"/>
      <c r="BW4" s="125"/>
      <c r="BX4" s="128"/>
    </row>
    <row r="5" spans="1:88" s="11" customFormat="1" x14ac:dyDescent="0.3">
      <c r="A5" s="15"/>
      <c r="B5" s="35" t="str">
        <f>+'TRA-M'!A1</f>
        <v>JULY 2017</v>
      </c>
      <c r="C5" s="36" t="s">
        <v>23</v>
      </c>
      <c r="D5" s="36" t="s">
        <v>43</v>
      </c>
      <c r="E5" s="102" t="s">
        <v>7</v>
      </c>
      <c r="F5" s="162">
        <v>13.7</v>
      </c>
      <c r="G5" s="95" t="s">
        <v>13</v>
      </c>
      <c r="H5" s="96" t="s">
        <v>13</v>
      </c>
      <c r="I5" s="156" t="s">
        <v>13</v>
      </c>
      <c r="J5" s="170" t="s">
        <v>13</v>
      </c>
      <c r="K5" s="102" t="s">
        <v>2</v>
      </c>
      <c r="L5" s="126" t="s">
        <v>31</v>
      </c>
      <c r="M5" s="126" t="s">
        <v>32</v>
      </c>
      <c r="N5" s="127" t="s">
        <v>3</v>
      </c>
      <c r="O5" s="15" t="s">
        <v>15</v>
      </c>
      <c r="P5" s="281" t="s">
        <v>31</v>
      </c>
      <c r="Q5" s="282" t="s">
        <v>32</v>
      </c>
      <c r="R5" s="282" t="s">
        <v>2</v>
      </c>
      <c r="S5" s="282" t="s">
        <v>3</v>
      </c>
      <c r="T5" s="169" t="s">
        <v>40</v>
      </c>
      <c r="U5" s="281" t="s">
        <v>31</v>
      </c>
      <c r="V5" s="282" t="s">
        <v>32</v>
      </c>
      <c r="W5" s="282" t="s">
        <v>2</v>
      </c>
      <c r="X5" s="282" t="s">
        <v>3</v>
      </c>
      <c r="Y5" s="169" t="s">
        <v>40</v>
      </c>
      <c r="Z5" s="124" t="s">
        <v>31</v>
      </c>
      <c r="AA5" s="125" t="s">
        <v>32</v>
      </c>
      <c r="AB5" s="125" t="s">
        <v>2</v>
      </c>
      <c r="AC5" s="125" t="s">
        <v>3</v>
      </c>
      <c r="AD5" s="169" t="s">
        <v>40</v>
      </c>
      <c r="AE5" s="329" t="s">
        <v>31</v>
      </c>
      <c r="AF5" s="259" t="s">
        <v>32</v>
      </c>
      <c r="AG5" s="259" t="s">
        <v>3</v>
      </c>
      <c r="AH5" s="329" t="s">
        <v>31</v>
      </c>
      <c r="AI5" s="259" t="s">
        <v>32</v>
      </c>
      <c r="AJ5" s="259" t="s">
        <v>3</v>
      </c>
      <c r="AK5" s="281" t="s">
        <v>31</v>
      </c>
      <c r="AL5" s="282" t="s">
        <v>32</v>
      </c>
      <c r="AM5" s="282" t="s">
        <v>2</v>
      </c>
      <c r="AN5" s="282" t="s">
        <v>3</v>
      </c>
      <c r="AO5" s="285" t="s">
        <v>31</v>
      </c>
      <c r="AP5" s="286" t="s">
        <v>32</v>
      </c>
      <c r="AQ5" s="286" t="s">
        <v>2</v>
      </c>
      <c r="AR5" s="286" t="s">
        <v>3</v>
      </c>
      <c r="AS5" s="56" t="s">
        <v>31</v>
      </c>
      <c r="AT5" s="57" t="s">
        <v>32</v>
      </c>
      <c r="AU5" s="57" t="s">
        <v>2</v>
      </c>
      <c r="AV5" s="57" t="s">
        <v>3</v>
      </c>
      <c r="AW5" s="124" t="s">
        <v>31</v>
      </c>
      <c r="AX5" s="125" t="s">
        <v>32</v>
      </c>
      <c r="AY5" s="125" t="s">
        <v>2</v>
      </c>
      <c r="AZ5" s="125" t="s">
        <v>3</v>
      </c>
      <c r="BA5" s="124" t="s">
        <v>31</v>
      </c>
      <c r="BB5" s="125" t="s">
        <v>32</v>
      </c>
      <c r="BC5" s="125" t="s">
        <v>2</v>
      </c>
      <c r="BD5" s="125" t="s">
        <v>3</v>
      </c>
      <c r="BE5" s="124" t="s">
        <v>31</v>
      </c>
      <c r="BF5" s="125" t="s">
        <v>32</v>
      </c>
      <c r="BG5" s="125" t="s">
        <v>2</v>
      </c>
      <c r="BH5" s="125" t="s">
        <v>3</v>
      </c>
      <c r="BI5" s="124" t="s">
        <v>31</v>
      </c>
      <c r="BJ5" s="125" t="s">
        <v>32</v>
      </c>
      <c r="BK5" s="125" t="s">
        <v>2</v>
      </c>
      <c r="BL5" s="125" t="s">
        <v>3</v>
      </c>
      <c r="BM5" s="124" t="s">
        <v>31</v>
      </c>
      <c r="BN5" s="125" t="s">
        <v>32</v>
      </c>
      <c r="BO5" s="125" t="s">
        <v>2</v>
      </c>
      <c r="BP5" s="125" t="s">
        <v>3</v>
      </c>
      <c r="BQ5" s="124" t="s">
        <v>31</v>
      </c>
      <c r="BR5" s="125" t="s">
        <v>32</v>
      </c>
      <c r="BS5" s="125" t="s">
        <v>2</v>
      </c>
      <c r="BT5" s="125" t="s">
        <v>3</v>
      </c>
      <c r="BU5" s="56" t="s">
        <v>31</v>
      </c>
      <c r="BV5" s="57" t="s">
        <v>32</v>
      </c>
      <c r="BW5" s="57" t="s">
        <v>2</v>
      </c>
      <c r="BX5" s="57" t="s">
        <v>3</v>
      </c>
      <c r="BY5" s="56" t="s">
        <v>31</v>
      </c>
      <c r="BZ5" s="57" t="s">
        <v>32</v>
      </c>
      <c r="CA5" s="57" t="s">
        <v>2</v>
      </c>
      <c r="CB5" s="57" t="s">
        <v>3</v>
      </c>
      <c r="CC5" s="124" t="s">
        <v>31</v>
      </c>
      <c r="CD5" s="125" t="s">
        <v>32</v>
      </c>
      <c r="CE5" s="125" t="s">
        <v>2</v>
      </c>
      <c r="CF5" s="125" t="s">
        <v>3</v>
      </c>
      <c r="CG5" s="124" t="s">
        <v>31</v>
      </c>
      <c r="CH5" s="125" t="s">
        <v>32</v>
      </c>
      <c r="CI5" s="125" t="s">
        <v>2</v>
      </c>
      <c r="CJ5" s="125" t="s">
        <v>3</v>
      </c>
    </row>
    <row r="6" spans="1:88" s="11" customFormat="1" x14ac:dyDescent="0.3">
      <c r="A6" s="15"/>
      <c r="C6" s="15"/>
      <c r="D6" s="15"/>
      <c r="E6" s="102"/>
      <c r="F6" s="162"/>
      <c r="G6" s="95"/>
      <c r="H6" s="96"/>
      <c r="I6" s="156"/>
      <c r="J6" s="170"/>
      <c r="K6" s="102"/>
      <c r="L6" s="126"/>
      <c r="M6" s="126"/>
      <c r="N6" s="127"/>
      <c r="O6" s="15"/>
      <c r="P6" s="281"/>
      <c r="Q6" s="282"/>
      <c r="R6" s="282"/>
      <c r="S6" s="282"/>
      <c r="T6" s="169"/>
      <c r="U6" s="281"/>
      <c r="V6" s="282"/>
      <c r="W6" s="282"/>
      <c r="X6" s="282"/>
      <c r="Y6" s="169"/>
      <c r="Z6" s="124"/>
      <c r="AA6" s="125"/>
      <c r="AB6" s="125"/>
      <c r="AC6" s="125"/>
      <c r="AD6" s="169"/>
      <c r="AE6" s="329"/>
      <c r="AF6" s="259"/>
      <c r="AG6" s="259"/>
      <c r="AH6" s="329"/>
      <c r="AI6" s="259"/>
      <c r="AJ6" s="259"/>
      <c r="AK6" s="285"/>
      <c r="AL6" s="286"/>
      <c r="AM6" s="286"/>
      <c r="AN6" s="287"/>
      <c r="AO6" s="285"/>
      <c r="AP6" s="286"/>
      <c r="AQ6" s="286"/>
      <c r="AR6" s="287"/>
      <c r="AS6" s="56"/>
      <c r="AT6" s="57"/>
      <c r="AU6" s="57"/>
      <c r="AV6" s="171"/>
      <c r="AW6" s="56"/>
      <c r="AX6" s="57"/>
      <c r="AY6" s="57"/>
      <c r="AZ6" s="171"/>
      <c r="BA6" s="56"/>
      <c r="BB6" s="57"/>
      <c r="BC6" s="57"/>
      <c r="BD6" s="171"/>
      <c r="BE6" s="56"/>
      <c r="BF6" s="57"/>
      <c r="BG6" s="57"/>
      <c r="BH6" s="171"/>
      <c r="BI6" s="56"/>
      <c r="BJ6" s="57"/>
      <c r="BK6" s="57"/>
      <c r="BL6" s="171"/>
      <c r="BM6" s="124"/>
      <c r="BN6" s="125"/>
      <c r="BO6" s="125"/>
      <c r="BP6" s="128"/>
      <c r="BQ6" s="124"/>
      <c r="BR6" s="125"/>
      <c r="BS6" s="125"/>
      <c r="BT6" s="128"/>
      <c r="BU6" s="124"/>
      <c r="BV6" s="125"/>
      <c r="BW6" s="125"/>
      <c r="BX6" s="128"/>
    </row>
    <row r="7" spans="1:88" s="187" customFormat="1" x14ac:dyDescent="0.3">
      <c r="A7" s="15">
        <v>1</v>
      </c>
      <c r="B7" s="172" t="s">
        <v>53</v>
      </c>
      <c r="C7" s="173" t="s">
        <v>24</v>
      </c>
      <c r="D7" s="15">
        <v>2010</v>
      </c>
      <c r="E7" s="174">
        <f t="shared" ref="E7:E14" si="0">IF(O7="",SUM(K7:N7),SUM(K7:O7))</f>
        <v>219.50000000000003</v>
      </c>
      <c r="F7" s="175" t="s">
        <v>45</v>
      </c>
      <c r="G7" s="107" t="str">
        <f>IF('TRA-M'!$A$2-D7&lt;=1,IF(R7&gt;=$P$3,"YES",IF(W7&gt;=$U$3,"YES",IF(AB7&gt;=$Z$3,"YES",""))),"")</f>
        <v/>
      </c>
      <c r="H7" s="108" t="str">
        <f t="shared" ref="H7:H14" si="1">IF(R7&gt;=$Q$3,IF(F7="YES","YES",""),IF(W7&gt;=$V$3,IF(F7="YES","YES",""),IF(AB7&gt;=$AA$3,IF(F7="YES","YES",""),"")))</f>
        <v>YES</v>
      </c>
      <c r="I7" s="109" t="str">
        <f t="shared" ref="I7:I14" si="2">IF(R7&gt;=$R$3,IF(F7="YES","YES",""),IF(W7&gt;=$W$3,IF(F7="YES","YES",""),IF(AB7&gt;=$AB$3,IF(F7="YES","YES",""),"")))</f>
        <v>YES</v>
      </c>
      <c r="J7" s="110" t="str">
        <f t="shared" ref="J7:J14" si="3">IF(R7&gt;=$S$3,IF(F7="YES","YES",""),IF(W7&gt;=$X$3,IF(F7="YES","YES",""),IF(AB7&gt;=$AC$3,IF(F7="YES","YES",""),"")))</f>
        <v>YES</v>
      </c>
      <c r="K7" s="124">
        <f t="shared" ref="K7:K14" si="4">MAX($AB7,$W7,$R7)</f>
        <v>73</v>
      </c>
      <c r="L7" s="125">
        <f t="shared" ref="L7:L14" si="5">IF($K7=$AB7,MAX($U7,$P7),IF($K7=$W7,MAX($Z7,$P7),MAX($Z7,$U7)))</f>
        <v>35.4</v>
      </c>
      <c r="M7" s="125">
        <f t="shared" ref="M7:M14" si="6">IF($K7=$AB7,MAX($V7,$Q7),IF($K7=$W7,MAX($AA7,$Q7),MAX($AA7,$V7)))</f>
        <v>36.700000000000003</v>
      </c>
      <c r="N7" s="128">
        <f t="shared" ref="N7:N14" si="7">MAX($AC7,$X7,$S7)</f>
        <v>74.400000000000006</v>
      </c>
      <c r="O7" s="176" t="str">
        <f t="shared" ref="O7:O14" si="8">IF(MAX(AE7:AG7)&lt;=0,"",MAX(AE7:AG7))</f>
        <v/>
      </c>
      <c r="P7" s="285">
        <v>35.6</v>
      </c>
      <c r="Q7" s="286">
        <v>37.4</v>
      </c>
      <c r="R7" s="177">
        <f t="shared" ref="R7:R14" si="9">+P7+Q7</f>
        <v>73</v>
      </c>
      <c r="S7" s="178">
        <f>36.8+37.6</f>
        <v>74.400000000000006</v>
      </c>
      <c r="T7" s="179">
        <v>1</v>
      </c>
      <c r="U7" s="285">
        <v>34.799999999999997</v>
      </c>
      <c r="V7" s="286">
        <v>35.9</v>
      </c>
      <c r="W7" s="177">
        <f t="shared" ref="W7:W14" si="10">+U7+V7</f>
        <v>70.699999999999989</v>
      </c>
      <c r="X7" s="178">
        <f>34.8+34.8</f>
        <v>69.599999999999994</v>
      </c>
      <c r="Y7" s="179">
        <v>4</v>
      </c>
      <c r="Z7" s="285">
        <v>35.4</v>
      </c>
      <c r="AA7" s="286">
        <v>36.700000000000003</v>
      </c>
      <c r="AB7" s="177">
        <f t="shared" ref="AB7:AB14" si="11">+Z7+AA7</f>
        <v>72.099999999999994</v>
      </c>
      <c r="AC7" s="178">
        <f>36.3+35.5</f>
        <v>71.8</v>
      </c>
      <c r="AD7" s="179">
        <v>1</v>
      </c>
      <c r="AE7" s="330">
        <f t="shared" ref="AE7:AG14" si="12">IF(AH7="","",AH7-L7)</f>
        <v>-0.69999999999999574</v>
      </c>
      <c r="AF7" s="328">
        <f t="shared" si="12"/>
        <v>-1.2000000000000028</v>
      </c>
      <c r="AG7" s="328">
        <f t="shared" si="12"/>
        <v>-2.2000000000000028</v>
      </c>
      <c r="AH7" s="329">
        <f t="shared" ref="AH7:AH14" si="13">IF(MAX($AK7,$AO7,$AS7,$AW7,$BA7,$BE7,$BI7,$BM7,$BQ7,$BU7)=0,"",MAX($AK7,$AO7,$AS7,$AW7,$BA7,$BE7,$BI7,$BM7,$BQ7,$BU7))</f>
        <v>34.700000000000003</v>
      </c>
      <c r="AI7" s="259">
        <f t="shared" ref="AI7:AI14" si="14">IF(MAX($AL7,$AP7,$AT7,$AX7,$BB7,$BF7,$BJ7,$BN7,$BR7,$BV7)=0,"",MAX($AL7,$AP7,$AT7,$AX7,$BB7,$BF7,$BJ7,$BN7,$BR7,$BV7))</f>
        <v>35.5</v>
      </c>
      <c r="AJ7" s="259">
        <f t="shared" ref="AJ7:AJ14" si="15">IF(MAX($AN7,$AR7,$AV7,$AZ7,$BD7,$BH7,$BL7,$BP7,$BT7,$BX7)=0,"",MAX($AN7,$AR7,$AV7,$AZ7,$BD7,$BH7,$BL7,$BP7,$BT7,$BX7))</f>
        <v>72.2</v>
      </c>
      <c r="AK7" s="285">
        <v>34.700000000000003</v>
      </c>
      <c r="AL7" s="286">
        <v>35.5</v>
      </c>
      <c r="AM7" s="182">
        <f t="shared" ref="AM7:AM14" si="16">IF(AK7&lt;&gt;"",AK7+AL7,"")</f>
        <v>70.2</v>
      </c>
      <c r="AN7" s="183">
        <f>34.4+35.1</f>
        <v>69.5</v>
      </c>
      <c r="AO7" s="285">
        <v>34.5</v>
      </c>
      <c r="AP7" s="286">
        <v>34.4</v>
      </c>
      <c r="AQ7" s="182">
        <f t="shared" ref="AQ7:AQ14" si="17">IF(AO7&lt;&gt;"",AO7+AP7,"")</f>
        <v>68.900000000000006</v>
      </c>
      <c r="AR7" s="183">
        <f>36.5+35.7</f>
        <v>72.2</v>
      </c>
      <c r="AS7" s="56"/>
      <c r="AT7" s="57"/>
      <c r="AU7" s="181" t="str">
        <f t="shared" ref="AU7:AU14" si="18">IF(AS7&lt;&gt;"",AS7+AT7,"")</f>
        <v/>
      </c>
      <c r="AV7" s="171"/>
      <c r="AW7" s="56"/>
      <c r="AX7" s="57"/>
      <c r="AY7" s="181" t="str">
        <f t="shared" ref="AY7:AY14" si="19">IF(AW7&lt;&gt;"",AW7+AX7,"")</f>
        <v/>
      </c>
      <c r="AZ7" s="171"/>
      <c r="BA7" s="56"/>
      <c r="BB7" s="57"/>
      <c r="BC7" s="181" t="str">
        <f t="shared" ref="BC7:BC14" si="20">IF(BA7&lt;&gt;"",BA7+BB7,"")</f>
        <v/>
      </c>
      <c r="BD7" s="171"/>
      <c r="BE7" s="56"/>
      <c r="BF7" s="57"/>
      <c r="BG7" s="181" t="str">
        <f t="shared" ref="BG7:BG14" si="21">IF(BE7&lt;&gt;"",BE7+BF7,"")</f>
        <v/>
      </c>
      <c r="BH7" s="171"/>
      <c r="BI7" s="56"/>
      <c r="BJ7" s="57"/>
      <c r="BK7" s="181" t="str">
        <f t="shared" ref="BK7:BK14" si="22">IF(BI7&lt;&gt;"",BI7+BJ7,"")</f>
        <v/>
      </c>
      <c r="BL7" s="171"/>
      <c r="BM7" s="124"/>
      <c r="BN7" s="184"/>
      <c r="BO7" s="184"/>
      <c r="BP7" s="185"/>
      <c r="BQ7" s="186"/>
      <c r="BR7" s="184"/>
      <c r="BS7" s="184"/>
      <c r="BT7" s="185"/>
      <c r="BU7" s="186"/>
      <c r="BV7" s="184"/>
      <c r="BW7" s="184"/>
      <c r="BX7" s="185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</row>
    <row r="8" spans="1:88" s="11" customFormat="1" x14ac:dyDescent="0.3">
      <c r="A8" s="15">
        <v>2</v>
      </c>
      <c r="B8" s="302" t="s">
        <v>93</v>
      </c>
      <c r="C8" s="303" t="s">
        <v>24</v>
      </c>
      <c r="D8" s="15">
        <v>2012</v>
      </c>
      <c r="E8" s="174">
        <f t="shared" si="0"/>
        <v>214.39999999999998</v>
      </c>
      <c r="F8" s="175" t="s">
        <v>45</v>
      </c>
      <c r="G8" s="107" t="str">
        <f>IF('TRA-M'!$A$2-D8&lt;=1,IF(R8&gt;=$P$3,"YES",IF(W8&gt;=$U$3,"YES",IF(AB8&gt;=$Z$3,"YES",""))),"")</f>
        <v/>
      </c>
      <c r="H8" s="108" t="str">
        <f t="shared" si="1"/>
        <v>YES</v>
      </c>
      <c r="I8" s="109" t="str">
        <f t="shared" si="2"/>
        <v>YES</v>
      </c>
      <c r="J8" s="110" t="str">
        <f t="shared" si="3"/>
        <v>YES</v>
      </c>
      <c r="K8" s="124">
        <f t="shared" si="4"/>
        <v>72.3</v>
      </c>
      <c r="L8" s="125">
        <f t="shared" si="5"/>
        <v>30</v>
      </c>
      <c r="M8" s="125">
        <f t="shared" si="6"/>
        <v>35.299999999999997</v>
      </c>
      <c r="N8" s="128">
        <f t="shared" si="7"/>
        <v>72</v>
      </c>
      <c r="O8" s="176">
        <f t="shared" si="8"/>
        <v>4.7999999999999972</v>
      </c>
      <c r="P8" s="285">
        <v>36.299999999999997</v>
      </c>
      <c r="Q8" s="286">
        <v>36</v>
      </c>
      <c r="R8" s="177">
        <f t="shared" si="9"/>
        <v>72.3</v>
      </c>
      <c r="S8" s="178">
        <f>36.2+35.8</f>
        <v>72</v>
      </c>
      <c r="T8" s="179">
        <v>2</v>
      </c>
      <c r="U8" s="285"/>
      <c r="V8" s="286"/>
      <c r="W8" s="180">
        <f t="shared" si="10"/>
        <v>0</v>
      </c>
      <c r="X8" s="178"/>
      <c r="Y8" s="179"/>
      <c r="Z8" s="285">
        <v>30</v>
      </c>
      <c r="AA8" s="286">
        <v>35.299999999999997</v>
      </c>
      <c r="AB8" s="180">
        <f t="shared" si="11"/>
        <v>65.3</v>
      </c>
      <c r="AC8" s="178">
        <f>34.1+33.6</f>
        <v>67.7</v>
      </c>
      <c r="AD8" s="179">
        <v>2</v>
      </c>
      <c r="AE8" s="330">
        <f t="shared" si="12"/>
        <v>4.7999999999999972</v>
      </c>
      <c r="AF8" s="328">
        <f t="shared" si="12"/>
        <v>-0.79999999999999716</v>
      </c>
      <c r="AG8" s="328">
        <f t="shared" si="12"/>
        <v>-6.5999999999999943</v>
      </c>
      <c r="AH8" s="329">
        <f t="shared" si="13"/>
        <v>34.799999999999997</v>
      </c>
      <c r="AI8" s="259">
        <f t="shared" si="14"/>
        <v>34.5</v>
      </c>
      <c r="AJ8" s="259">
        <f t="shared" si="15"/>
        <v>65.400000000000006</v>
      </c>
      <c r="AK8" s="285">
        <v>34.799999999999997</v>
      </c>
      <c r="AL8" s="286">
        <v>34.5</v>
      </c>
      <c r="AM8" s="182">
        <f t="shared" si="16"/>
        <v>69.3</v>
      </c>
      <c r="AN8" s="287">
        <f>34.6+30.8</f>
        <v>65.400000000000006</v>
      </c>
      <c r="AO8" s="285"/>
      <c r="AP8" s="286"/>
      <c r="AQ8" s="181" t="str">
        <f t="shared" si="17"/>
        <v/>
      </c>
      <c r="AR8" s="287"/>
      <c r="AS8" s="56"/>
      <c r="AT8" s="57"/>
      <c r="AU8" s="181" t="str">
        <f t="shared" si="18"/>
        <v/>
      </c>
      <c r="AV8" s="171"/>
      <c r="AW8" s="56"/>
      <c r="AX8" s="57"/>
      <c r="AY8" s="181" t="str">
        <f t="shared" si="19"/>
        <v/>
      </c>
      <c r="AZ8" s="171"/>
      <c r="BA8" s="56"/>
      <c r="BB8" s="57"/>
      <c r="BC8" s="181" t="str">
        <f t="shared" si="20"/>
        <v/>
      </c>
      <c r="BD8" s="171"/>
      <c r="BE8" s="56"/>
      <c r="BF8" s="57"/>
      <c r="BG8" s="181" t="str">
        <f t="shared" si="21"/>
        <v/>
      </c>
      <c r="BH8" s="171"/>
      <c r="BI8" s="56"/>
      <c r="BJ8" s="57"/>
      <c r="BK8" s="181" t="str">
        <f t="shared" si="22"/>
        <v/>
      </c>
      <c r="BL8" s="171"/>
      <c r="BM8" s="186"/>
      <c r="BN8" s="184"/>
      <c r="BO8" s="184"/>
      <c r="BP8" s="185"/>
      <c r="BQ8" s="186"/>
      <c r="BR8" s="184"/>
      <c r="BS8" s="184"/>
      <c r="BT8" s="185"/>
      <c r="BU8" s="186"/>
      <c r="BV8" s="184"/>
      <c r="BW8" s="184"/>
      <c r="BX8" s="185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</row>
    <row r="9" spans="1:88" s="187" customFormat="1" x14ac:dyDescent="0.3">
      <c r="A9" s="194"/>
      <c r="B9" s="62" t="s">
        <v>128</v>
      </c>
      <c r="C9" s="246" t="s">
        <v>27</v>
      </c>
      <c r="D9" s="15">
        <v>2017</v>
      </c>
      <c r="E9" s="174">
        <f t="shared" si="0"/>
        <v>179.45</v>
      </c>
      <c r="F9" s="175"/>
      <c r="G9" s="107" t="str">
        <f>IF('TRA-M'!$A$2-D9&lt;=1,IF(R9&gt;=$P$3,"YES",IF(W9&gt;=$U$3,"YES",IF(AB9&gt;=$Z$3,"YES",""))),"")</f>
        <v/>
      </c>
      <c r="H9" s="108" t="str">
        <f t="shared" si="1"/>
        <v/>
      </c>
      <c r="I9" s="109" t="str">
        <f t="shared" si="2"/>
        <v/>
      </c>
      <c r="J9" s="110" t="str">
        <f t="shared" si="3"/>
        <v/>
      </c>
      <c r="K9" s="124">
        <f t="shared" si="4"/>
        <v>61.3</v>
      </c>
      <c r="L9" s="125">
        <f t="shared" si="5"/>
        <v>24.25</v>
      </c>
      <c r="M9" s="125">
        <f t="shared" si="6"/>
        <v>31.2</v>
      </c>
      <c r="N9" s="128">
        <f t="shared" si="7"/>
        <v>62.7</v>
      </c>
      <c r="O9" s="176" t="str">
        <f t="shared" si="8"/>
        <v/>
      </c>
      <c r="P9" s="220">
        <v>31.8</v>
      </c>
      <c r="Q9" s="222">
        <v>29.5</v>
      </c>
      <c r="R9" s="221">
        <f t="shared" si="9"/>
        <v>61.3</v>
      </c>
      <c r="S9" s="222">
        <f>31.6+31.1</f>
        <v>62.7</v>
      </c>
      <c r="T9" s="250"/>
      <c r="U9" s="204">
        <v>16.7</v>
      </c>
      <c r="V9" s="286">
        <v>31.2</v>
      </c>
      <c r="W9" s="180">
        <f t="shared" si="10"/>
        <v>47.9</v>
      </c>
      <c r="X9" s="286"/>
      <c r="Y9" s="179">
        <v>5</v>
      </c>
      <c r="Z9" s="188">
        <v>24.25</v>
      </c>
      <c r="AA9" s="189">
        <v>30.35</v>
      </c>
      <c r="AB9" s="190">
        <f t="shared" si="11"/>
        <v>54.6</v>
      </c>
      <c r="AC9" s="189">
        <v>31.35</v>
      </c>
      <c r="AD9" s="191"/>
      <c r="AE9" s="330" t="str">
        <f t="shared" si="12"/>
        <v/>
      </c>
      <c r="AF9" s="328" t="str">
        <f t="shared" si="12"/>
        <v/>
      </c>
      <c r="AG9" s="328" t="str">
        <f t="shared" si="12"/>
        <v/>
      </c>
      <c r="AH9" s="329" t="str">
        <f t="shared" si="13"/>
        <v/>
      </c>
      <c r="AI9" s="259" t="str">
        <f t="shared" si="14"/>
        <v/>
      </c>
      <c r="AJ9" s="259" t="str">
        <f t="shared" si="15"/>
        <v/>
      </c>
      <c r="AK9" s="285"/>
      <c r="AL9" s="286"/>
      <c r="AM9" s="181" t="str">
        <f t="shared" si="16"/>
        <v/>
      </c>
      <c r="AN9" s="287"/>
      <c r="AO9" s="285"/>
      <c r="AP9" s="286"/>
      <c r="AQ9" s="181" t="str">
        <f t="shared" si="17"/>
        <v/>
      </c>
      <c r="AR9" s="287"/>
      <c r="AS9" s="56"/>
      <c r="AT9" s="57"/>
      <c r="AU9" s="181" t="str">
        <f t="shared" si="18"/>
        <v/>
      </c>
      <c r="AV9" s="171"/>
      <c r="AW9" s="56"/>
      <c r="AX9" s="57"/>
      <c r="AY9" s="181" t="str">
        <f t="shared" si="19"/>
        <v/>
      </c>
      <c r="AZ9" s="171"/>
      <c r="BA9" s="56"/>
      <c r="BB9" s="57"/>
      <c r="BC9" s="181" t="str">
        <f t="shared" si="20"/>
        <v/>
      </c>
      <c r="BD9" s="171"/>
      <c r="BE9" s="56"/>
      <c r="BF9" s="57"/>
      <c r="BG9" s="181" t="str">
        <f t="shared" si="21"/>
        <v/>
      </c>
      <c r="BH9" s="171"/>
      <c r="BI9" s="56"/>
      <c r="BJ9" s="57"/>
      <c r="BK9" s="181" t="str">
        <f t="shared" si="22"/>
        <v/>
      </c>
      <c r="BL9" s="171"/>
      <c r="BM9" s="186"/>
      <c r="BN9" s="184"/>
      <c r="BO9" s="184"/>
      <c r="BP9" s="185"/>
      <c r="BQ9" s="186"/>
      <c r="BR9" s="184"/>
      <c r="BS9" s="184"/>
      <c r="BT9" s="185"/>
      <c r="BU9" s="186"/>
      <c r="BV9" s="184"/>
      <c r="BW9" s="184"/>
      <c r="BX9" s="185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</row>
    <row r="10" spans="1:88" x14ac:dyDescent="0.3">
      <c r="A10" s="115"/>
      <c r="B10" s="123" t="s">
        <v>88</v>
      </c>
      <c r="C10" s="76" t="s">
        <v>24</v>
      </c>
      <c r="D10" s="15">
        <v>2014</v>
      </c>
      <c r="E10" s="174">
        <f t="shared" si="0"/>
        <v>130</v>
      </c>
      <c r="F10" s="175"/>
      <c r="G10" s="107" t="str">
        <f>IF('TRA-M'!$A$2-D10&lt;=1,IF(R10&gt;=$P$3,"YES",IF(W10&gt;=$U$3,"YES",IF(AB10&gt;=$Z$3,"YES",""))),"")</f>
        <v/>
      </c>
      <c r="H10" s="108" t="str">
        <f t="shared" si="1"/>
        <v/>
      </c>
      <c r="I10" s="109" t="str">
        <f t="shared" si="2"/>
        <v/>
      </c>
      <c r="J10" s="110" t="str">
        <f t="shared" si="3"/>
        <v/>
      </c>
      <c r="K10" s="124">
        <f t="shared" si="4"/>
        <v>65.5</v>
      </c>
      <c r="L10" s="125">
        <f t="shared" si="5"/>
        <v>0</v>
      </c>
      <c r="M10" s="125">
        <f t="shared" si="6"/>
        <v>0</v>
      </c>
      <c r="N10" s="128">
        <f t="shared" si="7"/>
        <v>64.5</v>
      </c>
      <c r="O10" s="176" t="str">
        <f t="shared" si="8"/>
        <v/>
      </c>
      <c r="P10" s="285">
        <v>32.799999999999997</v>
      </c>
      <c r="Q10" s="286">
        <v>32.700000000000003</v>
      </c>
      <c r="R10" s="180">
        <f t="shared" si="9"/>
        <v>65.5</v>
      </c>
      <c r="S10" s="286">
        <f>32+32.5</f>
        <v>64.5</v>
      </c>
      <c r="T10" s="179">
        <v>3</v>
      </c>
      <c r="U10" s="285"/>
      <c r="V10" s="286"/>
      <c r="W10" s="180">
        <f t="shared" si="10"/>
        <v>0</v>
      </c>
      <c r="X10" s="286"/>
      <c r="Y10" s="179"/>
      <c r="Z10" s="285"/>
      <c r="AA10" s="286"/>
      <c r="AB10" s="180">
        <f t="shared" si="11"/>
        <v>0</v>
      </c>
      <c r="AC10" s="57"/>
      <c r="AD10" s="179"/>
      <c r="AE10" s="330" t="str">
        <f t="shared" si="12"/>
        <v/>
      </c>
      <c r="AF10" s="328" t="str">
        <f t="shared" si="12"/>
        <v/>
      </c>
      <c r="AG10" s="328" t="str">
        <f t="shared" si="12"/>
        <v/>
      </c>
      <c r="AH10" s="329" t="str">
        <f t="shared" si="13"/>
        <v/>
      </c>
      <c r="AI10" s="259" t="str">
        <f t="shared" si="14"/>
        <v/>
      </c>
      <c r="AJ10" s="259" t="str">
        <f t="shared" si="15"/>
        <v/>
      </c>
      <c r="AK10" s="285"/>
      <c r="AL10" s="286"/>
      <c r="AM10" s="181" t="str">
        <f t="shared" si="16"/>
        <v/>
      </c>
      <c r="AN10" s="287"/>
      <c r="AO10" s="285"/>
      <c r="AP10" s="286"/>
      <c r="AQ10" s="181" t="str">
        <f t="shared" si="17"/>
        <v/>
      </c>
      <c r="AR10" s="287"/>
      <c r="AS10" s="56"/>
      <c r="AT10" s="57"/>
      <c r="AU10" s="181" t="str">
        <f t="shared" si="18"/>
        <v/>
      </c>
      <c r="AV10" s="171"/>
      <c r="AW10" s="56"/>
      <c r="AX10" s="57"/>
      <c r="AY10" s="181" t="str">
        <f t="shared" si="19"/>
        <v/>
      </c>
      <c r="AZ10" s="171"/>
      <c r="BA10" s="56"/>
      <c r="BB10" s="57"/>
      <c r="BC10" s="181" t="str">
        <f t="shared" si="20"/>
        <v/>
      </c>
      <c r="BD10" s="171"/>
      <c r="BE10" s="56"/>
      <c r="BF10" s="57"/>
      <c r="BG10" s="181" t="str">
        <f t="shared" si="21"/>
        <v/>
      </c>
      <c r="BH10" s="171"/>
      <c r="BI10" s="56"/>
      <c r="BJ10" s="57"/>
      <c r="BK10" s="181" t="str">
        <f t="shared" si="22"/>
        <v/>
      </c>
      <c r="BL10" s="171"/>
      <c r="BM10" s="186"/>
      <c r="BN10" s="184"/>
      <c r="BO10" s="184"/>
      <c r="BP10" s="185"/>
      <c r="BQ10" s="186"/>
      <c r="BR10" s="184"/>
      <c r="BS10" s="184"/>
      <c r="BT10" s="185"/>
      <c r="BU10" s="186"/>
      <c r="BV10" s="184"/>
      <c r="BW10" s="184"/>
      <c r="BX10" s="185"/>
    </row>
    <row r="11" spans="1:88" x14ac:dyDescent="0.3">
      <c r="A11" s="194">
        <v>3</v>
      </c>
      <c r="B11" s="62" t="s">
        <v>87</v>
      </c>
      <c r="C11" s="289" t="s">
        <v>24</v>
      </c>
      <c r="D11" s="15">
        <v>2016</v>
      </c>
      <c r="E11" s="174">
        <f t="shared" si="0"/>
        <v>126.7</v>
      </c>
      <c r="F11" s="175"/>
      <c r="G11" s="107" t="str">
        <f>IF('TRA-M'!$A$2-D11&lt;=1,IF(R11&gt;=$P$3,"YES",IF(W11&gt;=$U$3,"YES",IF(AB11&gt;=$Z$3,"YES",""))),"")</f>
        <v>YES</v>
      </c>
      <c r="H11" s="108" t="str">
        <f t="shared" si="1"/>
        <v/>
      </c>
      <c r="I11" s="109" t="str">
        <f t="shared" si="2"/>
        <v/>
      </c>
      <c r="J11" s="110" t="str">
        <f t="shared" si="3"/>
        <v/>
      </c>
      <c r="K11" s="124">
        <f t="shared" si="4"/>
        <v>65.3</v>
      </c>
      <c r="L11" s="125">
        <f t="shared" si="5"/>
        <v>0</v>
      </c>
      <c r="M11" s="125">
        <f t="shared" si="6"/>
        <v>0</v>
      </c>
      <c r="N11" s="128">
        <f t="shared" si="7"/>
        <v>61.400000000000006</v>
      </c>
      <c r="O11" s="176" t="str">
        <f t="shared" si="8"/>
        <v/>
      </c>
      <c r="P11" s="285">
        <v>32.4</v>
      </c>
      <c r="Q11" s="286">
        <v>32.9</v>
      </c>
      <c r="R11" s="180">
        <f t="shared" si="9"/>
        <v>65.3</v>
      </c>
      <c r="S11" s="195">
        <f>28.7+32.7</f>
        <v>61.400000000000006</v>
      </c>
      <c r="T11" s="179">
        <v>4</v>
      </c>
      <c r="U11" s="285"/>
      <c r="V11" s="286"/>
      <c r="W11" s="180">
        <f t="shared" si="10"/>
        <v>0</v>
      </c>
      <c r="X11" s="286"/>
      <c r="Y11" s="179"/>
      <c r="Z11" s="56"/>
      <c r="AA11" s="57"/>
      <c r="AB11" s="180">
        <f t="shared" si="11"/>
        <v>0</v>
      </c>
      <c r="AC11" s="57"/>
      <c r="AD11" s="179"/>
      <c r="AE11" s="330" t="str">
        <f t="shared" si="12"/>
        <v/>
      </c>
      <c r="AF11" s="328" t="str">
        <f t="shared" si="12"/>
        <v/>
      </c>
      <c r="AG11" s="328" t="str">
        <f t="shared" si="12"/>
        <v/>
      </c>
      <c r="AH11" s="329" t="str">
        <f t="shared" si="13"/>
        <v/>
      </c>
      <c r="AI11" s="259" t="str">
        <f t="shared" si="14"/>
        <v/>
      </c>
      <c r="AJ11" s="259" t="str">
        <f t="shared" si="15"/>
        <v/>
      </c>
      <c r="AK11" s="188"/>
      <c r="AL11" s="189"/>
      <c r="AM11" s="196" t="str">
        <f t="shared" si="16"/>
        <v/>
      </c>
      <c r="AN11" s="197"/>
      <c r="AO11" s="285"/>
      <c r="AP11" s="286"/>
      <c r="AQ11" s="181" t="str">
        <f t="shared" si="17"/>
        <v/>
      </c>
      <c r="AR11" s="287"/>
      <c r="AS11" s="56"/>
      <c r="AT11" s="57"/>
      <c r="AU11" s="181" t="str">
        <f t="shared" si="18"/>
        <v/>
      </c>
      <c r="AV11" s="171"/>
      <c r="AW11" s="56"/>
      <c r="AX11" s="57"/>
      <c r="AY11" s="181" t="str">
        <f t="shared" si="19"/>
        <v/>
      </c>
      <c r="AZ11" s="171"/>
      <c r="BA11" s="56"/>
      <c r="BB11" s="57"/>
      <c r="BC11" s="181" t="str">
        <f t="shared" si="20"/>
        <v/>
      </c>
      <c r="BD11" s="171"/>
      <c r="BE11" s="56"/>
      <c r="BF11" s="57"/>
      <c r="BG11" s="181" t="str">
        <f t="shared" si="21"/>
        <v/>
      </c>
      <c r="BH11" s="171"/>
      <c r="BI11" s="56"/>
      <c r="BJ11" s="57"/>
      <c r="BK11" s="181" t="str">
        <f t="shared" si="22"/>
        <v/>
      </c>
      <c r="BL11" s="171"/>
      <c r="BM11" s="186"/>
      <c r="BN11" s="184"/>
      <c r="BO11" s="184"/>
      <c r="BP11" s="185"/>
      <c r="BQ11" s="186"/>
      <c r="BR11" s="184"/>
      <c r="BS11" s="184"/>
      <c r="BT11" s="185"/>
      <c r="BU11" s="186"/>
      <c r="BV11" s="184"/>
      <c r="BW11" s="184"/>
      <c r="BX11" s="185"/>
    </row>
    <row r="12" spans="1:88" x14ac:dyDescent="0.3">
      <c r="A12" s="194"/>
      <c r="B12" s="62" t="s">
        <v>161</v>
      </c>
      <c r="C12" s="64" t="s">
        <v>26</v>
      </c>
      <c r="D12" s="15">
        <v>2017</v>
      </c>
      <c r="E12" s="174">
        <f t="shared" si="0"/>
        <v>120.6</v>
      </c>
      <c r="F12" s="175"/>
      <c r="G12" s="107" t="str">
        <f>IF('TRA-M'!$A$2-D12&lt;=1,IF(R12&gt;=$P$3,"YES",IF(W12&gt;=$U$3,"YES",IF(AB12&gt;=$Z$3,"YES",""))),"")</f>
        <v/>
      </c>
      <c r="H12" s="108" t="str">
        <f t="shared" si="1"/>
        <v/>
      </c>
      <c r="I12" s="109" t="str">
        <f t="shared" si="2"/>
        <v/>
      </c>
      <c r="J12" s="110" t="str">
        <f t="shared" si="3"/>
        <v/>
      </c>
      <c r="K12" s="124">
        <f t="shared" si="4"/>
        <v>57.9</v>
      </c>
      <c r="L12" s="125">
        <f t="shared" si="5"/>
        <v>0</v>
      </c>
      <c r="M12" s="125">
        <f t="shared" si="6"/>
        <v>0</v>
      </c>
      <c r="N12" s="128">
        <f t="shared" si="7"/>
        <v>62.7</v>
      </c>
      <c r="O12" s="176" t="str">
        <f t="shared" si="8"/>
        <v/>
      </c>
      <c r="P12" s="285"/>
      <c r="Q12" s="286"/>
      <c r="R12" s="180">
        <f t="shared" si="9"/>
        <v>0</v>
      </c>
      <c r="S12" s="286"/>
      <c r="T12" s="179"/>
      <c r="U12" s="285"/>
      <c r="V12" s="286"/>
      <c r="W12" s="180">
        <f t="shared" si="10"/>
        <v>0</v>
      </c>
      <c r="X12" s="286"/>
      <c r="Y12" s="179"/>
      <c r="Z12" s="204">
        <v>28.5</v>
      </c>
      <c r="AA12" s="57">
        <v>29.4</v>
      </c>
      <c r="AB12" s="180">
        <f t="shared" si="11"/>
        <v>57.9</v>
      </c>
      <c r="AC12" s="57">
        <f>31.7+31</f>
        <v>62.7</v>
      </c>
      <c r="AD12" s="179">
        <v>3</v>
      </c>
      <c r="AE12" s="330" t="str">
        <f t="shared" si="12"/>
        <v/>
      </c>
      <c r="AF12" s="328" t="str">
        <f t="shared" si="12"/>
        <v/>
      </c>
      <c r="AG12" s="328" t="str">
        <f t="shared" si="12"/>
        <v/>
      </c>
      <c r="AH12" s="329" t="str">
        <f t="shared" si="13"/>
        <v/>
      </c>
      <c r="AI12" s="259" t="str">
        <f t="shared" si="14"/>
        <v/>
      </c>
      <c r="AJ12" s="259" t="str">
        <f t="shared" si="15"/>
        <v/>
      </c>
      <c r="AK12" s="285"/>
      <c r="AL12" s="286"/>
      <c r="AM12" s="181" t="str">
        <f t="shared" si="16"/>
        <v/>
      </c>
      <c r="AN12" s="287"/>
      <c r="AO12" s="285"/>
      <c r="AP12" s="286"/>
      <c r="AQ12" s="181" t="str">
        <f t="shared" si="17"/>
        <v/>
      </c>
      <c r="AR12" s="287"/>
      <c r="AS12" s="56"/>
      <c r="AT12" s="57"/>
      <c r="AU12" s="181" t="str">
        <f t="shared" si="18"/>
        <v/>
      </c>
      <c r="AV12" s="171"/>
      <c r="AW12" s="56"/>
      <c r="AX12" s="57"/>
      <c r="AY12" s="181" t="str">
        <f t="shared" si="19"/>
        <v/>
      </c>
      <c r="AZ12" s="171"/>
      <c r="BA12" s="56"/>
      <c r="BB12" s="57"/>
      <c r="BC12" s="181" t="str">
        <f t="shared" si="20"/>
        <v/>
      </c>
      <c r="BD12" s="171"/>
      <c r="BE12" s="56"/>
      <c r="BF12" s="57"/>
      <c r="BG12" s="181" t="str">
        <f t="shared" si="21"/>
        <v/>
      </c>
      <c r="BH12" s="171"/>
      <c r="BI12" s="56"/>
      <c r="BJ12" s="57"/>
      <c r="BK12" s="181" t="str">
        <f t="shared" si="22"/>
        <v/>
      </c>
      <c r="BL12" s="171"/>
      <c r="BM12" s="186"/>
      <c r="BN12" s="184"/>
      <c r="BO12" s="184"/>
      <c r="BP12" s="185"/>
      <c r="BQ12" s="186"/>
      <c r="BR12" s="184"/>
      <c r="BS12" s="184"/>
      <c r="BT12" s="185"/>
      <c r="BU12" s="186"/>
      <c r="BV12" s="184"/>
      <c r="BW12" s="184"/>
      <c r="BX12" s="185"/>
    </row>
    <row r="13" spans="1:88" x14ac:dyDescent="0.3">
      <c r="A13" s="288"/>
      <c r="B13" s="123" t="s">
        <v>62</v>
      </c>
      <c r="C13" s="76" t="s">
        <v>24</v>
      </c>
      <c r="D13" s="288">
        <v>2013</v>
      </c>
      <c r="E13" s="174">
        <f t="shared" si="0"/>
        <v>81.010000000000005</v>
      </c>
      <c r="F13" s="175"/>
      <c r="G13" s="107" t="str">
        <f>IF('TRA-M'!$A$2-D13&lt;=1,IF(R13&gt;=$P$3,"YES",IF(W13&gt;=$U$3,"YES",IF(AB13&gt;=$Z$3,"YES",""))),"")</f>
        <v/>
      </c>
      <c r="H13" s="108" t="str">
        <f t="shared" si="1"/>
        <v/>
      </c>
      <c r="I13" s="109" t="str">
        <f t="shared" si="2"/>
        <v/>
      </c>
      <c r="J13" s="110" t="str">
        <f t="shared" si="3"/>
        <v/>
      </c>
      <c r="K13" s="281">
        <f t="shared" si="4"/>
        <v>63.88</v>
      </c>
      <c r="L13" s="282">
        <f t="shared" si="5"/>
        <v>0</v>
      </c>
      <c r="M13" s="282">
        <f t="shared" si="6"/>
        <v>0</v>
      </c>
      <c r="N13" s="283">
        <f t="shared" si="7"/>
        <v>17.13</v>
      </c>
      <c r="O13" s="176" t="str">
        <f t="shared" si="8"/>
        <v/>
      </c>
      <c r="P13" s="188">
        <v>33.53</v>
      </c>
      <c r="Q13" s="189">
        <v>30.35</v>
      </c>
      <c r="R13" s="190">
        <f t="shared" si="9"/>
        <v>63.88</v>
      </c>
      <c r="S13" s="189">
        <v>17.13</v>
      </c>
      <c r="T13" s="191"/>
      <c r="U13" s="285"/>
      <c r="V13" s="286"/>
      <c r="W13" s="180">
        <f t="shared" si="10"/>
        <v>0</v>
      </c>
      <c r="X13" s="286"/>
      <c r="Y13" s="179"/>
      <c r="Z13" s="285"/>
      <c r="AA13" s="286"/>
      <c r="AB13" s="180">
        <f t="shared" si="11"/>
        <v>0</v>
      </c>
      <c r="AC13" s="286"/>
      <c r="AD13" s="179"/>
      <c r="AE13" s="330" t="str">
        <f t="shared" si="12"/>
        <v/>
      </c>
      <c r="AF13" s="328" t="str">
        <f t="shared" si="12"/>
        <v/>
      </c>
      <c r="AG13" s="328" t="str">
        <f t="shared" si="12"/>
        <v/>
      </c>
      <c r="AH13" s="329" t="str">
        <f t="shared" si="13"/>
        <v/>
      </c>
      <c r="AI13" s="259" t="str">
        <f t="shared" si="14"/>
        <v/>
      </c>
      <c r="AJ13" s="259" t="str">
        <f t="shared" si="15"/>
        <v/>
      </c>
      <c r="AK13" s="285"/>
      <c r="AL13" s="286"/>
      <c r="AM13" s="181" t="str">
        <f t="shared" si="16"/>
        <v/>
      </c>
      <c r="AN13" s="287"/>
      <c r="AO13" s="285"/>
      <c r="AP13" s="286"/>
      <c r="AQ13" s="181" t="str">
        <f t="shared" si="17"/>
        <v/>
      </c>
      <c r="AR13" s="287"/>
      <c r="AS13" s="285"/>
      <c r="AT13" s="286"/>
      <c r="AU13" s="181" t="str">
        <f t="shared" si="18"/>
        <v/>
      </c>
      <c r="AV13" s="287"/>
      <c r="AW13" s="285"/>
      <c r="AX13" s="286"/>
      <c r="AY13" s="181" t="str">
        <f t="shared" si="19"/>
        <v/>
      </c>
      <c r="AZ13" s="287"/>
      <c r="BA13" s="285"/>
      <c r="BB13" s="286"/>
      <c r="BC13" s="181" t="str">
        <f t="shared" si="20"/>
        <v/>
      </c>
      <c r="BD13" s="287"/>
      <c r="BE13" s="285"/>
      <c r="BF13" s="286"/>
      <c r="BG13" s="181" t="str">
        <f t="shared" si="21"/>
        <v/>
      </c>
      <c r="BH13" s="287"/>
      <c r="BI13" s="285"/>
      <c r="BJ13" s="286"/>
      <c r="BK13" s="181" t="str">
        <f t="shared" si="22"/>
        <v/>
      </c>
      <c r="BL13" s="287"/>
      <c r="BM13" s="186"/>
      <c r="BN13" s="184"/>
      <c r="BO13" s="184"/>
      <c r="BP13" s="185"/>
      <c r="BQ13" s="186"/>
      <c r="BR13" s="184"/>
      <c r="BS13" s="184"/>
      <c r="BT13" s="185"/>
      <c r="BU13" s="186"/>
      <c r="BV13" s="184"/>
      <c r="BW13" s="184"/>
      <c r="BX13" s="185"/>
    </row>
    <row r="14" spans="1:88" x14ac:dyDescent="0.3">
      <c r="A14" s="194"/>
      <c r="B14" s="62" t="s">
        <v>162</v>
      </c>
      <c r="C14" s="289" t="s">
        <v>27</v>
      </c>
      <c r="D14" s="288">
        <v>2013</v>
      </c>
      <c r="E14" s="174">
        <f t="shared" si="0"/>
        <v>53</v>
      </c>
      <c r="F14" s="175"/>
      <c r="G14" s="107" t="str">
        <f>IF('TRA-M'!$A$2-D14&lt;=1,IF(R14&gt;=$P$3,"YES",IF(W14&gt;=$U$3,"YES",IF(AB14&gt;=$Z$3,"YES",""))),"")</f>
        <v/>
      </c>
      <c r="H14" s="108" t="str">
        <f t="shared" si="1"/>
        <v/>
      </c>
      <c r="I14" s="109" t="str">
        <f t="shared" si="2"/>
        <v/>
      </c>
      <c r="J14" s="110" t="str">
        <f t="shared" si="3"/>
        <v/>
      </c>
      <c r="K14" s="281">
        <f t="shared" si="4"/>
        <v>53</v>
      </c>
      <c r="L14" s="282">
        <f t="shared" si="5"/>
        <v>0</v>
      </c>
      <c r="M14" s="282">
        <f t="shared" si="6"/>
        <v>0</v>
      </c>
      <c r="N14" s="283">
        <f t="shared" si="7"/>
        <v>0</v>
      </c>
      <c r="O14" s="176" t="str">
        <f t="shared" si="8"/>
        <v/>
      </c>
      <c r="P14" s="285"/>
      <c r="Q14" s="286"/>
      <c r="R14" s="180">
        <f t="shared" si="9"/>
        <v>0</v>
      </c>
      <c r="S14" s="286"/>
      <c r="T14" s="179"/>
      <c r="U14" s="285"/>
      <c r="V14" s="286"/>
      <c r="W14" s="180">
        <f t="shared" si="10"/>
        <v>0</v>
      </c>
      <c r="X14" s="286"/>
      <c r="Y14" s="179"/>
      <c r="Z14" s="285">
        <v>30.4</v>
      </c>
      <c r="AA14" s="286">
        <v>22.6</v>
      </c>
      <c r="AB14" s="180">
        <f t="shared" si="11"/>
        <v>53</v>
      </c>
      <c r="AC14" s="286"/>
      <c r="AD14" s="179">
        <v>4</v>
      </c>
      <c r="AE14" s="330" t="str">
        <f t="shared" si="12"/>
        <v/>
      </c>
      <c r="AF14" s="328" t="str">
        <f t="shared" si="12"/>
        <v/>
      </c>
      <c r="AG14" s="328" t="str">
        <f t="shared" si="12"/>
        <v/>
      </c>
      <c r="AH14" s="329" t="str">
        <f t="shared" si="13"/>
        <v/>
      </c>
      <c r="AI14" s="259" t="str">
        <f t="shared" si="14"/>
        <v/>
      </c>
      <c r="AJ14" s="259" t="str">
        <f t="shared" si="15"/>
        <v/>
      </c>
      <c r="AK14" s="285"/>
      <c r="AL14" s="286"/>
      <c r="AM14" s="181" t="str">
        <f t="shared" si="16"/>
        <v/>
      </c>
      <c r="AN14" s="287"/>
      <c r="AO14" s="285"/>
      <c r="AP14" s="286"/>
      <c r="AQ14" s="181" t="str">
        <f t="shared" si="17"/>
        <v/>
      </c>
      <c r="AR14" s="287"/>
      <c r="AS14" s="285"/>
      <c r="AT14" s="286"/>
      <c r="AU14" s="181" t="str">
        <f t="shared" si="18"/>
        <v/>
      </c>
      <c r="AV14" s="287"/>
      <c r="AW14" s="285"/>
      <c r="AX14" s="286"/>
      <c r="AY14" s="181" t="str">
        <f t="shared" si="19"/>
        <v/>
      </c>
      <c r="AZ14" s="287"/>
      <c r="BA14" s="285"/>
      <c r="BB14" s="286"/>
      <c r="BC14" s="181" t="str">
        <f t="shared" si="20"/>
        <v/>
      </c>
      <c r="BD14" s="287"/>
      <c r="BE14" s="285"/>
      <c r="BF14" s="286"/>
      <c r="BG14" s="181" t="str">
        <f t="shared" si="21"/>
        <v/>
      </c>
      <c r="BH14" s="287"/>
      <c r="BI14" s="285"/>
      <c r="BJ14" s="286"/>
      <c r="BK14" s="181" t="str">
        <f t="shared" si="22"/>
        <v/>
      </c>
      <c r="BL14" s="287"/>
      <c r="BM14" s="186"/>
      <c r="BN14" s="184"/>
      <c r="BO14" s="184"/>
      <c r="BP14" s="185"/>
      <c r="BQ14" s="186"/>
      <c r="BR14" s="184"/>
      <c r="BS14" s="184"/>
      <c r="BT14" s="185"/>
      <c r="BU14" s="186"/>
      <c r="BV14" s="184"/>
      <c r="BW14" s="184"/>
      <c r="BX14" s="185"/>
    </row>
    <row r="15" spans="1:88" x14ac:dyDescent="0.3">
      <c r="U15" s="57"/>
      <c r="V15" s="57"/>
      <c r="W15" s="57"/>
      <c r="X15" s="57"/>
      <c r="Z15" s="57"/>
      <c r="AA15" s="57"/>
      <c r="AB15" s="57"/>
      <c r="AC15" s="57"/>
      <c r="AD15" s="198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</row>
    <row r="16" spans="1:88" x14ac:dyDescent="0.3"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</row>
    <row r="17" spans="2:64" x14ac:dyDescent="0.3"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</row>
    <row r="18" spans="2:64" x14ac:dyDescent="0.3">
      <c r="B18" s="80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</row>
    <row r="19" spans="2:64" x14ac:dyDescent="0.3">
      <c r="B19" s="256" t="s">
        <v>58</v>
      </c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</row>
    <row r="20" spans="2:64" x14ac:dyDescent="0.3">
      <c r="B20" s="254" t="s">
        <v>67</v>
      </c>
      <c r="C20" s="82"/>
      <c r="D20" s="82"/>
      <c r="E20" s="82"/>
      <c r="F20" s="82"/>
      <c r="G20" s="82"/>
      <c r="H20" s="83"/>
      <c r="I20" s="121"/>
      <c r="J20" s="122"/>
      <c r="K20" s="205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</row>
    <row r="21" spans="2:64" x14ac:dyDescent="0.3">
      <c r="B21" s="255" t="s">
        <v>46</v>
      </c>
      <c r="C21" s="199"/>
      <c r="D21" s="199"/>
      <c r="E21" s="199"/>
      <c r="F21" s="200"/>
      <c r="G21" s="201"/>
      <c r="H21" s="121"/>
      <c r="I21" s="203"/>
      <c r="J21" s="203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</row>
    <row r="22" spans="2:64" x14ac:dyDescent="0.3">
      <c r="B22" s="255" t="s">
        <v>72</v>
      </c>
      <c r="C22" s="199"/>
      <c r="D22" s="199"/>
      <c r="E22" s="199"/>
      <c r="F22" s="200"/>
      <c r="G22" s="201"/>
      <c r="H22" s="202"/>
      <c r="I22" s="203"/>
      <c r="J22" s="120"/>
      <c r="K22" s="70"/>
    </row>
    <row r="23" spans="2:64" x14ac:dyDescent="0.3">
      <c r="B23" s="33" t="s">
        <v>129</v>
      </c>
      <c r="I23" s="203"/>
      <c r="J23" s="203"/>
    </row>
    <row r="24" spans="2:64" x14ac:dyDescent="0.3">
      <c r="B24" s="33" t="s">
        <v>52</v>
      </c>
    </row>
  </sheetData>
  <sortState ref="A7:CJ14">
    <sortCondition descending="1" ref="F7:F14"/>
    <sortCondition descending="1" ref="H7:H14"/>
    <sortCondition descending="1" ref="E7:E14"/>
  </sortState>
  <mergeCells count="37">
    <mergeCell ref="AE1:AG1"/>
    <mergeCell ref="AE2:AG2"/>
    <mergeCell ref="BE3:BH3"/>
    <mergeCell ref="BI3:BL3"/>
    <mergeCell ref="AK2:AN2"/>
    <mergeCell ref="AW2:AZ2"/>
    <mergeCell ref="AW3:AZ3"/>
    <mergeCell ref="BA3:BD3"/>
    <mergeCell ref="AO3:AR3"/>
    <mergeCell ref="AK3:AN3"/>
    <mergeCell ref="BE2:BH2"/>
    <mergeCell ref="AS3:AV3"/>
    <mergeCell ref="K1:N1"/>
    <mergeCell ref="BI2:BL2"/>
    <mergeCell ref="AO2:AR2"/>
    <mergeCell ref="BI1:BL1"/>
    <mergeCell ref="AK1:AN1"/>
    <mergeCell ref="AO1:AR1"/>
    <mergeCell ref="BA2:BD2"/>
    <mergeCell ref="K2:N2"/>
    <mergeCell ref="P1:T1"/>
    <mergeCell ref="AH2:AJ2"/>
    <mergeCell ref="AH1:AJ1"/>
    <mergeCell ref="P2:T2"/>
    <mergeCell ref="Z1:AD1"/>
    <mergeCell ref="Z2:AD2"/>
    <mergeCell ref="U1:Y1"/>
    <mergeCell ref="U2:Y2"/>
    <mergeCell ref="BQ2:BT2"/>
    <mergeCell ref="BU2:BX2"/>
    <mergeCell ref="AS2:AV2"/>
    <mergeCell ref="BQ1:BT1"/>
    <mergeCell ref="BU1:BX1"/>
    <mergeCell ref="AS1:AV1"/>
    <mergeCell ref="AW1:AZ1"/>
    <mergeCell ref="BA1:BD1"/>
    <mergeCell ref="BE1:BH1"/>
  </mergeCells>
  <phoneticPr fontId="0" type="noConversion"/>
  <pageMargins left="0.47244094488188981" right="0.47244094488188981" top="0.78740157480314965" bottom="0.78740157480314965" header="0.51181102362204722" footer="0.51181102362204722"/>
  <pageSetup scale="42" orientation="landscape" r:id="rId1"/>
  <headerFooter alignWithMargins="0">
    <oddHeader>&amp;L&amp;A&amp;R&amp;F</oddHeader>
    <oddFooter>&amp;CPage &amp;P</oddFooter>
  </headerFooter>
  <colBreaks count="2" manualBreakCount="2">
    <brk id="25" max="24" man="1"/>
    <brk id="52" max="2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"/>
  <sheetViews>
    <sheetView view="pageBreakPreview" zoomScale="80" zoomScaleNormal="80" zoomScaleSheetLayoutView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9.1796875" defaultRowHeight="13" x14ac:dyDescent="0.3"/>
  <cols>
    <col min="1" max="1" width="5.7265625" style="126" customWidth="1"/>
    <col min="2" max="2" width="25.7265625" style="33" customWidth="1"/>
    <col min="3" max="4" width="7.7265625" style="126" customWidth="1"/>
    <col min="5" max="5" width="8.7265625" style="126" customWidth="1"/>
    <col min="6" max="6" width="8.7265625" style="162" customWidth="1"/>
    <col min="7" max="7" width="8.7265625" style="95" customWidth="1"/>
    <col min="8" max="8" width="8.7265625" style="118" customWidth="1"/>
    <col min="9" max="10" width="8.7265625" style="168" customWidth="1"/>
    <col min="11" max="15" width="8.7265625" style="126" customWidth="1"/>
    <col min="16" max="19" width="8.7265625" style="125" customWidth="1"/>
    <col min="20" max="20" width="8.7265625" style="169" customWidth="1"/>
    <col min="21" max="24" width="8.7265625" style="125" customWidth="1"/>
    <col min="25" max="25" width="8.7265625" style="169" customWidth="1"/>
    <col min="26" max="29" width="8.7265625" style="125" customWidth="1"/>
    <col min="30" max="30" width="8.7265625" style="169" customWidth="1"/>
    <col min="31" max="76" width="8.7265625" style="125" customWidth="1"/>
    <col min="77" max="16384" width="9.1796875" style="33"/>
  </cols>
  <sheetData>
    <row r="1" spans="1:77" s="11" customFormat="1" x14ac:dyDescent="0.3">
      <c r="A1" s="1"/>
      <c r="B1" s="2" t="s">
        <v>19</v>
      </c>
      <c r="C1" s="2"/>
      <c r="D1" s="2"/>
      <c r="E1" s="94"/>
      <c r="F1" s="155"/>
      <c r="G1" s="95"/>
      <c r="H1" s="96"/>
      <c r="I1" s="156"/>
      <c r="J1" s="156"/>
      <c r="K1" s="355" t="s">
        <v>12</v>
      </c>
      <c r="L1" s="356"/>
      <c r="M1" s="356"/>
      <c r="N1" s="357"/>
      <c r="O1" s="46" t="s">
        <v>143</v>
      </c>
      <c r="P1" s="355" t="s">
        <v>81</v>
      </c>
      <c r="Q1" s="356"/>
      <c r="R1" s="356"/>
      <c r="S1" s="356"/>
      <c r="T1" s="357"/>
      <c r="U1" s="355" t="s">
        <v>114</v>
      </c>
      <c r="V1" s="356"/>
      <c r="W1" s="356"/>
      <c r="X1" s="356"/>
      <c r="Y1" s="357"/>
      <c r="Z1" s="355" t="s">
        <v>153</v>
      </c>
      <c r="AA1" s="356"/>
      <c r="AB1" s="356"/>
      <c r="AC1" s="356"/>
      <c r="AD1" s="357"/>
      <c r="AE1" s="371" t="s">
        <v>16</v>
      </c>
      <c r="AF1" s="372"/>
      <c r="AG1" s="375"/>
      <c r="AH1" s="371" t="s">
        <v>10</v>
      </c>
      <c r="AI1" s="372"/>
      <c r="AJ1" s="375"/>
      <c r="AK1" s="355" t="s">
        <v>97</v>
      </c>
      <c r="AL1" s="370"/>
      <c r="AM1" s="370"/>
      <c r="AN1" s="359"/>
      <c r="AO1" s="355" t="s">
        <v>166</v>
      </c>
      <c r="AP1" s="370"/>
      <c r="AQ1" s="370"/>
      <c r="AR1" s="359"/>
      <c r="AS1" s="355"/>
      <c r="AT1" s="370"/>
      <c r="AU1" s="370"/>
      <c r="AV1" s="359"/>
      <c r="AW1" s="355"/>
      <c r="AX1" s="370"/>
      <c r="AY1" s="370"/>
      <c r="AZ1" s="359"/>
      <c r="BA1" s="355"/>
      <c r="BB1" s="356"/>
      <c r="BC1" s="356"/>
      <c r="BD1" s="356"/>
      <c r="BE1" s="355"/>
      <c r="BF1" s="356"/>
      <c r="BG1" s="356"/>
      <c r="BH1" s="356"/>
      <c r="BI1" s="367"/>
      <c r="BJ1" s="368"/>
      <c r="BK1" s="368"/>
      <c r="BL1" s="368"/>
      <c r="BM1" s="367"/>
      <c r="BN1" s="368"/>
      <c r="BO1" s="368"/>
      <c r="BP1" s="368"/>
      <c r="BQ1" s="355"/>
      <c r="BR1" s="356"/>
      <c r="BS1" s="356"/>
      <c r="BT1" s="356"/>
      <c r="BU1" s="355"/>
      <c r="BV1" s="356"/>
      <c r="BW1" s="356"/>
      <c r="BX1" s="356"/>
      <c r="BY1" s="10"/>
    </row>
    <row r="2" spans="1:77" s="11" customFormat="1" x14ac:dyDescent="0.3">
      <c r="A2" s="15"/>
      <c r="B2" s="13" t="s">
        <v>21</v>
      </c>
      <c r="C2" s="13"/>
      <c r="D2" s="13"/>
      <c r="E2" s="94"/>
      <c r="F2" s="155"/>
      <c r="G2" s="160"/>
      <c r="H2" s="58">
        <v>184.8</v>
      </c>
      <c r="I2" s="58">
        <v>199.5</v>
      </c>
      <c r="J2" s="58">
        <v>204.3</v>
      </c>
      <c r="K2" s="355" t="s">
        <v>11</v>
      </c>
      <c r="L2" s="356"/>
      <c r="M2" s="356"/>
      <c r="N2" s="357"/>
      <c r="O2" s="46" t="s">
        <v>11</v>
      </c>
      <c r="P2" s="355" t="s">
        <v>82</v>
      </c>
      <c r="Q2" s="356"/>
      <c r="R2" s="356"/>
      <c r="S2" s="356"/>
      <c r="T2" s="357"/>
      <c r="U2" s="355" t="s">
        <v>115</v>
      </c>
      <c r="V2" s="356"/>
      <c r="W2" s="356"/>
      <c r="X2" s="356"/>
      <c r="Y2" s="357"/>
      <c r="Z2" s="355" t="s">
        <v>154</v>
      </c>
      <c r="AA2" s="356"/>
      <c r="AB2" s="356"/>
      <c r="AC2" s="356"/>
      <c r="AD2" s="357"/>
      <c r="AE2" s="371" t="s">
        <v>17</v>
      </c>
      <c r="AF2" s="372"/>
      <c r="AG2" s="375"/>
      <c r="AH2" s="371" t="s">
        <v>11</v>
      </c>
      <c r="AI2" s="372"/>
      <c r="AJ2" s="375"/>
      <c r="AK2" s="355" t="s">
        <v>98</v>
      </c>
      <c r="AL2" s="356"/>
      <c r="AM2" s="356"/>
      <c r="AN2" s="356"/>
      <c r="AO2" s="355" t="s">
        <v>167</v>
      </c>
      <c r="AP2" s="356"/>
      <c r="AQ2" s="356"/>
      <c r="AR2" s="356"/>
      <c r="AS2" s="355"/>
      <c r="AT2" s="356"/>
      <c r="AU2" s="356"/>
      <c r="AV2" s="356"/>
      <c r="AW2" s="355"/>
      <c r="AX2" s="356"/>
      <c r="AY2" s="356"/>
      <c r="AZ2" s="356"/>
      <c r="BA2" s="367"/>
      <c r="BB2" s="368"/>
      <c r="BC2" s="368"/>
      <c r="BD2" s="369"/>
      <c r="BE2" s="367"/>
      <c r="BF2" s="368"/>
      <c r="BG2" s="368"/>
      <c r="BH2" s="369"/>
      <c r="BI2" s="367"/>
      <c r="BJ2" s="368"/>
      <c r="BK2" s="368"/>
      <c r="BL2" s="369"/>
      <c r="BM2" s="367"/>
      <c r="BN2" s="368"/>
      <c r="BO2" s="368"/>
      <c r="BP2" s="369"/>
      <c r="BQ2" s="355"/>
      <c r="BR2" s="356"/>
      <c r="BS2" s="356"/>
      <c r="BT2" s="356"/>
      <c r="BU2" s="367"/>
      <c r="BV2" s="368"/>
      <c r="BW2" s="368"/>
      <c r="BX2" s="369"/>
    </row>
    <row r="3" spans="1:77" s="11" customFormat="1" x14ac:dyDescent="0.3">
      <c r="A3" s="15"/>
      <c r="B3" s="2" t="s">
        <v>33</v>
      </c>
      <c r="C3" s="2"/>
      <c r="D3" s="2"/>
      <c r="E3" s="94"/>
      <c r="F3" s="155"/>
      <c r="G3" s="99"/>
      <c r="H3" s="100"/>
      <c r="I3" s="163"/>
      <c r="J3" s="163"/>
      <c r="K3" s="102"/>
      <c r="L3" s="126"/>
      <c r="M3" s="126"/>
      <c r="N3" s="127"/>
      <c r="O3" s="15"/>
      <c r="P3" s="164">
        <v>61.6</v>
      </c>
      <c r="Q3" s="98">
        <v>63.2</v>
      </c>
      <c r="R3" s="165">
        <v>65</v>
      </c>
      <c r="S3" s="104">
        <v>68</v>
      </c>
      <c r="T3" s="206"/>
      <c r="U3" s="164">
        <v>60.1</v>
      </c>
      <c r="V3" s="98">
        <v>61.6</v>
      </c>
      <c r="W3" s="165">
        <v>66.5</v>
      </c>
      <c r="X3" s="104">
        <v>68.099999999999994</v>
      </c>
      <c r="Y3" s="206"/>
      <c r="Z3" s="164">
        <v>60.1</v>
      </c>
      <c r="AA3" s="98">
        <v>61.6</v>
      </c>
      <c r="AB3" s="165">
        <v>66.5</v>
      </c>
      <c r="AC3" s="104">
        <v>68.099999999999994</v>
      </c>
      <c r="AD3" s="206"/>
      <c r="AE3" s="329"/>
      <c r="AF3" s="259"/>
      <c r="AG3" s="259"/>
      <c r="AH3" s="329"/>
      <c r="AI3" s="259"/>
      <c r="AJ3" s="259"/>
      <c r="AK3" s="376"/>
      <c r="AL3" s="377"/>
      <c r="AM3" s="377"/>
      <c r="AN3" s="377"/>
      <c r="AO3" s="376"/>
      <c r="AP3" s="377"/>
      <c r="AQ3" s="377"/>
      <c r="AR3" s="377"/>
      <c r="AS3" s="376"/>
      <c r="AT3" s="377"/>
      <c r="AU3" s="377"/>
      <c r="AV3" s="377"/>
      <c r="AW3" s="376"/>
      <c r="AX3" s="377"/>
      <c r="AY3" s="377"/>
      <c r="AZ3" s="377"/>
      <c r="BA3" s="376"/>
      <c r="BB3" s="377"/>
      <c r="BC3" s="377"/>
      <c r="BD3" s="377"/>
      <c r="BE3" s="376"/>
      <c r="BF3" s="377"/>
      <c r="BG3" s="377"/>
      <c r="BH3" s="378"/>
      <c r="BI3" s="376"/>
      <c r="BJ3" s="377"/>
      <c r="BK3" s="377"/>
      <c r="BL3" s="378"/>
      <c r="BM3" s="376"/>
      <c r="BN3" s="377"/>
      <c r="BO3" s="377"/>
      <c r="BP3" s="378"/>
      <c r="BQ3" s="364"/>
      <c r="BR3" s="365"/>
      <c r="BS3" s="365"/>
      <c r="BT3" s="365"/>
      <c r="BU3" s="376"/>
      <c r="BV3" s="377"/>
      <c r="BW3" s="377"/>
      <c r="BX3" s="378"/>
    </row>
    <row r="4" spans="1:77" s="11" customFormat="1" x14ac:dyDescent="0.3">
      <c r="A4" s="15"/>
      <c r="B4" s="2" t="s">
        <v>20</v>
      </c>
      <c r="C4" s="2"/>
      <c r="D4" s="15" t="s">
        <v>42</v>
      </c>
      <c r="E4" s="102" t="s">
        <v>8</v>
      </c>
      <c r="F4" s="162" t="s">
        <v>44</v>
      </c>
      <c r="G4" s="95" t="s">
        <v>34</v>
      </c>
      <c r="H4" s="96" t="s">
        <v>9</v>
      </c>
      <c r="I4" s="156" t="s">
        <v>14</v>
      </c>
      <c r="J4" s="104" t="s">
        <v>41</v>
      </c>
      <c r="K4" s="102" t="s">
        <v>4</v>
      </c>
      <c r="L4" s="126" t="s">
        <v>4</v>
      </c>
      <c r="M4" s="126" t="s">
        <v>4</v>
      </c>
      <c r="N4" s="127" t="s">
        <v>4</v>
      </c>
      <c r="O4" s="15" t="s">
        <v>4</v>
      </c>
      <c r="P4" s="167" t="s">
        <v>34</v>
      </c>
      <c r="Q4" s="118" t="s">
        <v>9</v>
      </c>
      <c r="R4" s="168" t="s">
        <v>14</v>
      </c>
      <c r="S4" s="104" t="s">
        <v>41</v>
      </c>
      <c r="T4" s="207"/>
      <c r="U4" s="167" t="s">
        <v>34</v>
      </c>
      <c r="V4" s="118" t="s">
        <v>9</v>
      </c>
      <c r="W4" s="168" t="s">
        <v>14</v>
      </c>
      <c r="X4" s="104" t="s">
        <v>41</v>
      </c>
      <c r="Y4" s="207"/>
      <c r="Z4" s="167" t="s">
        <v>34</v>
      </c>
      <c r="AA4" s="118" t="s">
        <v>9</v>
      </c>
      <c r="AB4" s="168" t="s">
        <v>14</v>
      </c>
      <c r="AC4" s="104" t="s">
        <v>41</v>
      </c>
      <c r="AD4" s="207"/>
      <c r="AE4" s="329" t="s">
        <v>4</v>
      </c>
      <c r="AF4" s="334" t="s">
        <v>4</v>
      </c>
      <c r="AG4" s="334" t="s">
        <v>4</v>
      </c>
      <c r="AH4" s="329" t="s">
        <v>4</v>
      </c>
      <c r="AI4" s="334" t="s">
        <v>4</v>
      </c>
      <c r="AJ4" s="334" t="s">
        <v>4</v>
      </c>
      <c r="AK4" s="293"/>
      <c r="AL4" s="294"/>
      <c r="AM4" s="294"/>
      <c r="AN4" s="294"/>
      <c r="AO4" s="124"/>
      <c r="AP4" s="125"/>
      <c r="AQ4" s="125"/>
      <c r="AR4" s="125"/>
      <c r="AS4" s="124"/>
      <c r="AT4" s="125"/>
      <c r="AU4" s="125"/>
      <c r="AV4" s="125"/>
      <c r="AW4" s="124"/>
      <c r="AX4" s="125"/>
      <c r="AY4" s="125"/>
      <c r="AZ4" s="125"/>
      <c r="BA4" s="124"/>
      <c r="BB4" s="125"/>
      <c r="BC4" s="125"/>
      <c r="BD4" s="125"/>
      <c r="BE4" s="124"/>
      <c r="BF4" s="125"/>
      <c r="BG4" s="125"/>
      <c r="BH4" s="125"/>
      <c r="BI4" s="56"/>
      <c r="BJ4" s="57"/>
      <c r="BK4" s="57"/>
      <c r="BL4" s="57"/>
      <c r="BM4" s="56"/>
      <c r="BN4" s="57"/>
      <c r="BO4" s="57"/>
      <c r="BP4" s="57"/>
      <c r="BQ4" s="56"/>
      <c r="BR4" s="57"/>
      <c r="BS4" s="57"/>
      <c r="BT4" s="57"/>
      <c r="BU4" s="56"/>
      <c r="BV4" s="57"/>
      <c r="BW4" s="57"/>
      <c r="BX4" s="57"/>
      <c r="BY4" s="10"/>
    </row>
    <row r="5" spans="1:77" s="11" customFormat="1" x14ac:dyDescent="0.3">
      <c r="A5" s="15"/>
      <c r="B5" s="35" t="str">
        <f>+'TRA-M'!$A$1</f>
        <v>JULY 2017</v>
      </c>
      <c r="C5" s="36" t="s">
        <v>23</v>
      </c>
      <c r="D5" s="36" t="s">
        <v>43</v>
      </c>
      <c r="E5" s="102" t="s">
        <v>7</v>
      </c>
      <c r="F5" s="162">
        <v>9.6</v>
      </c>
      <c r="G5" s="95" t="s">
        <v>13</v>
      </c>
      <c r="H5" s="96" t="s">
        <v>13</v>
      </c>
      <c r="I5" s="156" t="s">
        <v>13</v>
      </c>
      <c r="J5" s="170" t="s">
        <v>13</v>
      </c>
      <c r="K5" s="102" t="s">
        <v>2</v>
      </c>
      <c r="L5" s="126" t="s">
        <v>31</v>
      </c>
      <c r="M5" s="126" t="s">
        <v>32</v>
      </c>
      <c r="N5" s="127" t="s">
        <v>3</v>
      </c>
      <c r="O5" s="15" t="s">
        <v>15</v>
      </c>
      <c r="P5" s="293" t="s">
        <v>31</v>
      </c>
      <c r="Q5" s="294" t="s">
        <v>32</v>
      </c>
      <c r="R5" s="294" t="s">
        <v>2</v>
      </c>
      <c r="S5" s="294" t="s">
        <v>3</v>
      </c>
      <c r="T5" s="169" t="s">
        <v>40</v>
      </c>
      <c r="U5" s="293" t="s">
        <v>31</v>
      </c>
      <c r="V5" s="294" t="s">
        <v>32</v>
      </c>
      <c r="W5" s="294" t="s">
        <v>2</v>
      </c>
      <c r="X5" s="294" t="s">
        <v>3</v>
      </c>
      <c r="Y5" s="169" t="s">
        <v>40</v>
      </c>
      <c r="Z5" s="124" t="s">
        <v>31</v>
      </c>
      <c r="AA5" s="125" t="s">
        <v>32</v>
      </c>
      <c r="AB5" s="125" t="s">
        <v>2</v>
      </c>
      <c r="AC5" s="125" t="s">
        <v>3</v>
      </c>
      <c r="AD5" s="169" t="s">
        <v>40</v>
      </c>
      <c r="AE5" s="329" t="s">
        <v>31</v>
      </c>
      <c r="AF5" s="259" t="s">
        <v>32</v>
      </c>
      <c r="AG5" s="259" t="s">
        <v>3</v>
      </c>
      <c r="AH5" s="329" t="s">
        <v>31</v>
      </c>
      <c r="AI5" s="259" t="s">
        <v>32</v>
      </c>
      <c r="AJ5" s="259" t="s">
        <v>3</v>
      </c>
      <c r="AK5" s="293" t="s">
        <v>31</v>
      </c>
      <c r="AL5" s="294" t="s">
        <v>32</v>
      </c>
      <c r="AM5" s="294" t="s">
        <v>2</v>
      </c>
      <c r="AN5" s="294" t="s">
        <v>3</v>
      </c>
      <c r="AO5" s="124" t="s">
        <v>31</v>
      </c>
      <c r="AP5" s="125" t="s">
        <v>32</v>
      </c>
      <c r="AQ5" s="125" t="s">
        <v>2</v>
      </c>
      <c r="AR5" s="125" t="s">
        <v>3</v>
      </c>
      <c r="AS5" s="124" t="s">
        <v>31</v>
      </c>
      <c r="AT5" s="125" t="s">
        <v>32</v>
      </c>
      <c r="AU5" s="125" t="s">
        <v>2</v>
      </c>
      <c r="AV5" s="125" t="s">
        <v>3</v>
      </c>
      <c r="AW5" s="124" t="s">
        <v>31</v>
      </c>
      <c r="AX5" s="125" t="s">
        <v>32</v>
      </c>
      <c r="AY5" s="125" t="s">
        <v>2</v>
      </c>
      <c r="AZ5" s="125" t="s">
        <v>3</v>
      </c>
      <c r="BA5" s="124" t="s">
        <v>31</v>
      </c>
      <c r="BB5" s="125" t="s">
        <v>32</v>
      </c>
      <c r="BC5" s="125" t="s">
        <v>2</v>
      </c>
      <c r="BD5" s="125" t="s">
        <v>3</v>
      </c>
      <c r="BE5" s="124" t="s">
        <v>31</v>
      </c>
      <c r="BF5" s="125" t="s">
        <v>32</v>
      </c>
      <c r="BG5" s="125" t="s">
        <v>2</v>
      </c>
      <c r="BH5" s="125" t="s">
        <v>3</v>
      </c>
      <c r="BI5" s="56" t="s">
        <v>31</v>
      </c>
      <c r="BJ5" s="57" t="s">
        <v>32</v>
      </c>
      <c r="BK5" s="57" t="s">
        <v>2</v>
      </c>
      <c r="BL5" s="57" t="s">
        <v>3</v>
      </c>
      <c r="BM5" s="56" t="s">
        <v>31</v>
      </c>
      <c r="BN5" s="57" t="s">
        <v>32</v>
      </c>
      <c r="BO5" s="57" t="s">
        <v>2</v>
      </c>
      <c r="BP5" s="57" t="s">
        <v>3</v>
      </c>
      <c r="BQ5" s="124" t="s">
        <v>31</v>
      </c>
      <c r="BR5" s="125" t="s">
        <v>32</v>
      </c>
      <c r="BS5" s="125" t="s">
        <v>2</v>
      </c>
      <c r="BT5" s="125" t="s">
        <v>3</v>
      </c>
      <c r="BU5" s="124" t="s">
        <v>31</v>
      </c>
      <c r="BV5" s="125" t="s">
        <v>32</v>
      </c>
      <c r="BW5" s="125" t="s">
        <v>2</v>
      </c>
      <c r="BX5" s="125" t="s">
        <v>3</v>
      </c>
      <c r="BY5" s="10"/>
    </row>
    <row r="6" spans="1:77" s="11" customFormat="1" x14ac:dyDescent="0.3">
      <c r="A6" s="15"/>
      <c r="C6" s="15"/>
      <c r="D6" s="15"/>
      <c r="E6" s="102"/>
      <c r="F6" s="162"/>
      <c r="G6" s="95"/>
      <c r="H6" s="96"/>
      <c r="I6" s="156"/>
      <c r="J6" s="170"/>
      <c r="K6" s="102"/>
      <c r="L6" s="126"/>
      <c r="M6" s="126"/>
      <c r="N6" s="127"/>
      <c r="O6" s="15"/>
      <c r="P6" s="293"/>
      <c r="Q6" s="294"/>
      <c r="R6" s="294"/>
      <c r="S6" s="294"/>
      <c r="T6" s="169"/>
      <c r="U6" s="293"/>
      <c r="V6" s="294"/>
      <c r="W6" s="294"/>
      <c r="X6" s="294"/>
      <c r="Y6" s="169"/>
      <c r="Z6" s="124"/>
      <c r="AA6" s="125"/>
      <c r="AB6" s="125"/>
      <c r="AC6" s="125"/>
      <c r="AD6" s="169"/>
      <c r="AE6" s="329"/>
      <c r="AF6" s="259"/>
      <c r="AG6" s="259"/>
      <c r="AH6" s="329"/>
      <c r="AI6" s="259"/>
      <c r="AJ6" s="259"/>
      <c r="AK6" s="293"/>
      <c r="AL6" s="294"/>
      <c r="AM6" s="294"/>
      <c r="AN6" s="296"/>
      <c r="AO6" s="124"/>
      <c r="AP6" s="125"/>
      <c r="AQ6" s="125"/>
      <c r="AR6" s="128"/>
      <c r="AS6" s="124"/>
      <c r="AT6" s="125"/>
      <c r="AU6" s="125"/>
      <c r="AV6" s="128"/>
      <c r="AW6" s="124"/>
      <c r="AX6" s="125"/>
      <c r="AY6" s="125"/>
      <c r="AZ6" s="128"/>
      <c r="BA6" s="124"/>
      <c r="BB6" s="125"/>
      <c r="BC6" s="125"/>
      <c r="BD6" s="128"/>
      <c r="BE6" s="124"/>
      <c r="BF6" s="125"/>
      <c r="BG6" s="125"/>
      <c r="BH6" s="128"/>
      <c r="BI6" s="56"/>
      <c r="BJ6" s="57"/>
      <c r="BK6" s="57"/>
      <c r="BL6" s="171"/>
      <c r="BM6" s="56"/>
      <c r="BN6" s="57"/>
      <c r="BO6" s="57"/>
      <c r="BP6" s="171"/>
      <c r="BQ6" s="124"/>
      <c r="BR6" s="125"/>
      <c r="BS6" s="125"/>
      <c r="BT6" s="128"/>
      <c r="BU6" s="124"/>
      <c r="BV6" s="125"/>
      <c r="BW6" s="125"/>
      <c r="BX6" s="128"/>
    </row>
    <row r="7" spans="1:77" s="11" customFormat="1" x14ac:dyDescent="0.3">
      <c r="A7" s="15">
        <v>1</v>
      </c>
      <c r="B7" s="302" t="s">
        <v>132</v>
      </c>
      <c r="C7" s="303" t="s">
        <v>24</v>
      </c>
      <c r="D7" s="15"/>
      <c r="E7" s="174">
        <f t="shared" ref="E7:E13" si="0">IF(O7="",SUM(K7:N7),SUM(K7:O7))</f>
        <v>201.89999999999998</v>
      </c>
      <c r="F7" s="175" t="s">
        <v>45</v>
      </c>
      <c r="G7" s="107" t="str">
        <f>IF('TRA-M'!$A$2-D7&lt;=1,IF(R7&gt;=$P$3,"YES",IF(W7&gt;=$U$3,"YES",IF(AB7&gt;=$Z$3,"YES",""))),"")</f>
        <v/>
      </c>
      <c r="H7" s="108" t="str">
        <f t="shared" ref="H7:H13" si="1">IF(R7&gt;=$Q$3,IF(F7="YES","YES",""),IF(W7&gt;=$V$3,IF(F7="YES","YES",""),IF(AB7&gt;=$AA$3,IF(F7="YES","YES",""),"")))</f>
        <v>YES</v>
      </c>
      <c r="I7" s="109" t="str">
        <f t="shared" ref="I7:I13" si="2">IF(R7&gt;=$R$3,IF(F7="YES","YES",""),IF(W7&gt;=$W$3,IF(F7="YES","YES",""),IF(AB7&gt;=$AB$3,IF(F7="YES","YES",""),"")))</f>
        <v>YES</v>
      </c>
      <c r="J7" s="110" t="str">
        <f t="shared" ref="J7:J13" si="3">IF(R7&gt;=$S$3,IF(F7="YES","YES",""),IF(W7&gt;=$X$3,IF(F7="YES","YES",""),IF(AB7&gt;=$AC$3,IF(F7="YES","YES",""),"")))</f>
        <v/>
      </c>
      <c r="K7" s="124">
        <f t="shared" ref="K7:K13" si="4">MAX($AB7,$W7,$R7)</f>
        <v>67.699999999999989</v>
      </c>
      <c r="L7" s="125">
        <f t="shared" ref="L7:L13" si="5">IF($K7=$AB7,MAX($U7,$P7),IF($K7=$W7,MAX($Z7,$P7),MAX($Z7,$U7)))</f>
        <v>33.200000000000003</v>
      </c>
      <c r="M7" s="125">
        <f t="shared" ref="M7:M13" si="6">IF($K7=$AB7,MAX($V7,$Q7),IF($K7=$W7,MAX($AA7,$Q7),MAX($AA7,$V7)))</f>
        <v>33.9</v>
      </c>
      <c r="N7" s="128">
        <f t="shared" ref="N7:N13" si="7">MAX($AC7,$X7,$S7)</f>
        <v>67.099999999999994</v>
      </c>
      <c r="O7" s="176" t="str">
        <f t="shared" ref="O7:O13" si="8">IF(MAX(AE7:AG7)&lt;=0,"",MAX(AE7:AG7))</f>
        <v/>
      </c>
      <c r="P7" s="298">
        <v>31.6</v>
      </c>
      <c r="Q7" s="299">
        <v>31.4</v>
      </c>
      <c r="R7" s="180">
        <f t="shared" ref="R7:R13" si="9">+P7+Q7</f>
        <v>63</v>
      </c>
      <c r="S7" s="178">
        <f>33.1+32.9</f>
        <v>66</v>
      </c>
      <c r="T7" s="193">
        <v>1</v>
      </c>
      <c r="U7" s="298">
        <v>33.200000000000003</v>
      </c>
      <c r="V7" s="299">
        <v>33.9</v>
      </c>
      <c r="W7" s="177">
        <f t="shared" ref="W7:W13" si="10">+U7+V7</f>
        <v>67.099999999999994</v>
      </c>
      <c r="X7" s="178">
        <f>33.9+33.2</f>
        <v>67.099999999999994</v>
      </c>
      <c r="Y7" s="193">
        <v>1</v>
      </c>
      <c r="Z7" s="298">
        <v>33.4</v>
      </c>
      <c r="AA7" s="299">
        <v>34.299999999999997</v>
      </c>
      <c r="AB7" s="177">
        <f t="shared" ref="AB7:AB13" si="11">+Z7+AA7</f>
        <v>67.699999999999989</v>
      </c>
      <c r="AC7" s="299">
        <f>32.8+33.3</f>
        <v>66.099999999999994</v>
      </c>
      <c r="AD7" s="193">
        <v>1</v>
      </c>
      <c r="AE7" s="330">
        <f t="shared" ref="AE7:AG13" si="12">IF(AH7="","",AH7-L7)</f>
        <v>-0.70000000000000284</v>
      </c>
      <c r="AF7" s="328">
        <f t="shared" si="12"/>
        <v>-1.8999999999999986</v>
      </c>
      <c r="AG7" s="328">
        <f t="shared" si="12"/>
        <v>-1.7999999999999829</v>
      </c>
      <c r="AH7" s="329">
        <f t="shared" ref="AH7:AH13" si="13">IF(MAX($AK7,$AO7,$AS7,$AW7,$BA7,$BE7,$BI7,$BM7,$BQ7,$BU7)=0,"",MAX($AK7,$AO7,$AS7,$AW7,$BA7,$BE7,$BI7,$BM7,$BQ7,$BU7))</f>
        <v>32.5</v>
      </c>
      <c r="AI7" s="259">
        <f t="shared" ref="AI7:AI13" si="14">IF(MAX($AL7,$AP7,$AT7,$AX7,$BB7,$BF7,$BJ7,$BN7,$BR7,$BV7)=0,"",MAX($AL7,$AP7,$AT7,$AX7,$BB7,$BF7,$BJ7,$BN7,$BR7,$BV7))</f>
        <v>32</v>
      </c>
      <c r="AJ7" s="259">
        <f t="shared" ref="AJ7:AJ13" si="15">IF(MAX($AN7,$AR7,$AV7,$AZ7,$BD7,$BH7,$BL7,$BP7,$BT7,$BX7)=0,"",MAX($AN7,$AR7,$AV7,$AZ7,$BD7,$BH7,$BL7,$BP7,$BT7,$BX7))</f>
        <v>65.300000000000011</v>
      </c>
      <c r="AK7" s="298">
        <v>31.9</v>
      </c>
      <c r="AL7" s="195">
        <v>20.100000000000001</v>
      </c>
      <c r="AM7" s="181">
        <f t="shared" ref="AM7:AM13" si="16">IF(AK7&lt;&gt;"",AK7+AL7,"")</f>
        <v>52</v>
      </c>
      <c r="AN7" s="300"/>
      <c r="AO7" s="56">
        <v>32.5</v>
      </c>
      <c r="AP7" s="299">
        <v>32</v>
      </c>
      <c r="AQ7" s="182">
        <f t="shared" ref="AQ7:AQ13" si="17">IF(AO7&lt;&gt;"",AO7+AP7,"")</f>
        <v>64.5</v>
      </c>
      <c r="AR7" s="183">
        <f>33.7+31.6</f>
        <v>65.300000000000011</v>
      </c>
      <c r="AS7" s="56"/>
      <c r="AT7" s="57"/>
      <c r="AU7" s="181" t="str">
        <f t="shared" ref="AU7:AU13" si="18">IF(AS7&lt;&gt;"",AS7+AT7,"")</f>
        <v/>
      </c>
      <c r="AV7" s="171"/>
      <c r="AW7" s="56"/>
      <c r="AX7" s="57"/>
      <c r="AY7" s="181" t="str">
        <f t="shared" ref="AY7:AY13" si="19">IF(AW7&lt;&gt;"",AW7+AX7,"")</f>
        <v/>
      </c>
      <c r="AZ7" s="171"/>
      <c r="BA7" s="56"/>
      <c r="BB7" s="57"/>
      <c r="BC7" s="181" t="str">
        <f t="shared" ref="BC7:BC13" si="20">IF(BA7&lt;&gt;"",BA7+BB7,"")</f>
        <v/>
      </c>
      <c r="BD7" s="171"/>
      <c r="BE7" s="56"/>
      <c r="BF7" s="57"/>
      <c r="BG7" s="181" t="str">
        <f t="shared" ref="BG7:BG13" si="21">IF(BE7&lt;&gt;"",BE7+BF7,"")</f>
        <v/>
      </c>
      <c r="BH7" s="171"/>
      <c r="BI7" s="56"/>
      <c r="BJ7" s="57"/>
      <c r="BK7" s="181" t="str">
        <f t="shared" ref="BK7:BK13" si="22">IF(BI7&lt;&gt;"",BI7+BJ7,"")</f>
        <v/>
      </c>
      <c r="BL7" s="171"/>
      <c r="BM7" s="56"/>
      <c r="BN7" s="57"/>
      <c r="BO7" s="181" t="str">
        <f t="shared" ref="BO7:BO13" si="23">IF(BM7&lt;&gt;"",BM7+BN7,"")</f>
        <v/>
      </c>
      <c r="BP7" s="171"/>
      <c r="BQ7" s="56"/>
      <c r="BR7" s="57"/>
      <c r="BS7" s="208" t="str">
        <f t="shared" ref="BS7:BS13" si="24">IF(BQ7&lt;&gt;"",BQ7+BR7,"")</f>
        <v/>
      </c>
      <c r="BT7" s="128"/>
      <c r="BU7" s="56"/>
      <c r="BV7" s="57"/>
      <c r="BW7" s="208" t="str">
        <f t="shared" ref="BW7:BW13" si="25">IF(BU7&lt;&gt;"",BU7+BV7,"")</f>
        <v/>
      </c>
      <c r="BX7" s="128"/>
    </row>
    <row r="8" spans="1:77" s="11" customFormat="1" x14ac:dyDescent="0.3">
      <c r="A8" s="194">
        <v>2</v>
      </c>
      <c r="B8" s="59" t="s">
        <v>89</v>
      </c>
      <c r="C8" s="60" t="s">
        <v>25</v>
      </c>
      <c r="D8" s="15">
        <v>2016</v>
      </c>
      <c r="E8" s="174">
        <f t="shared" si="0"/>
        <v>187.1</v>
      </c>
      <c r="F8" s="175" t="s">
        <v>45</v>
      </c>
      <c r="G8" s="107" t="str">
        <f>IF('TRA-M'!$A$2-D8&lt;=1,IF(R8&gt;=$P$3,"YES",IF(W8&gt;=$U$3,"YES",IF(AB8&gt;=$Z$3,"YES",""))),"")</f>
        <v>YES</v>
      </c>
      <c r="H8" s="108" t="str">
        <f t="shared" si="1"/>
        <v/>
      </c>
      <c r="I8" s="109" t="str">
        <f t="shared" si="2"/>
        <v/>
      </c>
      <c r="J8" s="110" t="str">
        <f t="shared" si="3"/>
        <v/>
      </c>
      <c r="K8" s="124">
        <f t="shared" si="4"/>
        <v>62.599999999999994</v>
      </c>
      <c r="L8" s="125">
        <f t="shared" si="5"/>
        <v>30.6</v>
      </c>
      <c r="M8" s="125">
        <f t="shared" si="6"/>
        <v>30.3</v>
      </c>
      <c r="N8" s="128">
        <f t="shared" si="7"/>
        <v>63.5</v>
      </c>
      <c r="O8" s="176">
        <f t="shared" si="8"/>
        <v>9.9999999999997868E-2</v>
      </c>
      <c r="P8" s="298">
        <v>31.9</v>
      </c>
      <c r="Q8" s="299">
        <v>30.7</v>
      </c>
      <c r="R8" s="180">
        <f t="shared" si="9"/>
        <v>62.599999999999994</v>
      </c>
      <c r="S8" s="299">
        <f>32.1+31.4</f>
        <v>63.5</v>
      </c>
      <c r="T8" s="193">
        <v>2</v>
      </c>
      <c r="U8" s="298">
        <v>26.3</v>
      </c>
      <c r="V8" s="195">
        <v>26.6</v>
      </c>
      <c r="W8" s="180">
        <f t="shared" si="10"/>
        <v>52.900000000000006</v>
      </c>
      <c r="X8" s="299">
        <f>31.9+30.5</f>
        <v>62.4</v>
      </c>
      <c r="Y8" s="193">
        <v>4</v>
      </c>
      <c r="Z8" s="298">
        <v>30.6</v>
      </c>
      <c r="AA8" s="299">
        <v>30.3</v>
      </c>
      <c r="AB8" s="177">
        <f t="shared" si="11"/>
        <v>60.900000000000006</v>
      </c>
      <c r="AC8" s="299">
        <f>31.8+31.3</f>
        <v>63.1</v>
      </c>
      <c r="AD8" s="193">
        <v>2</v>
      </c>
      <c r="AE8" s="330">
        <f t="shared" si="12"/>
        <v>9.9999999999997868E-2</v>
      </c>
      <c r="AF8" s="328">
        <f t="shared" si="12"/>
        <v>-1.5</v>
      </c>
      <c r="AG8" s="328">
        <f t="shared" si="12"/>
        <v>-6.5</v>
      </c>
      <c r="AH8" s="329">
        <f t="shared" si="13"/>
        <v>30.7</v>
      </c>
      <c r="AI8" s="259">
        <f t="shared" si="14"/>
        <v>28.8</v>
      </c>
      <c r="AJ8" s="259">
        <f t="shared" si="15"/>
        <v>57</v>
      </c>
      <c r="AK8" s="298">
        <v>30.7</v>
      </c>
      <c r="AL8" s="299">
        <v>28.8</v>
      </c>
      <c r="AM8" s="181">
        <f t="shared" si="16"/>
        <v>59.5</v>
      </c>
      <c r="AN8" s="300">
        <f>30+27</f>
        <v>57</v>
      </c>
      <c r="AO8" s="56"/>
      <c r="AP8" s="57"/>
      <c r="AQ8" s="181" t="str">
        <f t="shared" si="17"/>
        <v/>
      </c>
      <c r="AR8" s="171"/>
      <c r="AS8" s="56"/>
      <c r="AT8" s="57"/>
      <c r="AU8" s="181" t="str">
        <f t="shared" si="18"/>
        <v/>
      </c>
      <c r="AV8" s="171"/>
      <c r="AW8" s="56"/>
      <c r="AX8" s="57"/>
      <c r="AY8" s="181" t="str">
        <f t="shared" si="19"/>
        <v/>
      </c>
      <c r="AZ8" s="171"/>
      <c r="BA8" s="56"/>
      <c r="BB8" s="57"/>
      <c r="BC8" s="181" t="str">
        <f t="shared" si="20"/>
        <v/>
      </c>
      <c r="BD8" s="171"/>
      <c r="BE8" s="56"/>
      <c r="BF8" s="57"/>
      <c r="BG8" s="181" t="str">
        <f t="shared" si="21"/>
        <v/>
      </c>
      <c r="BH8" s="171"/>
      <c r="BI8" s="56"/>
      <c r="BJ8" s="57"/>
      <c r="BK8" s="181" t="str">
        <f t="shared" si="22"/>
        <v/>
      </c>
      <c r="BL8" s="171"/>
      <c r="BM8" s="56"/>
      <c r="BN8" s="57"/>
      <c r="BO8" s="181" t="str">
        <f t="shared" si="23"/>
        <v/>
      </c>
      <c r="BP8" s="171"/>
      <c r="BQ8" s="56"/>
      <c r="BR8" s="57"/>
      <c r="BS8" s="208" t="str">
        <f t="shared" si="24"/>
        <v/>
      </c>
      <c r="BT8" s="128"/>
      <c r="BU8" s="56"/>
      <c r="BV8" s="57"/>
      <c r="BW8" s="208" t="str">
        <f t="shared" si="25"/>
        <v/>
      </c>
      <c r="BX8" s="128"/>
    </row>
    <row r="9" spans="1:77" s="11" customFormat="1" x14ac:dyDescent="0.3">
      <c r="A9" s="115"/>
      <c r="B9" s="62" t="s">
        <v>130</v>
      </c>
      <c r="C9" s="64" t="s">
        <v>24</v>
      </c>
      <c r="D9" s="15"/>
      <c r="E9" s="174">
        <f t="shared" si="0"/>
        <v>167.1</v>
      </c>
      <c r="F9" s="175" t="s">
        <v>45</v>
      </c>
      <c r="G9" s="107" t="str">
        <f>IF('TRA-M'!$A$2-D9&lt;=1,IF(R9&gt;=$P$3,"YES",IF(W9&gt;=$U$3,"YES",IF(AB9&gt;=$Z$3,"YES",""))),"")</f>
        <v/>
      </c>
      <c r="H9" s="108" t="str">
        <f t="shared" si="1"/>
        <v/>
      </c>
      <c r="I9" s="109" t="str">
        <f t="shared" si="2"/>
        <v/>
      </c>
      <c r="J9" s="110" t="str">
        <f t="shared" si="3"/>
        <v/>
      </c>
      <c r="K9" s="124">
        <f t="shared" si="4"/>
        <v>61</v>
      </c>
      <c r="L9" s="125">
        <f t="shared" si="5"/>
        <v>26.6</v>
      </c>
      <c r="M9" s="125">
        <f t="shared" si="6"/>
        <v>25.5</v>
      </c>
      <c r="N9" s="128">
        <f t="shared" si="7"/>
        <v>54</v>
      </c>
      <c r="O9" s="176" t="str">
        <f t="shared" si="8"/>
        <v/>
      </c>
      <c r="P9" s="298"/>
      <c r="Q9" s="299"/>
      <c r="R9" s="180">
        <f t="shared" si="9"/>
        <v>0</v>
      </c>
      <c r="S9" s="299"/>
      <c r="T9" s="193"/>
      <c r="U9" s="298">
        <v>26.6</v>
      </c>
      <c r="V9" s="195">
        <v>25.5</v>
      </c>
      <c r="W9" s="180">
        <f t="shared" si="10"/>
        <v>52.1</v>
      </c>
      <c r="X9" s="195">
        <f>27.6+26</f>
        <v>53.6</v>
      </c>
      <c r="Y9" s="193">
        <v>5</v>
      </c>
      <c r="Z9" s="298">
        <v>30.7</v>
      </c>
      <c r="AA9" s="299">
        <v>30.3</v>
      </c>
      <c r="AB9" s="177">
        <f t="shared" si="11"/>
        <v>61</v>
      </c>
      <c r="AC9" s="299">
        <f>24.5+29.5</f>
        <v>54</v>
      </c>
      <c r="AD9" s="193">
        <v>3</v>
      </c>
      <c r="AE9" s="330" t="str">
        <f t="shared" si="12"/>
        <v/>
      </c>
      <c r="AF9" s="328" t="str">
        <f t="shared" si="12"/>
        <v/>
      </c>
      <c r="AG9" s="328" t="str">
        <f t="shared" si="12"/>
        <v/>
      </c>
      <c r="AH9" s="329" t="str">
        <f t="shared" si="13"/>
        <v/>
      </c>
      <c r="AI9" s="259" t="str">
        <f t="shared" si="14"/>
        <v/>
      </c>
      <c r="AJ9" s="259" t="str">
        <f t="shared" si="15"/>
        <v/>
      </c>
      <c r="AK9" s="298"/>
      <c r="AL9" s="299"/>
      <c r="AM9" s="181" t="str">
        <f t="shared" si="16"/>
        <v/>
      </c>
      <c r="AN9" s="300"/>
      <c r="AO9" s="56"/>
      <c r="AP9" s="57"/>
      <c r="AQ9" s="181" t="str">
        <f t="shared" si="17"/>
        <v/>
      </c>
      <c r="AR9" s="171"/>
      <c r="AS9" s="56"/>
      <c r="AT9" s="57"/>
      <c r="AU9" s="181" t="str">
        <f t="shared" si="18"/>
        <v/>
      </c>
      <c r="AV9" s="171"/>
      <c r="AW9" s="56"/>
      <c r="AX9" s="57"/>
      <c r="AY9" s="181" t="str">
        <f t="shared" si="19"/>
        <v/>
      </c>
      <c r="AZ9" s="171"/>
      <c r="BA9" s="56"/>
      <c r="BB9" s="57"/>
      <c r="BC9" s="181" t="str">
        <f t="shared" si="20"/>
        <v/>
      </c>
      <c r="BD9" s="171"/>
      <c r="BE9" s="56"/>
      <c r="BF9" s="57"/>
      <c r="BG9" s="181" t="str">
        <f t="shared" si="21"/>
        <v/>
      </c>
      <c r="BH9" s="171"/>
      <c r="BI9" s="56"/>
      <c r="BJ9" s="57"/>
      <c r="BK9" s="181" t="str">
        <f t="shared" si="22"/>
        <v/>
      </c>
      <c r="BL9" s="171"/>
      <c r="BM9" s="56"/>
      <c r="BN9" s="57"/>
      <c r="BO9" s="181" t="str">
        <f t="shared" si="23"/>
        <v/>
      </c>
      <c r="BP9" s="171"/>
      <c r="BQ9" s="56"/>
      <c r="BR9" s="57"/>
      <c r="BS9" s="208" t="str">
        <f t="shared" si="24"/>
        <v/>
      </c>
      <c r="BT9" s="128"/>
      <c r="BU9" s="56"/>
      <c r="BV9" s="57"/>
      <c r="BW9" s="208" t="str">
        <f t="shared" si="25"/>
        <v/>
      </c>
      <c r="BX9" s="128"/>
    </row>
    <row r="10" spans="1:77" s="11" customFormat="1" x14ac:dyDescent="0.3">
      <c r="A10" s="194"/>
      <c r="B10" s="62" t="s">
        <v>131</v>
      </c>
      <c r="C10" s="301" t="s">
        <v>25</v>
      </c>
      <c r="D10" s="15">
        <v>2015</v>
      </c>
      <c r="E10" s="174">
        <f t="shared" si="0"/>
        <v>183.25</v>
      </c>
      <c r="F10" s="175"/>
      <c r="G10" s="107" t="str">
        <f>IF('TRA-M'!$A$2-D10&lt;=1,IF(R10&gt;=$P$3,"YES",IF(W10&gt;=$U$3,"YES",IF(AB10&gt;=$Z$3,"YES",""))),"")</f>
        <v/>
      </c>
      <c r="H10" s="108" t="str">
        <f t="shared" si="1"/>
        <v/>
      </c>
      <c r="I10" s="109" t="str">
        <f t="shared" si="2"/>
        <v/>
      </c>
      <c r="J10" s="110" t="str">
        <f t="shared" si="3"/>
        <v/>
      </c>
      <c r="K10" s="124">
        <f t="shared" si="4"/>
        <v>60.05</v>
      </c>
      <c r="L10" s="125">
        <f t="shared" si="5"/>
        <v>31.8</v>
      </c>
      <c r="M10" s="125">
        <f t="shared" si="6"/>
        <v>27.63</v>
      </c>
      <c r="N10" s="128">
        <f t="shared" si="7"/>
        <v>61.4</v>
      </c>
      <c r="O10" s="176">
        <f t="shared" si="8"/>
        <v>2.370000000000001</v>
      </c>
      <c r="P10" s="298">
        <v>31.8</v>
      </c>
      <c r="Q10" s="195">
        <v>26.6</v>
      </c>
      <c r="R10" s="180">
        <f t="shared" si="9"/>
        <v>58.400000000000006</v>
      </c>
      <c r="S10" s="299">
        <f>29.2+31.9</f>
        <v>61.099999999999994</v>
      </c>
      <c r="T10" s="193">
        <v>3</v>
      </c>
      <c r="U10" s="188">
        <v>31.4</v>
      </c>
      <c r="V10" s="189">
        <v>28.65</v>
      </c>
      <c r="W10" s="190">
        <f t="shared" si="10"/>
        <v>60.05</v>
      </c>
      <c r="X10" s="189">
        <v>61.4</v>
      </c>
      <c r="Y10" s="192"/>
      <c r="Z10" s="188">
        <v>31.6</v>
      </c>
      <c r="AA10" s="189">
        <v>27.63</v>
      </c>
      <c r="AB10" s="190">
        <f t="shared" si="11"/>
        <v>59.230000000000004</v>
      </c>
      <c r="AC10" s="189">
        <v>61.25</v>
      </c>
      <c r="AD10" s="192"/>
      <c r="AE10" s="330">
        <f t="shared" si="12"/>
        <v>-0.5</v>
      </c>
      <c r="AF10" s="328">
        <f t="shared" si="12"/>
        <v>2.370000000000001</v>
      </c>
      <c r="AG10" s="328">
        <f t="shared" si="12"/>
        <v>-0.79999999999999716</v>
      </c>
      <c r="AH10" s="329">
        <f t="shared" si="13"/>
        <v>31.3</v>
      </c>
      <c r="AI10" s="259">
        <f t="shared" si="14"/>
        <v>30</v>
      </c>
      <c r="AJ10" s="259">
        <f t="shared" si="15"/>
        <v>60.6</v>
      </c>
      <c r="AK10" s="298">
        <v>31.3</v>
      </c>
      <c r="AL10" s="299">
        <v>30</v>
      </c>
      <c r="AM10" s="181">
        <f t="shared" si="16"/>
        <v>61.3</v>
      </c>
      <c r="AN10" s="300">
        <f>30.5+30.1</f>
        <v>60.6</v>
      </c>
      <c r="AO10" s="56"/>
      <c r="AP10" s="57"/>
      <c r="AQ10" s="181" t="str">
        <f t="shared" si="17"/>
        <v/>
      </c>
      <c r="AR10" s="171"/>
      <c r="AS10" s="56"/>
      <c r="AT10" s="57"/>
      <c r="AU10" s="181" t="str">
        <f t="shared" si="18"/>
        <v/>
      </c>
      <c r="AV10" s="171"/>
      <c r="AW10" s="56"/>
      <c r="AX10" s="57"/>
      <c r="AY10" s="181" t="str">
        <f t="shared" si="19"/>
        <v/>
      </c>
      <c r="AZ10" s="171"/>
      <c r="BA10" s="56"/>
      <c r="BB10" s="57"/>
      <c r="BC10" s="181" t="str">
        <f t="shared" si="20"/>
        <v/>
      </c>
      <c r="BD10" s="171"/>
      <c r="BE10" s="56"/>
      <c r="BF10" s="57"/>
      <c r="BG10" s="181" t="str">
        <f t="shared" si="21"/>
        <v/>
      </c>
      <c r="BH10" s="171"/>
      <c r="BI10" s="56"/>
      <c r="BJ10" s="57"/>
      <c r="BK10" s="181" t="str">
        <f t="shared" si="22"/>
        <v/>
      </c>
      <c r="BL10" s="171"/>
      <c r="BM10" s="56"/>
      <c r="BN10" s="57"/>
      <c r="BO10" s="181" t="str">
        <f t="shared" si="23"/>
        <v/>
      </c>
      <c r="BP10" s="171"/>
      <c r="BQ10" s="56"/>
      <c r="BR10" s="57"/>
      <c r="BS10" s="208" t="str">
        <f t="shared" si="24"/>
        <v/>
      </c>
      <c r="BT10" s="128"/>
      <c r="BU10" s="56"/>
      <c r="BV10" s="57"/>
      <c r="BW10" s="208" t="str">
        <f t="shared" si="25"/>
        <v/>
      </c>
      <c r="BX10" s="128"/>
    </row>
    <row r="11" spans="1:77" s="11" customFormat="1" x14ac:dyDescent="0.3">
      <c r="A11" s="297"/>
      <c r="B11" s="123" t="s">
        <v>164</v>
      </c>
      <c r="C11" s="76" t="s">
        <v>27</v>
      </c>
      <c r="D11" s="15">
        <v>2013</v>
      </c>
      <c r="E11" s="174">
        <f t="shared" si="0"/>
        <v>117.7</v>
      </c>
      <c r="F11" s="175"/>
      <c r="G11" s="107" t="str">
        <f>IF('TRA-M'!$A$2-D11&lt;=1,IF(R11&gt;=$P$3,"YES",IF(W11&gt;=$U$3,"YES",IF(AB11&gt;=$Z$3,"YES",""))),"")</f>
        <v/>
      </c>
      <c r="H11" s="108" t="str">
        <f t="shared" si="1"/>
        <v/>
      </c>
      <c r="I11" s="109" t="str">
        <f t="shared" si="2"/>
        <v/>
      </c>
      <c r="J11" s="110" t="str">
        <f t="shared" si="3"/>
        <v/>
      </c>
      <c r="K11" s="124">
        <f t="shared" si="4"/>
        <v>56.5</v>
      </c>
      <c r="L11" s="125">
        <f t="shared" si="5"/>
        <v>0</v>
      </c>
      <c r="M11" s="125">
        <f t="shared" si="6"/>
        <v>0</v>
      </c>
      <c r="N11" s="128">
        <f t="shared" si="7"/>
        <v>61.2</v>
      </c>
      <c r="O11" s="176" t="str">
        <f t="shared" si="8"/>
        <v/>
      </c>
      <c r="P11" s="298">
        <v>30.1</v>
      </c>
      <c r="Q11" s="195">
        <v>26.4</v>
      </c>
      <c r="R11" s="180">
        <f t="shared" si="9"/>
        <v>56.5</v>
      </c>
      <c r="S11" s="299">
        <f>31+30.2</f>
        <v>61.2</v>
      </c>
      <c r="T11" s="193">
        <v>4</v>
      </c>
      <c r="U11" s="298"/>
      <c r="V11" s="299"/>
      <c r="W11" s="180">
        <f t="shared" si="10"/>
        <v>0</v>
      </c>
      <c r="X11" s="299"/>
      <c r="Y11" s="193"/>
      <c r="Z11" s="298"/>
      <c r="AA11" s="299"/>
      <c r="AB11" s="180">
        <f t="shared" si="11"/>
        <v>0</v>
      </c>
      <c r="AC11" s="299"/>
      <c r="AD11" s="193"/>
      <c r="AE11" s="330" t="str">
        <f t="shared" si="12"/>
        <v/>
      </c>
      <c r="AF11" s="328" t="str">
        <f t="shared" si="12"/>
        <v/>
      </c>
      <c r="AG11" s="328" t="str">
        <f t="shared" si="12"/>
        <v/>
      </c>
      <c r="AH11" s="329" t="str">
        <f t="shared" si="13"/>
        <v/>
      </c>
      <c r="AI11" s="259" t="str">
        <f t="shared" si="14"/>
        <v/>
      </c>
      <c r="AJ11" s="259" t="str">
        <f t="shared" si="15"/>
        <v/>
      </c>
      <c r="AK11" s="298"/>
      <c r="AL11" s="299"/>
      <c r="AM11" s="181" t="str">
        <f t="shared" si="16"/>
        <v/>
      </c>
      <c r="AN11" s="300"/>
      <c r="AO11" s="56"/>
      <c r="AP11" s="57"/>
      <c r="AQ11" s="181" t="str">
        <f t="shared" si="17"/>
        <v/>
      </c>
      <c r="AR11" s="171"/>
      <c r="AS11" s="56"/>
      <c r="AT11" s="57"/>
      <c r="AU11" s="181" t="str">
        <f t="shared" si="18"/>
        <v/>
      </c>
      <c r="AV11" s="171"/>
      <c r="AW11" s="56"/>
      <c r="AX11" s="57"/>
      <c r="AY11" s="181" t="str">
        <f t="shared" si="19"/>
        <v/>
      </c>
      <c r="AZ11" s="171"/>
      <c r="BA11" s="56"/>
      <c r="BB11" s="57"/>
      <c r="BC11" s="181" t="str">
        <f t="shared" si="20"/>
        <v/>
      </c>
      <c r="BD11" s="171"/>
      <c r="BE11" s="56"/>
      <c r="BF11" s="57"/>
      <c r="BG11" s="181" t="str">
        <f t="shared" si="21"/>
        <v/>
      </c>
      <c r="BH11" s="171"/>
      <c r="BI11" s="56"/>
      <c r="BJ11" s="57"/>
      <c r="BK11" s="181" t="str">
        <f t="shared" si="22"/>
        <v/>
      </c>
      <c r="BL11" s="171"/>
      <c r="BM11" s="56"/>
      <c r="BN11" s="57"/>
      <c r="BO11" s="181" t="str">
        <f t="shared" si="23"/>
        <v/>
      </c>
      <c r="BP11" s="171"/>
      <c r="BQ11" s="56"/>
      <c r="BR11" s="57"/>
      <c r="BS11" s="208" t="str">
        <f t="shared" si="24"/>
        <v/>
      </c>
      <c r="BT11" s="128"/>
      <c r="BU11" s="56"/>
      <c r="BV11" s="57"/>
      <c r="BW11" s="208" t="str">
        <f t="shared" si="25"/>
        <v/>
      </c>
      <c r="BX11" s="128"/>
    </row>
    <row r="12" spans="1:77" s="11" customFormat="1" x14ac:dyDescent="0.3">
      <c r="A12" s="115"/>
      <c r="B12" s="123" t="s">
        <v>68</v>
      </c>
      <c r="C12" s="76" t="s">
        <v>24</v>
      </c>
      <c r="D12" s="15">
        <v>2014</v>
      </c>
      <c r="E12" s="174">
        <f t="shared" si="0"/>
        <v>114.5</v>
      </c>
      <c r="F12" s="175"/>
      <c r="G12" s="107" t="str">
        <f>IF('TRA-M'!$A$2-D12&lt;=1,IF(R12&gt;=$P$3,"YES",IF(W12&gt;=$U$3,"YES",IF(AB12&gt;=$Z$3,"YES",""))),"")</f>
        <v/>
      </c>
      <c r="H12" s="108" t="str">
        <f t="shared" si="1"/>
        <v/>
      </c>
      <c r="I12" s="109" t="str">
        <f t="shared" si="2"/>
        <v/>
      </c>
      <c r="J12" s="110" t="str">
        <f t="shared" si="3"/>
        <v/>
      </c>
      <c r="K12" s="124">
        <f t="shared" si="4"/>
        <v>55.9</v>
      </c>
      <c r="L12" s="125">
        <f t="shared" si="5"/>
        <v>0</v>
      </c>
      <c r="M12" s="125">
        <f t="shared" si="6"/>
        <v>0</v>
      </c>
      <c r="N12" s="128">
        <f t="shared" si="7"/>
        <v>58.6</v>
      </c>
      <c r="O12" s="176" t="str">
        <f t="shared" si="8"/>
        <v/>
      </c>
      <c r="P12" s="298">
        <v>30.4</v>
      </c>
      <c r="Q12" s="299">
        <v>25.5</v>
      </c>
      <c r="R12" s="180">
        <f t="shared" si="9"/>
        <v>55.9</v>
      </c>
      <c r="S12" s="195">
        <f>31.5+27.1</f>
        <v>58.6</v>
      </c>
      <c r="T12" s="193">
        <v>5</v>
      </c>
      <c r="U12" s="298"/>
      <c r="V12" s="299"/>
      <c r="W12" s="180">
        <f t="shared" si="10"/>
        <v>0</v>
      </c>
      <c r="X12" s="299"/>
      <c r="Y12" s="193"/>
      <c r="Z12" s="298"/>
      <c r="AA12" s="299"/>
      <c r="AB12" s="180">
        <f t="shared" si="11"/>
        <v>0</v>
      </c>
      <c r="AC12" s="299"/>
      <c r="AD12" s="193"/>
      <c r="AE12" s="330" t="str">
        <f t="shared" si="12"/>
        <v/>
      </c>
      <c r="AF12" s="328" t="str">
        <f t="shared" si="12"/>
        <v/>
      </c>
      <c r="AG12" s="328" t="str">
        <f t="shared" si="12"/>
        <v/>
      </c>
      <c r="AH12" s="329" t="str">
        <f t="shared" si="13"/>
        <v/>
      </c>
      <c r="AI12" s="259" t="str">
        <f t="shared" si="14"/>
        <v/>
      </c>
      <c r="AJ12" s="259" t="str">
        <f t="shared" si="15"/>
        <v/>
      </c>
      <c r="AK12" s="298"/>
      <c r="AL12" s="299"/>
      <c r="AM12" s="181" t="str">
        <f t="shared" si="16"/>
        <v/>
      </c>
      <c r="AN12" s="300"/>
      <c r="AO12" s="56"/>
      <c r="AP12" s="57"/>
      <c r="AQ12" s="181" t="str">
        <f t="shared" si="17"/>
        <v/>
      </c>
      <c r="AR12" s="171"/>
      <c r="AS12" s="56"/>
      <c r="AT12" s="57"/>
      <c r="AU12" s="181" t="str">
        <f t="shared" si="18"/>
        <v/>
      </c>
      <c r="AV12" s="171"/>
      <c r="AW12" s="56"/>
      <c r="AX12" s="57"/>
      <c r="AY12" s="181" t="str">
        <f t="shared" si="19"/>
        <v/>
      </c>
      <c r="AZ12" s="171"/>
      <c r="BA12" s="56"/>
      <c r="BB12" s="57"/>
      <c r="BC12" s="181" t="str">
        <f t="shared" si="20"/>
        <v/>
      </c>
      <c r="BD12" s="171"/>
      <c r="BE12" s="56"/>
      <c r="BF12" s="57"/>
      <c r="BG12" s="181" t="str">
        <f t="shared" si="21"/>
        <v/>
      </c>
      <c r="BH12" s="171"/>
      <c r="BI12" s="56"/>
      <c r="BJ12" s="57"/>
      <c r="BK12" s="181" t="str">
        <f t="shared" si="22"/>
        <v/>
      </c>
      <c r="BL12" s="171"/>
      <c r="BM12" s="56"/>
      <c r="BN12" s="57"/>
      <c r="BO12" s="181" t="str">
        <f t="shared" si="23"/>
        <v/>
      </c>
      <c r="BP12" s="171"/>
      <c r="BQ12" s="56"/>
      <c r="BR12" s="57"/>
      <c r="BS12" s="208" t="str">
        <f t="shared" si="24"/>
        <v/>
      </c>
      <c r="BT12" s="128"/>
      <c r="BU12" s="56"/>
      <c r="BV12" s="57"/>
      <c r="BW12" s="208" t="str">
        <f t="shared" si="25"/>
        <v/>
      </c>
      <c r="BX12" s="128"/>
    </row>
    <row r="13" spans="1:77" s="11" customFormat="1" x14ac:dyDescent="0.3">
      <c r="A13" s="115"/>
      <c r="B13" s="123" t="s">
        <v>69</v>
      </c>
      <c r="C13" s="76" t="s">
        <v>24</v>
      </c>
      <c r="D13" s="15">
        <v>2014</v>
      </c>
      <c r="E13" s="174">
        <f t="shared" si="0"/>
        <v>50</v>
      </c>
      <c r="F13" s="175"/>
      <c r="G13" s="107" t="str">
        <f>IF('TRA-M'!$A$2-D13&lt;=1,IF(R13&gt;=$P$3,"YES",IF(W13&gt;=$U$3,"YES",IF(AB13&gt;=$Z$3,"YES",""))),"")</f>
        <v/>
      </c>
      <c r="H13" s="108" t="str">
        <f t="shared" si="1"/>
        <v/>
      </c>
      <c r="I13" s="109" t="str">
        <f t="shared" si="2"/>
        <v/>
      </c>
      <c r="J13" s="110" t="str">
        <f t="shared" si="3"/>
        <v/>
      </c>
      <c r="K13" s="124">
        <f t="shared" si="4"/>
        <v>50</v>
      </c>
      <c r="L13" s="125">
        <f t="shared" si="5"/>
        <v>0</v>
      </c>
      <c r="M13" s="125">
        <f t="shared" si="6"/>
        <v>0</v>
      </c>
      <c r="N13" s="128">
        <f t="shared" si="7"/>
        <v>0</v>
      </c>
      <c r="O13" s="176" t="str">
        <f t="shared" si="8"/>
        <v/>
      </c>
      <c r="P13" s="204">
        <v>25.9</v>
      </c>
      <c r="Q13" s="299">
        <v>24.1</v>
      </c>
      <c r="R13" s="180">
        <f t="shared" si="9"/>
        <v>50</v>
      </c>
      <c r="S13" s="299"/>
      <c r="T13" s="193">
        <v>6</v>
      </c>
      <c r="U13" s="298"/>
      <c r="V13" s="299"/>
      <c r="W13" s="180">
        <f t="shared" si="10"/>
        <v>0</v>
      </c>
      <c r="X13" s="299"/>
      <c r="Y13" s="193"/>
      <c r="Z13" s="56"/>
      <c r="AA13" s="57"/>
      <c r="AB13" s="180">
        <f t="shared" si="11"/>
        <v>0</v>
      </c>
      <c r="AC13" s="57"/>
      <c r="AD13" s="193"/>
      <c r="AE13" s="330" t="str">
        <f t="shared" si="12"/>
        <v/>
      </c>
      <c r="AF13" s="328" t="str">
        <f t="shared" si="12"/>
        <v/>
      </c>
      <c r="AG13" s="328" t="str">
        <f t="shared" si="12"/>
        <v/>
      </c>
      <c r="AH13" s="329" t="str">
        <f t="shared" si="13"/>
        <v/>
      </c>
      <c r="AI13" s="259" t="str">
        <f t="shared" si="14"/>
        <v/>
      </c>
      <c r="AJ13" s="259" t="str">
        <f t="shared" si="15"/>
        <v/>
      </c>
      <c r="AK13" s="298"/>
      <c r="AL13" s="299"/>
      <c r="AM13" s="181" t="str">
        <f t="shared" si="16"/>
        <v/>
      </c>
      <c r="AN13" s="300"/>
      <c r="AO13" s="56"/>
      <c r="AP13" s="57"/>
      <c r="AQ13" s="181" t="str">
        <f t="shared" si="17"/>
        <v/>
      </c>
      <c r="AR13" s="171"/>
      <c r="AS13" s="56"/>
      <c r="AT13" s="57"/>
      <c r="AU13" s="181" t="str">
        <f t="shared" si="18"/>
        <v/>
      </c>
      <c r="AV13" s="171"/>
      <c r="AW13" s="56"/>
      <c r="AX13" s="57"/>
      <c r="AY13" s="181" t="str">
        <f t="shared" si="19"/>
        <v/>
      </c>
      <c r="AZ13" s="171"/>
      <c r="BA13" s="56"/>
      <c r="BB13" s="57"/>
      <c r="BC13" s="181" t="str">
        <f t="shared" si="20"/>
        <v/>
      </c>
      <c r="BD13" s="171"/>
      <c r="BE13" s="56"/>
      <c r="BF13" s="57"/>
      <c r="BG13" s="181" t="str">
        <f t="shared" si="21"/>
        <v/>
      </c>
      <c r="BH13" s="171"/>
      <c r="BI13" s="56"/>
      <c r="BJ13" s="57"/>
      <c r="BK13" s="181" t="str">
        <f t="shared" si="22"/>
        <v/>
      </c>
      <c r="BL13" s="171"/>
      <c r="BM13" s="56"/>
      <c r="BN13" s="57"/>
      <c r="BO13" s="181" t="str">
        <f t="shared" si="23"/>
        <v/>
      </c>
      <c r="BP13" s="171"/>
      <c r="BQ13" s="56"/>
      <c r="BR13" s="57"/>
      <c r="BS13" s="208" t="str">
        <f t="shared" si="24"/>
        <v/>
      </c>
      <c r="BT13" s="128"/>
      <c r="BU13" s="56"/>
      <c r="BV13" s="57"/>
      <c r="BW13" s="208" t="str">
        <f t="shared" si="25"/>
        <v/>
      </c>
      <c r="BX13" s="128"/>
    </row>
    <row r="14" spans="1:77" x14ac:dyDescent="0.3"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</row>
    <row r="18" spans="2:11" x14ac:dyDescent="0.3">
      <c r="B18" s="80"/>
      <c r="D18" s="70"/>
    </row>
    <row r="19" spans="2:11" x14ac:dyDescent="0.3">
      <c r="B19" s="256" t="s">
        <v>58</v>
      </c>
    </row>
    <row r="20" spans="2:11" x14ac:dyDescent="0.3">
      <c r="B20" s="254" t="s">
        <v>67</v>
      </c>
      <c r="C20" s="82"/>
      <c r="D20" s="82"/>
      <c r="E20" s="82"/>
      <c r="F20" s="82"/>
      <c r="G20" s="82"/>
      <c r="H20" s="83"/>
      <c r="I20" s="121"/>
      <c r="J20" s="203"/>
      <c r="K20" s="168"/>
    </row>
    <row r="21" spans="2:11" x14ac:dyDescent="0.3">
      <c r="B21" s="255" t="s">
        <v>46</v>
      </c>
      <c r="C21" s="199"/>
      <c r="D21" s="199"/>
      <c r="E21" s="199"/>
      <c r="F21" s="200"/>
      <c r="G21" s="120"/>
      <c r="H21" s="203"/>
      <c r="I21" s="203"/>
    </row>
    <row r="22" spans="2:11" x14ac:dyDescent="0.3">
      <c r="B22" s="255" t="s">
        <v>72</v>
      </c>
      <c r="C22" s="199"/>
      <c r="D22" s="199"/>
      <c r="E22" s="199"/>
      <c r="F22" s="200"/>
      <c r="G22" s="201"/>
      <c r="H22" s="202"/>
      <c r="I22" s="203"/>
      <c r="J22" s="120"/>
      <c r="K22" s="168"/>
    </row>
    <row r="23" spans="2:11" x14ac:dyDescent="0.3">
      <c r="B23" s="33" t="s">
        <v>163</v>
      </c>
    </row>
    <row r="24" spans="2:11" x14ac:dyDescent="0.3">
      <c r="B24" s="33" t="s">
        <v>52</v>
      </c>
    </row>
  </sheetData>
  <sortState ref="A7:BY13">
    <sortCondition descending="1" ref="F7:F13"/>
    <sortCondition descending="1" ref="H7:H13"/>
    <sortCondition descending="1" ref="E7:E13"/>
  </sortState>
  <mergeCells count="42">
    <mergeCell ref="BU1:BX1"/>
    <mergeCell ref="AK1:AN1"/>
    <mergeCell ref="AO1:AR1"/>
    <mergeCell ref="BI2:BL2"/>
    <mergeCell ref="AW2:AZ2"/>
    <mergeCell ref="BM2:BP2"/>
    <mergeCell ref="BU2:BX2"/>
    <mergeCell ref="BA1:BD1"/>
    <mergeCell ref="BE1:BH1"/>
    <mergeCell ref="BM1:BP1"/>
    <mergeCell ref="AS1:AV1"/>
    <mergeCell ref="BI1:BL1"/>
    <mergeCell ref="AW1:AZ1"/>
    <mergeCell ref="AK2:AN2"/>
    <mergeCell ref="AO2:AR2"/>
    <mergeCell ref="BA2:BD2"/>
    <mergeCell ref="K2:N2"/>
    <mergeCell ref="K1:N1"/>
    <mergeCell ref="P1:T1"/>
    <mergeCell ref="P2:T2"/>
    <mergeCell ref="BQ2:BT2"/>
    <mergeCell ref="AS2:AV2"/>
    <mergeCell ref="BQ1:BT1"/>
    <mergeCell ref="Z2:AD2"/>
    <mergeCell ref="AE2:AG2"/>
    <mergeCell ref="AH2:AJ2"/>
    <mergeCell ref="BE2:BH2"/>
    <mergeCell ref="U1:Y1"/>
    <mergeCell ref="U2:Y2"/>
    <mergeCell ref="Z1:AD1"/>
    <mergeCell ref="AE1:AG1"/>
    <mergeCell ref="AH1:AJ1"/>
    <mergeCell ref="BU3:BX3"/>
    <mergeCell ref="AO3:AR3"/>
    <mergeCell ref="AK3:AN3"/>
    <mergeCell ref="BM3:BP3"/>
    <mergeCell ref="AW3:AZ3"/>
    <mergeCell ref="BA3:BD3"/>
    <mergeCell ref="AS3:AV3"/>
    <mergeCell ref="BE3:BH3"/>
    <mergeCell ref="BQ3:BT3"/>
    <mergeCell ref="BI3:BL3"/>
  </mergeCells>
  <phoneticPr fontId="0" type="noConversion"/>
  <pageMargins left="0.47244094488188998" right="0.47244094488188998" top="0.98425196850393704" bottom="0.78740157480314998" header="0.511811023622047" footer="0.511811023622047"/>
  <pageSetup scale="42" orientation="landscape" r:id="rId1"/>
  <headerFooter alignWithMargins="0">
    <oddHeader>&amp;L&amp;A&amp;R&amp;F</oddHeader>
    <oddFooter>&amp;CPage &amp;P</oddFooter>
  </headerFooter>
  <colBreaks count="2" manualBreakCount="2">
    <brk id="25" max="24" man="1"/>
    <brk id="52" max="29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29"/>
  <sheetViews>
    <sheetView view="pageBreakPreview" zoomScale="80" zoomScaleNormal="80" zoomScaleSheetLayoutView="7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9.1796875" defaultRowHeight="13" x14ac:dyDescent="0.3"/>
  <cols>
    <col min="1" max="1" width="5.7265625" style="126" customWidth="1"/>
    <col min="2" max="2" width="25.7265625" style="33" customWidth="1"/>
    <col min="3" max="4" width="7.7265625" style="126" customWidth="1"/>
    <col min="5" max="6" width="8.7265625" style="126" customWidth="1"/>
    <col min="7" max="7" width="8.7265625" style="95" customWidth="1"/>
    <col min="8" max="8" width="8.7265625" style="118" customWidth="1"/>
    <col min="9" max="10" width="8.7265625" style="119" customWidth="1"/>
    <col min="11" max="11" width="8.7265625" style="126" customWidth="1"/>
    <col min="12" max="12" width="8.7265625" style="150" customWidth="1"/>
    <col min="13" max="13" width="8.7265625" style="126" customWidth="1"/>
    <col min="14" max="14" width="8.7265625" style="248" customWidth="1"/>
    <col min="15" max="16" width="8.7265625" style="126" customWidth="1"/>
    <col min="17" max="18" width="7.54296875" style="294" customWidth="1"/>
    <col min="19" max="20" width="7.54296875" style="294" hidden="1" customWidth="1"/>
    <col min="21" max="34" width="7.54296875" style="294" customWidth="1"/>
    <col min="35" max="35" width="8.7265625" style="294" customWidth="1"/>
    <col min="36" max="36" width="7.54296875" style="125" customWidth="1"/>
    <col min="37" max="38" width="7.54296875" style="148" customWidth="1"/>
    <col min="39" max="43" width="7.54296875" style="125" customWidth="1"/>
    <col min="44" max="45" width="8.7265625" style="125" customWidth="1"/>
    <col min="46" max="47" width="8.7265625" style="323" customWidth="1"/>
    <col min="48" max="48" width="8.7265625" style="125" customWidth="1"/>
    <col min="49" max="50" width="17.7265625" style="125" customWidth="1"/>
    <col min="51" max="56" width="17.7265625" style="148" customWidth="1"/>
    <col min="57" max="66" width="17.7265625" style="33" customWidth="1"/>
    <col min="67" max="16384" width="9.1796875" style="33"/>
  </cols>
  <sheetData>
    <row r="1" spans="1:163" s="11" customFormat="1" x14ac:dyDescent="0.3">
      <c r="A1" s="1"/>
      <c r="B1" s="2" t="s">
        <v>19</v>
      </c>
      <c r="C1" s="2"/>
      <c r="D1" s="2"/>
      <c r="E1" s="94"/>
      <c r="F1" s="13"/>
      <c r="G1" s="95"/>
      <c r="H1" s="96"/>
      <c r="I1" s="97"/>
      <c r="J1" s="97"/>
      <c r="K1" s="355" t="s">
        <v>12</v>
      </c>
      <c r="L1" s="356"/>
      <c r="M1" s="356"/>
      <c r="N1" s="356"/>
      <c r="O1" s="357"/>
      <c r="P1" s="148" t="s">
        <v>143</v>
      </c>
      <c r="Q1" s="355" t="s">
        <v>81</v>
      </c>
      <c r="R1" s="356"/>
      <c r="S1" s="356"/>
      <c r="T1" s="356"/>
      <c r="U1" s="356"/>
      <c r="V1" s="356"/>
      <c r="W1" s="356"/>
      <c r="X1" s="356"/>
      <c r="Y1" s="356"/>
      <c r="Z1" s="357"/>
      <c r="AA1" s="355" t="s">
        <v>114</v>
      </c>
      <c r="AB1" s="356"/>
      <c r="AC1" s="356"/>
      <c r="AD1" s="356"/>
      <c r="AE1" s="356"/>
      <c r="AF1" s="356"/>
      <c r="AG1" s="356"/>
      <c r="AH1" s="356"/>
      <c r="AI1" s="357"/>
      <c r="AJ1" s="355" t="s">
        <v>153</v>
      </c>
      <c r="AK1" s="356"/>
      <c r="AL1" s="356"/>
      <c r="AM1" s="356"/>
      <c r="AN1" s="356"/>
      <c r="AO1" s="356"/>
      <c r="AP1" s="356"/>
      <c r="AQ1" s="356"/>
      <c r="AR1" s="357"/>
      <c r="AS1" s="371" t="s">
        <v>16</v>
      </c>
      <c r="AT1" s="375"/>
      <c r="AU1" s="371" t="s">
        <v>10</v>
      </c>
      <c r="AV1" s="375"/>
      <c r="AW1" s="355" t="s">
        <v>110</v>
      </c>
      <c r="AX1" s="357"/>
      <c r="AY1" s="355" t="s">
        <v>97</v>
      </c>
      <c r="AZ1" s="357"/>
      <c r="BA1" s="355" t="s">
        <v>166</v>
      </c>
      <c r="BB1" s="357"/>
      <c r="BC1" s="355"/>
      <c r="BD1" s="357"/>
      <c r="BE1" s="355"/>
      <c r="BF1" s="357"/>
      <c r="BG1" s="355"/>
      <c r="BH1" s="357"/>
      <c r="BI1" s="355"/>
      <c r="BJ1" s="357"/>
      <c r="BK1" s="355"/>
      <c r="BL1" s="357"/>
      <c r="BM1" s="355"/>
      <c r="BN1" s="357"/>
    </row>
    <row r="2" spans="1:163" s="11" customFormat="1" x14ac:dyDescent="0.3">
      <c r="A2" s="15"/>
      <c r="B2" s="13" t="s">
        <v>21</v>
      </c>
      <c r="C2" s="13"/>
      <c r="D2" s="13"/>
      <c r="E2" s="94"/>
      <c r="F2" s="13"/>
      <c r="G2" s="99"/>
      <c r="H2" s="13">
        <v>344.5</v>
      </c>
      <c r="I2" s="160">
        <v>361.3</v>
      </c>
      <c r="J2" s="13">
        <v>374.8</v>
      </c>
      <c r="K2" s="355" t="s">
        <v>11</v>
      </c>
      <c r="L2" s="356"/>
      <c r="M2" s="356"/>
      <c r="N2" s="356"/>
      <c r="O2" s="357"/>
      <c r="P2" s="148" t="s">
        <v>11</v>
      </c>
      <c r="Q2" s="355" t="s">
        <v>82</v>
      </c>
      <c r="R2" s="356"/>
      <c r="S2" s="356"/>
      <c r="T2" s="356"/>
      <c r="U2" s="356"/>
      <c r="V2" s="356"/>
      <c r="W2" s="356"/>
      <c r="X2" s="356"/>
      <c r="Y2" s="356"/>
      <c r="Z2" s="357"/>
      <c r="AA2" s="355" t="s">
        <v>115</v>
      </c>
      <c r="AB2" s="356"/>
      <c r="AC2" s="356"/>
      <c r="AD2" s="356"/>
      <c r="AE2" s="356"/>
      <c r="AF2" s="356"/>
      <c r="AG2" s="356"/>
      <c r="AH2" s="356"/>
      <c r="AI2" s="357"/>
      <c r="AJ2" s="355" t="s">
        <v>154</v>
      </c>
      <c r="AK2" s="356"/>
      <c r="AL2" s="356"/>
      <c r="AM2" s="356"/>
      <c r="AN2" s="356"/>
      <c r="AO2" s="356"/>
      <c r="AP2" s="356"/>
      <c r="AQ2" s="356"/>
      <c r="AR2" s="357"/>
      <c r="AS2" s="371" t="s">
        <v>17</v>
      </c>
      <c r="AT2" s="375"/>
      <c r="AU2" s="371" t="s">
        <v>11</v>
      </c>
      <c r="AV2" s="375"/>
      <c r="AW2" s="367" t="s">
        <v>111</v>
      </c>
      <c r="AX2" s="369"/>
      <c r="AY2" s="355" t="s">
        <v>98</v>
      </c>
      <c r="AZ2" s="357"/>
      <c r="BA2" s="355" t="s">
        <v>167</v>
      </c>
      <c r="BB2" s="357"/>
      <c r="BC2" s="355"/>
      <c r="BD2" s="357"/>
      <c r="BE2" s="355"/>
      <c r="BF2" s="357"/>
      <c r="BG2" s="355"/>
      <c r="BH2" s="357"/>
      <c r="BI2" s="355"/>
      <c r="BJ2" s="357"/>
      <c r="BK2" s="355"/>
      <c r="BL2" s="357"/>
      <c r="BM2" s="355"/>
      <c r="BN2" s="357"/>
    </row>
    <row r="3" spans="1:163" s="11" customFormat="1" x14ac:dyDescent="0.3">
      <c r="A3" s="15"/>
      <c r="B3" s="2" t="s">
        <v>28</v>
      </c>
      <c r="C3" s="2"/>
      <c r="D3" s="2"/>
      <c r="E3" s="94"/>
      <c r="F3" s="13"/>
      <c r="G3" s="99"/>
      <c r="H3" s="100"/>
      <c r="I3" s="101"/>
      <c r="J3" s="101"/>
      <c r="K3" s="102"/>
      <c r="L3" s="150"/>
      <c r="M3" s="126"/>
      <c r="N3" s="248"/>
      <c r="O3" s="127"/>
      <c r="P3" s="15"/>
      <c r="Q3" s="293"/>
      <c r="R3" s="294"/>
      <c r="W3" s="99">
        <v>69.2</v>
      </c>
      <c r="X3" s="100">
        <v>70.8</v>
      </c>
      <c r="Y3" s="101">
        <v>71.900000000000006</v>
      </c>
      <c r="Z3" s="213">
        <v>72.900000000000006</v>
      </c>
      <c r="AA3" s="293"/>
      <c r="AB3" s="294"/>
      <c r="AF3" s="99">
        <v>135</v>
      </c>
      <c r="AG3" s="100">
        <v>137.80000000000001</v>
      </c>
      <c r="AH3" s="101">
        <v>144.5</v>
      </c>
      <c r="AI3" s="104">
        <v>149.9</v>
      </c>
      <c r="AJ3" s="322"/>
      <c r="AK3" s="323"/>
      <c r="AL3" s="33"/>
      <c r="AM3" s="33"/>
      <c r="AN3" s="33"/>
      <c r="AO3" s="99">
        <v>135</v>
      </c>
      <c r="AP3" s="98">
        <v>137.80000000000001</v>
      </c>
      <c r="AQ3" s="331">
        <v>144.5</v>
      </c>
      <c r="AR3" s="213">
        <v>149.9</v>
      </c>
      <c r="AS3" s="259"/>
      <c r="AT3" s="332"/>
      <c r="AU3" s="259"/>
      <c r="AV3" s="259"/>
      <c r="AW3" s="364"/>
      <c r="AX3" s="366"/>
      <c r="AY3" s="364"/>
      <c r="AZ3" s="366"/>
      <c r="BA3" s="364"/>
      <c r="BB3" s="366"/>
      <c r="BC3" s="364"/>
      <c r="BD3" s="366"/>
      <c r="BE3" s="364"/>
      <c r="BF3" s="366"/>
      <c r="BG3" s="364"/>
      <c r="BH3" s="366"/>
      <c r="BI3" s="364"/>
      <c r="BJ3" s="366"/>
      <c r="BK3" s="364"/>
      <c r="BL3" s="366"/>
      <c r="BM3" s="364"/>
      <c r="BN3" s="366"/>
    </row>
    <row r="4" spans="1:163" s="11" customFormat="1" x14ac:dyDescent="0.3">
      <c r="A4" s="15"/>
      <c r="B4" s="2" t="s">
        <v>22</v>
      </c>
      <c r="C4" s="2"/>
      <c r="D4" s="15" t="s">
        <v>42</v>
      </c>
      <c r="E4" s="102" t="s">
        <v>8</v>
      </c>
      <c r="F4" s="162" t="s">
        <v>44</v>
      </c>
      <c r="G4" s="95" t="s">
        <v>34</v>
      </c>
      <c r="H4" s="96" t="s">
        <v>9</v>
      </c>
      <c r="I4" s="97" t="s">
        <v>14</v>
      </c>
      <c r="J4" s="214" t="s">
        <v>41</v>
      </c>
      <c r="K4" s="102" t="s">
        <v>4</v>
      </c>
      <c r="L4" s="88" t="s">
        <v>119</v>
      </c>
      <c r="M4" s="126" t="s">
        <v>4</v>
      </c>
      <c r="N4" s="248" t="s">
        <v>4</v>
      </c>
      <c r="O4" s="127" t="s">
        <v>4</v>
      </c>
      <c r="P4" s="15" t="s">
        <v>4</v>
      </c>
      <c r="Q4" s="293"/>
      <c r="R4" s="294"/>
      <c r="W4" s="95" t="s">
        <v>34</v>
      </c>
      <c r="X4" s="96" t="s">
        <v>9</v>
      </c>
      <c r="Y4" s="97" t="s">
        <v>14</v>
      </c>
      <c r="Z4" s="104" t="s">
        <v>41</v>
      </c>
      <c r="AA4" s="293"/>
      <c r="AB4" s="294"/>
      <c r="AF4" s="95" t="s">
        <v>34</v>
      </c>
      <c r="AG4" s="96" t="s">
        <v>9</v>
      </c>
      <c r="AH4" s="97" t="s">
        <v>14</v>
      </c>
      <c r="AI4" s="104" t="s">
        <v>41</v>
      </c>
      <c r="AJ4" s="322"/>
      <c r="AK4" s="323"/>
      <c r="AL4" s="33"/>
      <c r="AM4" s="33"/>
      <c r="AN4" s="33"/>
      <c r="AO4" s="95" t="s">
        <v>34</v>
      </c>
      <c r="AP4" s="118" t="s">
        <v>9</v>
      </c>
      <c r="AQ4" s="119" t="s">
        <v>14</v>
      </c>
      <c r="AR4" s="213" t="s">
        <v>41</v>
      </c>
      <c r="AS4" s="259" t="s">
        <v>4</v>
      </c>
      <c r="AT4" s="332" t="s">
        <v>4</v>
      </c>
      <c r="AU4" s="259" t="s">
        <v>4</v>
      </c>
      <c r="AV4" s="259" t="s">
        <v>4</v>
      </c>
      <c r="AW4" s="147"/>
      <c r="AX4" s="149"/>
      <c r="AY4" s="147"/>
      <c r="AZ4" s="149"/>
      <c r="BA4" s="147"/>
      <c r="BB4" s="149"/>
      <c r="BC4" s="147"/>
      <c r="BD4" s="149"/>
      <c r="BE4" s="147"/>
      <c r="BF4" s="149"/>
      <c r="BG4" s="147"/>
      <c r="BH4" s="149"/>
      <c r="BI4" s="147"/>
      <c r="BJ4" s="149"/>
      <c r="BK4" s="147"/>
      <c r="BL4" s="149"/>
      <c r="BM4" s="147"/>
      <c r="BN4" s="149"/>
    </row>
    <row r="5" spans="1:163" s="11" customFormat="1" x14ac:dyDescent="0.3">
      <c r="A5" s="15"/>
      <c r="B5" s="35" t="str">
        <f>+'TRA-M'!$A$1</f>
        <v>JULY 2017</v>
      </c>
      <c r="C5" s="36" t="s">
        <v>23</v>
      </c>
      <c r="D5" s="36" t="s">
        <v>43</v>
      </c>
      <c r="E5" s="102" t="s">
        <v>7</v>
      </c>
      <c r="F5" s="162">
        <v>29.2</v>
      </c>
      <c r="G5" s="95" t="s">
        <v>13</v>
      </c>
      <c r="H5" s="96" t="s">
        <v>13</v>
      </c>
      <c r="I5" s="97" t="s">
        <v>13</v>
      </c>
      <c r="J5" s="214" t="s">
        <v>13</v>
      </c>
      <c r="K5" s="102" t="s">
        <v>8</v>
      </c>
      <c r="L5" s="89" t="s">
        <v>120</v>
      </c>
      <c r="M5" s="258" t="s">
        <v>146</v>
      </c>
      <c r="N5" s="258" t="s">
        <v>147</v>
      </c>
      <c r="O5" s="151" t="s">
        <v>3</v>
      </c>
      <c r="P5" s="15" t="s">
        <v>15</v>
      </c>
      <c r="Q5" s="293" t="s">
        <v>29</v>
      </c>
      <c r="R5" s="294" t="s">
        <v>30</v>
      </c>
      <c r="S5" s="299" t="s">
        <v>135</v>
      </c>
      <c r="T5" s="299" t="s">
        <v>136</v>
      </c>
      <c r="U5" s="58" t="s">
        <v>39</v>
      </c>
      <c r="V5" s="294" t="s">
        <v>36</v>
      </c>
      <c r="W5" s="294" t="s">
        <v>37</v>
      </c>
      <c r="X5" s="58" t="s">
        <v>38</v>
      </c>
      <c r="Y5" s="58" t="s">
        <v>8</v>
      </c>
      <c r="Z5" s="58" t="s">
        <v>40</v>
      </c>
      <c r="AA5" s="293" t="s">
        <v>29</v>
      </c>
      <c r="AB5" s="294" t="s">
        <v>30</v>
      </c>
      <c r="AC5" s="294" t="s">
        <v>135</v>
      </c>
      <c r="AD5" s="294" t="s">
        <v>136</v>
      </c>
      <c r="AE5" s="58" t="s">
        <v>39</v>
      </c>
      <c r="AF5" s="294" t="s">
        <v>36</v>
      </c>
      <c r="AG5" s="294" t="s">
        <v>37</v>
      </c>
      <c r="AH5" s="58" t="s">
        <v>38</v>
      </c>
      <c r="AI5" s="58" t="s">
        <v>40</v>
      </c>
      <c r="AJ5" s="322" t="s">
        <v>29</v>
      </c>
      <c r="AK5" s="323" t="s">
        <v>30</v>
      </c>
      <c r="AL5" s="323" t="s">
        <v>135</v>
      </c>
      <c r="AM5" s="323" t="s">
        <v>136</v>
      </c>
      <c r="AN5" s="58" t="s">
        <v>39</v>
      </c>
      <c r="AO5" s="323" t="s">
        <v>36</v>
      </c>
      <c r="AP5" s="323" t="s">
        <v>37</v>
      </c>
      <c r="AQ5" s="58" t="s">
        <v>38</v>
      </c>
      <c r="AR5" s="215" t="s">
        <v>40</v>
      </c>
      <c r="AS5" s="259" t="s">
        <v>2</v>
      </c>
      <c r="AT5" s="332" t="s">
        <v>3</v>
      </c>
      <c r="AU5" s="259" t="s">
        <v>2</v>
      </c>
      <c r="AV5" s="259" t="s">
        <v>3</v>
      </c>
      <c r="AW5" s="147" t="s">
        <v>2</v>
      </c>
      <c r="AX5" s="149" t="s">
        <v>3</v>
      </c>
      <c r="AY5" s="147" t="s">
        <v>2</v>
      </c>
      <c r="AZ5" s="149" t="s">
        <v>3</v>
      </c>
      <c r="BA5" s="147" t="s">
        <v>2</v>
      </c>
      <c r="BB5" s="149" t="s">
        <v>3</v>
      </c>
      <c r="BC5" s="147" t="s">
        <v>2</v>
      </c>
      <c r="BD5" s="149" t="s">
        <v>3</v>
      </c>
      <c r="BE5" s="147" t="s">
        <v>2</v>
      </c>
      <c r="BF5" s="149" t="s">
        <v>3</v>
      </c>
      <c r="BG5" s="147" t="s">
        <v>2</v>
      </c>
      <c r="BH5" s="149" t="s">
        <v>3</v>
      </c>
      <c r="BI5" s="147" t="s">
        <v>2</v>
      </c>
      <c r="BJ5" s="149" t="s">
        <v>3</v>
      </c>
      <c r="BK5" s="147" t="s">
        <v>2</v>
      </c>
      <c r="BL5" s="149" t="s">
        <v>3</v>
      </c>
      <c r="BM5" s="147" t="s">
        <v>2</v>
      </c>
      <c r="BN5" s="149" t="s">
        <v>3</v>
      </c>
    </row>
    <row r="6" spans="1:163" s="11" customFormat="1" x14ac:dyDescent="0.3">
      <c r="A6" s="15"/>
      <c r="C6" s="15"/>
      <c r="D6" s="15"/>
      <c r="E6" s="102"/>
      <c r="F6" s="126"/>
      <c r="G6" s="95"/>
      <c r="H6" s="96"/>
      <c r="I6" s="97"/>
      <c r="J6" s="214"/>
      <c r="K6" s="102"/>
      <c r="L6" s="150"/>
      <c r="M6" s="126"/>
      <c r="N6" s="248"/>
      <c r="O6" s="127"/>
      <c r="P6" s="15"/>
      <c r="Q6" s="298"/>
      <c r="R6" s="299"/>
      <c r="S6" s="299"/>
      <c r="T6" s="299"/>
      <c r="U6" s="299"/>
      <c r="V6" s="299"/>
      <c r="W6" s="299"/>
      <c r="X6" s="294"/>
      <c r="Y6" s="294"/>
      <c r="Z6" s="215"/>
      <c r="AA6" s="298"/>
      <c r="AB6" s="299"/>
      <c r="AC6" s="299"/>
      <c r="AD6" s="299"/>
      <c r="AE6" s="299"/>
      <c r="AF6" s="299"/>
      <c r="AG6" s="299"/>
      <c r="AH6" s="294"/>
      <c r="AI6" s="215"/>
      <c r="AJ6" s="326"/>
      <c r="AK6" s="327"/>
      <c r="AL6" s="327"/>
      <c r="AM6" s="327"/>
      <c r="AN6" s="327"/>
      <c r="AO6" s="327"/>
      <c r="AP6" s="327"/>
      <c r="AQ6" s="323"/>
      <c r="AR6" s="215"/>
      <c r="AS6" s="259"/>
      <c r="AT6" s="332"/>
      <c r="AU6" s="259"/>
      <c r="AV6" s="259"/>
      <c r="AW6" s="158"/>
      <c r="AX6" s="171"/>
      <c r="AY6" s="158"/>
      <c r="AZ6" s="171"/>
      <c r="BA6" s="158"/>
      <c r="BB6" s="171"/>
      <c r="BC6" s="158"/>
      <c r="BD6" s="171"/>
      <c r="BE6" s="158"/>
      <c r="BF6" s="171"/>
      <c r="BG6" s="158"/>
      <c r="BH6" s="171"/>
      <c r="BI6" s="158"/>
      <c r="BJ6" s="171"/>
      <c r="BK6" s="158"/>
      <c r="BL6" s="171"/>
      <c r="BM6" s="158"/>
      <c r="BN6" s="171"/>
    </row>
    <row r="7" spans="1:163" s="11" customFormat="1" x14ac:dyDescent="0.3">
      <c r="A7" s="15">
        <v>1</v>
      </c>
      <c r="B7" s="212" t="s">
        <v>53</v>
      </c>
      <c r="C7" s="66" t="s">
        <v>24</v>
      </c>
      <c r="D7" s="15">
        <v>2010</v>
      </c>
      <c r="E7" s="174">
        <f t="shared" ref="E7:E20" si="0">IF(P7="",SUM(K7:O7),SUM(K7:P7))</f>
        <v>356.8</v>
      </c>
      <c r="F7" s="177" t="s">
        <v>45</v>
      </c>
      <c r="G7" s="107" t="str">
        <f>IF('TRA-M'!$A$2-D7&lt;=1,IF(U7&gt;=$W$3,"YES",IF(AE7&gt;=$AF$3,"YES",IF(OR(AN7&gt;=$AO$3, AQ7&gt;=$AO$3),"YES",""))),"")</f>
        <v/>
      </c>
      <c r="H7" s="108" t="str">
        <f t="shared" ref="H7:H20" si="1">IF(OR(U7&gt;=$X$3,X7&gt;=$X$3),IF(F7="YES","YES",""),IF(OR(AE7&gt;=$AG$3,AH7&gt;=$AG$3),IF(F7="YES","YES",""),IF(OR(AN7&gt;=$AP$3,AQ7&gt;=$AP$3),IF(F7="YES","YES",""),"")))</f>
        <v>YES</v>
      </c>
      <c r="I7" s="109" t="str">
        <f t="shared" ref="I7:I20" si="2">IF(OR(U7&gt;=$Y$3,X7&gt;=$Y$3),IF(F7="YES","YES",""),IF(OR(AE7&gt;=$AH$3,AH7&gt;=$AH$3),IF(F7="YES","YES",""),IF(OR(AN7&gt;=$AQ$3,AQ7&gt;=$AQ$3),IF(F7="YES","YES",""),"")))</f>
        <v/>
      </c>
      <c r="J7" s="216" t="str">
        <f t="shared" ref="J7:J20" si="3">IF(OR(U7&gt;=$Z$3,X7&gt;=$Z$3),IF(F7="YES","YES",""),IF(OR(AE7&gt;=$AI$3,AH7&gt;=$AI$3),IF(F7="YES","YES",""),IF(OR(AN7&gt;=$AR$3,AQ7&gt;=$AR$3),IF(F7="YES","YES",""),"")))</f>
        <v/>
      </c>
      <c r="K7" s="124">
        <f t="shared" ref="K7:K20" si="4">MAX($U7,$AE7,$AN7)</f>
        <v>140.10000000000002</v>
      </c>
      <c r="L7" s="148"/>
      <c r="M7" s="125">
        <f t="shared" ref="M7:M20" si="5">IF(K7=$U7,MAX($AA7+$AB7,$AJ7+$AK7),IF(K7=$AE7,MAX($Q7+$R7,$AJ7+$AK7),MAX($Q7+$R7,$AA7+$AB7)))</f>
        <v>71.699999999999989</v>
      </c>
      <c r="N7" s="249">
        <f t="shared" ref="N7:N20" si="6">IF(K7=$U7,MAX($AC7+$AD7,$AL7+$AM7),IF(K7=$AE7,MAX($S7+$T7,$AL7+$AM7),MAX($S7+$T7,$AC7+$AD7)))</f>
        <v>72.400000000000006</v>
      </c>
      <c r="O7" s="149">
        <f t="shared" ref="O7:O20" si="7">MAX($X7,$AH7,$AQ7)</f>
        <v>62.7</v>
      </c>
      <c r="P7" s="128">
        <f t="shared" ref="P7:P20" si="8">IF(MAX(AS7:AT7)&lt;=0,"",MAX(AS7:AT7))</f>
        <v>9.8999999999999915</v>
      </c>
      <c r="Q7" s="298">
        <v>36.299999999999997</v>
      </c>
      <c r="R7" s="299">
        <v>35.4</v>
      </c>
      <c r="S7" s="299"/>
      <c r="T7" s="299"/>
      <c r="U7" s="177">
        <f t="shared" ref="U7:U20" si="9">SUM(Q7:R7)</f>
        <v>71.699999999999989</v>
      </c>
      <c r="V7" s="195">
        <v>25.1</v>
      </c>
      <c r="W7" s="299">
        <v>35.1</v>
      </c>
      <c r="X7" s="180">
        <f t="shared" ref="X7:X20" si="10">+V7+W7</f>
        <v>60.2</v>
      </c>
      <c r="Y7" s="180">
        <f t="shared" ref="Y7:Y20" si="11">+U7+X7</f>
        <v>131.89999999999998</v>
      </c>
      <c r="Z7" s="217">
        <v>4</v>
      </c>
      <c r="AA7" s="298">
        <v>36.299999999999997</v>
      </c>
      <c r="AB7" s="299">
        <v>32.700000000000003</v>
      </c>
      <c r="AC7" s="299">
        <v>37.9</v>
      </c>
      <c r="AD7" s="299">
        <v>33.200000000000003</v>
      </c>
      <c r="AE7" s="180">
        <f t="shared" ref="AE7:AE20" si="12">+SUM(AA7:AD7)</f>
        <v>140.10000000000002</v>
      </c>
      <c r="AF7" s="299">
        <v>36.4</v>
      </c>
      <c r="AG7" s="195">
        <v>25.9</v>
      </c>
      <c r="AH7" s="180">
        <f t="shared" ref="AH7:AH20" si="13">+AF7+AG7</f>
        <v>62.3</v>
      </c>
      <c r="AI7" s="217">
        <v>5</v>
      </c>
      <c r="AJ7" s="204">
        <v>24</v>
      </c>
      <c r="AK7" s="327">
        <v>37</v>
      </c>
      <c r="AL7" s="327">
        <v>36.299999999999997</v>
      </c>
      <c r="AM7" s="327">
        <v>36.1</v>
      </c>
      <c r="AN7" s="177">
        <f t="shared" ref="AN7:AN20" si="14">+SUM(AJ7:AM7)</f>
        <v>133.4</v>
      </c>
      <c r="AO7" s="195">
        <v>24.5</v>
      </c>
      <c r="AP7" s="327">
        <v>38.200000000000003</v>
      </c>
      <c r="AQ7" s="180">
        <f t="shared" ref="AQ7:AQ20" si="15">+AO7+AP7</f>
        <v>62.7</v>
      </c>
      <c r="AR7" s="217">
        <v>5</v>
      </c>
      <c r="AS7" s="328">
        <f t="shared" ref="AS7:AS20" si="16">IF($AU7="","",$AU7-M7)</f>
        <v>-1.3999999999999773</v>
      </c>
      <c r="AT7" s="333">
        <f t="shared" ref="AT7:AT20" si="17">IF($AV7="","",$AV7-O7)</f>
        <v>9.8999999999999915</v>
      </c>
      <c r="AU7" s="259">
        <f t="shared" ref="AU7:AU20" si="18">IF(MAX($AW7,$AY7,$BA7,$BC7,$BE7,$BG7,$BI7,$BK7,$BM7)=0,"",MAX($AW7,$AY7,$BA7,$BC7,$BE7,$BG7,$BI7,$BK7,$BM7))</f>
        <v>70.300000000000011</v>
      </c>
      <c r="AV7" s="259">
        <f t="shared" ref="AV7:AV20" si="19">IF(MAX($AX7,$AZ7,$BB7,$BD7,$BF7,$BH7,$BJ7,$BL7,$BN7)=0,"",MAX($AX7,$AZ7,$BB7,$BD7,$BF7,$BH7,$BJ7,$BL7,$BN7))</f>
        <v>72.599999999999994</v>
      </c>
      <c r="AW7" s="158"/>
      <c r="AX7" s="171"/>
      <c r="AY7" s="158">
        <f>34.2+36.1</f>
        <v>70.300000000000011</v>
      </c>
      <c r="AZ7" s="183">
        <f>36.5+36.1</f>
        <v>72.599999999999994</v>
      </c>
      <c r="BA7" s="236">
        <f>31.6+33.3</f>
        <v>64.900000000000006</v>
      </c>
      <c r="BB7" s="183">
        <f>35.4+37.2</f>
        <v>72.599999999999994</v>
      </c>
      <c r="BC7" s="158"/>
      <c r="BD7" s="171"/>
      <c r="BE7" s="158"/>
      <c r="BF7" s="171"/>
      <c r="BG7" s="158"/>
      <c r="BH7" s="171"/>
      <c r="BI7" s="158"/>
      <c r="BJ7" s="171"/>
      <c r="BK7" s="158"/>
      <c r="BL7" s="171"/>
      <c r="BM7" s="158"/>
      <c r="BN7" s="171"/>
    </row>
    <row r="8" spans="1:163" s="11" customFormat="1" x14ac:dyDescent="0.3">
      <c r="A8" s="15">
        <v>2</v>
      </c>
      <c r="B8" s="210" t="s">
        <v>65</v>
      </c>
      <c r="C8" s="70" t="s">
        <v>26</v>
      </c>
      <c r="D8" s="15">
        <v>2011</v>
      </c>
      <c r="E8" s="174">
        <f t="shared" si="0"/>
        <v>207.89999999999998</v>
      </c>
      <c r="F8" s="175" t="s">
        <v>45</v>
      </c>
      <c r="G8" s="107" t="str">
        <f>IF('TRA-M'!$A$2-D8&lt;=1,IF(U8&gt;=$W$3,"YES",IF(AE8&gt;=$AF$3,"YES",IF(OR(AN8&gt;=$AO$3, AQ8&gt;=$AO$3),"YES",""))),"")</f>
        <v/>
      </c>
      <c r="H8" s="108" t="str">
        <f t="shared" si="1"/>
        <v>YES</v>
      </c>
      <c r="I8" s="109" t="str">
        <f t="shared" si="2"/>
        <v>YES</v>
      </c>
      <c r="J8" s="239" t="str">
        <f t="shared" si="3"/>
        <v/>
      </c>
      <c r="K8" s="147">
        <f t="shared" si="4"/>
        <v>72.3</v>
      </c>
      <c r="L8" s="224">
        <v>67.8</v>
      </c>
      <c r="M8" s="247">
        <f t="shared" si="5"/>
        <v>0</v>
      </c>
      <c r="N8" s="249">
        <f t="shared" si="6"/>
        <v>0</v>
      </c>
      <c r="O8" s="149">
        <f t="shared" si="7"/>
        <v>67.8</v>
      </c>
      <c r="P8" s="324" t="str">
        <f t="shared" si="8"/>
        <v/>
      </c>
      <c r="Q8" s="298">
        <v>36</v>
      </c>
      <c r="R8" s="299">
        <v>36.299999999999997</v>
      </c>
      <c r="S8" s="299"/>
      <c r="T8" s="299"/>
      <c r="U8" s="177">
        <f t="shared" si="9"/>
        <v>72.3</v>
      </c>
      <c r="V8" s="299">
        <v>33.799999999999997</v>
      </c>
      <c r="W8" s="299">
        <v>34</v>
      </c>
      <c r="X8" s="251">
        <f t="shared" si="10"/>
        <v>67.8</v>
      </c>
      <c r="Y8" s="180">
        <f t="shared" si="11"/>
        <v>140.1</v>
      </c>
      <c r="Z8" s="217">
        <v>1</v>
      </c>
      <c r="AA8" s="298"/>
      <c r="AB8" s="299"/>
      <c r="AC8" s="299"/>
      <c r="AD8" s="299"/>
      <c r="AE8" s="180">
        <f t="shared" si="12"/>
        <v>0</v>
      </c>
      <c r="AF8" s="299"/>
      <c r="AG8" s="299"/>
      <c r="AH8" s="180">
        <f t="shared" si="13"/>
        <v>0</v>
      </c>
      <c r="AI8" s="217"/>
      <c r="AJ8" s="326"/>
      <c r="AK8" s="327"/>
      <c r="AL8" s="327"/>
      <c r="AM8" s="327"/>
      <c r="AN8" s="180">
        <f t="shared" si="14"/>
        <v>0</v>
      </c>
      <c r="AO8" s="327"/>
      <c r="AP8" s="327"/>
      <c r="AQ8" s="180">
        <f t="shared" si="15"/>
        <v>0</v>
      </c>
      <c r="AR8" s="217"/>
      <c r="AS8" s="328" t="str">
        <f t="shared" si="16"/>
        <v/>
      </c>
      <c r="AT8" s="333" t="str">
        <f t="shared" si="17"/>
        <v/>
      </c>
      <c r="AU8" s="259" t="str">
        <f t="shared" si="18"/>
        <v/>
      </c>
      <c r="AV8" s="259" t="str">
        <f t="shared" si="19"/>
        <v/>
      </c>
      <c r="AW8" s="158"/>
      <c r="AX8" s="171"/>
      <c r="AY8" s="158"/>
      <c r="AZ8" s="171"/>
      <c r="BA8" s="158"/>
      <c r="BB8" s="171"/>
      <c r="BC8" s="158"/>
      <c r="BD8" s="171"/>
      <c r="BE8" s="158"/>
      <c r="BF8" s="171"/>
      <c r="BG8" s="158"/>
      <c r="BH8" s="171"/>
      <c r="BI8" s="158"/>
      <c r="BJ8" s="171"/>
      <c r="BK8" s="158"/>
      <c r="BL8" s="171"/>
      <c r="BM8" s="158"/>
      <c r="BN8" s="171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</row>
    <row r="9" spans="1:163" s="11" customFormat="1" x14ac:dyDescent="0.3">
      <c r="A9" s="115">
        <v>3</v>
      </c>
      <c r="B9" s="210" t="s">
        <v>55</v>
      </c>
      <c r="C9" s="150" t="s">
        <v>27</v>
      </c>
      <c r="D9" s="15">
        <v>2012</v>
      </c>
      <c r="E9" s="174">
        <f t="shared" si="0"/>
        <v>342.8</v>
      </c>
      <c r="F9" s="175"/>
      <c r="G9" s="107" t="str">
        <f>IF('TRA-M'!$A$2-D9&lt;=1,IF(U9&gt;=$W$3,"YES",IF(AE9&gt;=$AF$3,"YES",IF(OR(AN9&gt;=$AO$3, AQ9&gt;=$AO$3),"YES",""))),"")</f>
        <v/>
      </c>
      <c r="H9" s="108" t="str">
        <f t="shared" si="1"/>
        <v/>
      </c>
      <c r="I9" s="109" t="str">
        <f t="shared" si="2"/>
        <v/>
      </c>
      <c r="J9" s="216" t="str">
        <f t="shared" si="3"/>
        <v/>
      </c>
      <c r="K9" s="147">
        <f t="shared" si="4"/>
        <v>137.9</v>
      </c>
      <c r="L9" s="224">
        <v>65.3</v>
      </c>
      <c r="M9" s="247">
        <f t="shared" si="5"/>
        <v>70</v>
      </c>
      <c r="N9" s="249">
        <f t="shared" si="6"/>
        <v>0</v>
      </c>
      <c r="O9" s="149">
        <f t="shared" si="7"/>
        <v>68.400000000000006</v>
      </c>
      <c r="P9" s="324">
        <f t="shared" si="8"/>
        <v>1.2000000000000028</v>
      </c>
      <c r="Q9" s="299">
        <v>35.200000000000003</v>
      </c>
      <c r="R9" s="299">
        <v>34.799999999999997</v>
      </c>
      <c r="S9" s="299"/>
      <c r="T9" s="299"/>
      <c r="U9" s="180">
        <f t="shared" si="9"/>
        <v>70</v>
      </c>
      <c r="V9" s="299">
        <v>29.3</v>
      </c>
      <c r="W9" s="299">
        <v>36</v>
      </c>
      <c r="X9" s="251">
        <f t="shared" si="10"/>
        <v>65.3</v>
      </c>
      <c r="Y9" s="180">
        <f t="shared" si="11"/>
        <v>135.30000000000001</v>
      </c>
      <c r="Z9" s="217">
        <v>3</v>
      </c>
      <c r="AA9" s="299"/>
      <c r="AB9" s="299"/>
      <c r="AC9" s="299"/>
      <c r="AD9" s="299"/>
      <c r="AE9" s="180">
        <f t="shared" si="12"/>
        <v>0</v>
      </c>
      <c r="AF9" s="299"/>
      <c r="AG9" s="299"/>
      <c r="AH9" s="180">
        <f t="shared" si="13"/>
        <v>0</v>
      </c>
      <c r="AI9" s="217"/>
      <c r="AJ9" s="326">
        <v>35</v>
      </c>
      <c r="AK9" s="327">
        <v>33.4</v>
      </c>
      <c r="AL9" s="327">
        <v>35.200000000000003</v>
      </c>
      <c r="AM9" s="327">
        <v>34.299999999999997</v>
      </c>
      <c r="AN9" s="180">
        <f t="shared" si="14"/>
        <v>137.9</v>
      </c>
      <c r="AO9" s="327">
        <v>33.299999999999997</v>
      </c>
      <c r="AP9" s="327">
        <v>35.1</v>
      </c>
      <c r="AQ9" s="180">
        <f t="shared" si="15"/>
        <v>68.400000000000006</v>
      </c>
      <c r="AR9" s="217">
        <v>1</v>
      </c>
      <c r="AS9" s="328">
        <f t="shared" si="16"/>
        <v>1.2000000000000028</v>
      </c>
      <c r="AT9" s="333">
        <f t="shared" si="17"/>
        <v>1.1999999999999886</v>
      </c>
      <c r="AU9" s="259">
        <f t="shared" si="18"/>
        <v>71.2</v>
      </c>
      <c r="AV9" s="259">
        <f t="shared" si="19"/>
        <v>69.599999999999994</v>
      </c>
      <c r="AW9" s="219">
        <f>35+31.4</f>
        <v>66.400000000000006</v>
      </c>
      <c r="AX9" s="238">
        <f>33+36.6</f>
        <v>69.599999999999994</v>
      </c>
      <c r="AY9" s="158">
        <f>35.1+36.1</f>
        <v>71.2</v>
      </c>
      <c r="AZ9" s="209">
        <f>23.2+35.5</f>
        <v>58.7</v>
      </c>
      <c r="BA9" s="158"/>
      <c r="BB9" s="171"/>
      <c r="BC9" s="158"/>
      <c r="BD9" s="171"/>
      <c r="BE9" s="158"/>
      <c r="BF9" s="171"/>
      <c r="BG9" s="158"/>
      <c r="BH9" s="171"/>
      <c r="BI9" s="158"/>
      <c r="BJ9" s="171"/>
      <c r="BK9" s="158"/>
      <c r="BL9" s="171"/>
      <c r="BM9" s="158"/>
      <c r="BN9" s="171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</row>
    <row r="10" spans="1:163" x14ac:dyDescent="0.3">
      <c r="A10" s="194">
        <v>4</v>
      </c>
      <c r="B10" s="210" t="s">
        <v>137</v>
      </c>
      <c r="C10" s="126" t="s">
        <v>27</v>
      </c>
      <c r="D10" s="15">
        <v>2017</v>
      </c>
      <c r="E10" s="174">
        <f t="shared" si="0"/>
        <v>338.00000000000006</v>
      </c>
      <c r="F10" s="175"/>
      <c r="G10" s="107" t="str">
        <f>IF('TRA-M'!$A$2-D10&lt;=1,IF(U10&gt;=$W$3,"YES",IF(AE10&gt;=$AF$3,"YES",IF(OR(AN10&gt;=$AO$3, AQ10&gt;=$AO$3),"YES",""))),"")</f>
        <v>YES</v>
      </c>
      <c r="H10" s="108" t="str">
        <f t="shared" si="1"/>
        <v/>
      </c>
      <c r="I10" s="109" t="str">
        <f t="shared" si="2"/>
        <v/>
      </c>
      <c r="J10" s="216" t="str">
        <f t="shared" si="3"/>
        <v/>
      </c>
      <c r="K10" s="147">
        <f t="shared" si="4"/>
        <v>136.9</v>
      </c>
      <c r="L10" s="148"/>
      <c r="M10" s="247">
        <f t="shared" si="5"/>
        <v>68.5</v>
      </c>
      <c r="N10" s="249">
        <f t="shared" si="6"/>
        <v>65.800000000000011</v>
      </c>
      <c r="O10" s="149">
        <f t="shared" si="7"/>
        <v>66.8</v>
      </c>
      <c r="P10" s="324" t="str">
        <f t="shared" si="8"/>
        <v/>
      </c>
      <c r="Q10" s="220">
        <v>34</v>
      </c>
      <c r="R10" s="222">
        <v>34.5</v>
      </c>
      <c r="S10" s="222"/>
      <c r="T10" s="222"/>
      <c r="U10" s="221">
        <f t="shared" si="9"/>
        <v>68.5</v>
      </c>
      <c r="V10" s="222">
        <v>32.6</v>
      </c>
      <c r="W10" s="222">
        <v>33.299999999999997</v>
      </c>
      <c r="X10" s="221">
        <f t="shared" si="10"/>
        <v>65.900000000000006</v>
      </c>
      <c r="Y10" s="221">
        <f t="shared" si="11"/>
        <v>134.4</v>
      </c>
      <c r="Z10" s="223"/>
      <c r="AA10" s="298">
        <v>33.4</v>
      </c>
      <c r="AB10" s="299">
        <v>32.299999999999997</v>
      </c>
      <c r="AC10" s="299">
        <v>31.1</v>
      </c>
      <c r="AD10" s="299">
        <v>34.700000000000003</v>
      </c>
      <c r="AE10" s="180">
        <f t="shared" si="12"/>
        <v>131.5</v>
      </c>
      <c r="AF10" s="299">
        <v>31.2</v>
      </c>
      <c r="AG10" s="299">
        <v>33.799999999999997</v>
      </c>
      <c r="AH10" s="180">
        <f t="shared" si="13"/>
        <v>65</v>
      </c>
      <c r="AI10" s="217">
        <v>4</v>
      </c>
      <c r="AJ10" s="326">
        <v>34.9</v>
      </c>
      <c r="AK10" s="327">
        <v>33</v>
      </c>
      <c r="AL10" s="327">
        <v>34.700000000000003</v>
      </c>
      <c r="AM10" s="327">
        <v>34.299999999999997</v>
      </c>
      <c r="AN10" s="180">
        <f t="shared" si="14"/>
        <v>136.9</v>
      </c>
      <c r="AO10" s="327">
        <v>35.9</v>
      </c>
      <c r="AP10" s="327">
        <v>30.9</v>
      </c>
      <c r="AQ10" s="180">
        <f t="shared" si="15"/>
        <v>66.8</v>
      </c>
      <c r="AR10" s="217">
        <v>3</v>
      </c>
      <c r="AS10" s="328" t="str">
        <f t="shared" si="16"/>
        <v/>
      </c>
      <c r="AT10" s="333" t="str">
        <f t="shared" si="17"/>
        <v/>
      </c>
      <c r="AU10" s="259" t="str">
        <f t="shared" si="18"/>
        <v/>
      </c>
      <c r="AV10" s="259" t="str">
        <f t="shared" si="19"/>
        <v/>
      </c>
      <c r="AW10" s="158"/>
      <c r="AX10" s="171"/>
      <c r="AY10" s="158"/>
      <c r="AZ10" s="171"/>
      <c r="BA10" s="158"/>
      <c r="BB10" s="171"/>
      <c r="BC10" s="158"/>
      <c r="BD10" s="171"/>
      <c r="BE10" s="158"/>
      <c r="BF10" s="171"/>
      <c r="BG10" s="158"/>
      <c r="BH10" s="171"/>
      <c r="BI10" s="158"/>
      <c r="BJ10" s="171"/>
      <c r="BK10" s="158"/>
      <c r="BL10" s="171"/>
      <c r="BM10" s="158"/>
      <c r="BN10" s="171"/>
    </row>
    <row r="11" spans="1:163" x14ac:dyDescent="0.3">
      <c r="A11" s="15"/>
      <c r="B11" s="210" t="s">
        <v>75</v>
      </c>
      <c r="C11" s="263" t="s">
        <v>27</v>
      </c>
      <c r="D11" s="15">
        <v>2016</v>
      </c>
      <c r="E11" s="174">
        <f t="shared" si="0"/>
        <v>330.6</v>
      </c>
      <c r="F11" s="175"/>
      <c r="G11" s="107" t="str">
        <f>IF('TRA-M'!$A$2-D11&lt;=1,IF(U11&gt;=$W$3,"YES",IF(AE11&gt;=$AF$3,"YES",IF(OR(AN11&gt;=$AO$3, AQ11&gt;=$AO$3),"YES",""))),"")</f>
        <v/>
      </c>
      <c r="H11" s="108" t="str">
        <f t="shared" si="1"/>
        <v/>
      </c>
      <c r="I11" s="109" t="str">
        <f t="shared" si="2"/>
        <v/>
      </c>
      <c r="J11" s="216" t="str">
        <f t="shared" si="3"/>
        <v/>
      </c>
      <c r="K11" s="147">
        <f t="shared" si="4"/>
        <v>134.30000000000001</v>
      </c>
      <c r="L11" s="243"/>
      <c r="M11" s="247">
        <f t="shared" si="5"/>
        <v>64.900000000000006</v>
      </c>
      <c r="N11" s="249">
        <f t="shared" si="6"/>
        <v>65.5</v>
      </c>
      <c r="O11" s="149">
        <f t="shared" si="7"/>
        <v>65.900000000000006</v>
      </c>
      <c r="P11" s="324" t="str">
        <f t="shared" si="8"/>
        <v/>
      </c>
      <c r="Q11" s="298">
        <v>32.200000000000003</v>
      </c>
      <c r="R11" s="299">
        <v>32.700000000000003</v>
      </c>
      <c r="S11" s="299"/>
      <c r="T11" s="299"/>
      <c r="U11" s="180">
        <f t="shared" si="9"/>
        <v>64.900000000000006</v>
      </c>
      <c r="V11" s="299">
        <v>33.1</v>
      </c>
      <c r="W11" s="299">
        <v>32.799999999999997</v>
      </c>
      <c r="X11" s="180">
        <f t="shared" si="10"/>
        <v>65.900000000000006</v>
      </c>
      <c r="Y11" s="180">
        <f t="shared" si="11"/>
        <v>130.80000000000001</v>
      </c>
      <c r="Z11" s="217">
        <v>5</v>
      </c>
      <c r="AA11" s="298">
        <v>34.5</v>
      </c>
      <c r="AB11" s="299">
        <v>33</v>
      </c>
      <c r="AC11" s="299">
        <v>32.9</v>
      </c>
      <c r="AD11" s="299">
        <v>33.9</v>
      </c>
      <c r="AE11" s="180">
        <f t="shared" si="12"/>
        <v>134.30000000000001</v>
      </c>
      <c r="AF11" s="195">
        <v>23.2</v>
      </c>
      <c r="AG11" s="299">
        <v>34.200000000000003</v>
      </c>
      <c r="AH11" s="180">
        <f t="shared" si="13"/>
        <v>57.400000000000006</v>
      </c>
      <c r="AI11" s="217">
        <v>6</v>
      </c>
      <c r="AJ11" s="204">
        <v>22.9</v>
      </c>
      <c r="AK11" s="327">
        <v>33.9</v>
      </c>
      <c r="AL11" s="327">
        <v>33.1</v>
      </c>
      <c r="AM11" s="327">
        <v>32.4</v>
      </c>
      <c r="AN11" s="180">
        <f t="shared" si="14"/>
        <v>122.30000000000001</v>
      </c>
      <c r="AO11" s="327">
        <v>32.6</v>
      </c>
      <c r="AP11" s="195">
        <v>23.3</v>
      </c>
      <c r="AQ11" s="180">
        <f t="shared" si="15"/>
        <v>55.900000000000006</v>
      </c>
      <c r="AR11" s="217">
        <v>6</v>
      </c>
      <c r="AS11" s="328" t="str">
        <f t="shared" si="16"/>
        <v/>
      </c>
      <c r="AT11" s="333" t="str">
        <f t="shared" si="17"/>
        <v/>
      </c>
      <c r="AU11" s="259" t="str">
        <f t="shared" si="18"/>
        <v/>
      </c>
      <c r="AV11" s="259" t="str">
        <f t="shared" si="19"/>
        <v/>
      </c>
      <c r="AW11" s="158"/>
      <c r="AX11" s="171"/>
      <c r="AY11" s="158"/>
      <c r="AZ11" s="171"/>
      <c r="BA11" s="158"/>
      <c r="BB11" s="171"/>
      <c r="BC11" s="158"/>
      <c r="BD11" s="171"/>
      <c r="BE11" s="158"/>
      <c r="BF11" s="171"/>
      <c r="BG11" s="158"/>
      <c r="BH11" s="171"/>
      <c r="BI11" s="158"/>
      <c r="BJ11" s="171"/>
      <c r="BK11" s="158"/>
      <c r="BL11" s="171"/>
      <c r="BM11" s="158"/>
      <c r="BN11" s="171"/>
    </row>
    <row r="12" spans="1:163" x14ac:dyDescent="0.3">
      <c r="A12" s="245"/>
      <c r="B12" s="210" t="s">
        <v>90</v>
      </c>
      <c r="C12" s="295" t="s">
        <v>27</v>
      </c>
      <c r="D12" s="15">
        <v>2016</v>
      </c>
      <c r="E12" s="174">
        <f t="shared" si="0"/>
        <v>323.8</v>
      </c>
      <c r="F12" s="175"/>
      <c r="G12" s="107" t="str">
        <f>IF('TRA-M'!$A$2-D12&lt;=1,IF(U12&gt;=$W$3,"YES",IF(AE12&gt;=$AF$3,"YES",IF(OR(AN12&gt;=$AO$3, AQ12&gt;=$AO$3),"YES",""))),"")</f>
        <v/>
      </c>
      <c r="H12" s="108" t="str">
        <f t="shared" si="1"/>
        <v/>
      </c>
      <c r="I12" s="109" t="str">
        <f t="shared" si="2"/>
        <v/>
      </c>
      <c r="J12" s="216" t="str">
        <f t="shared" si="3"/>
        <v/>
      </c>
      <c r="K12" s="147">
        <f t="shared" si="4"/>
        <v>128.70000000000002</v>
      </c>
      <c r="L12" s="224">
        <v>64.599999999999994</v>
      </c>
      <c r="M12" s="247">
        <f t="shared" si="5"/>
        <v>64.199999999999989</v>
      </c>
      <c r="N12" s="249">
        <f t="shared" si="6"/>
        <v>0</v>
      </c>
      <c r="O12" s="149">
        <f t="shared" si="7"/>
        <v>66.3</v>
      </c>
      <c r="P12" s="324" t="str">
        <f t="shared" si="8"/>
        <v/>
      </c>
      <c r="Q12" s="298">
        <v>32.299999999999997</v>
      </c>
      <c r="R12" s="299">
        <v>31.9</v>
      </c>
      <c r="S12" s="299"/>
      <c r="T12" s="299"/>
      <c r="U12" s="180">
        <f t="shared" si="9"/>
        <v>64.199999999999989</v>
      </c>
      <c r="V12" s="299">
        <v>33.1</v>
      </c>
      <c r="W12" s="299">
        <v>31.5</v>
      </c>
      <c r="X12" s="251">
        <f t="shared" si="10"/>
        <v>64.599999999999994</v>
      </c>
      <c r="Y12" s="180">
        <f t="shared" si="11"/>
        <v>128.79999999999998</v>
      </c>
      <c r="Z12" s="217">
        <v>6</v>
      </c>
      <c r="AA12" s="298"/>
      <c r="AB12" s="299"/>
      <c r="AC12" s="299"/>
      <c r="AD12" s="299"/>
      <c r="AE12" s="180">
        <f t="shared" si="12"/>
        <v>0</v>
      </c>
      <c r="AF12" s="299"/>
      <c r="AG12" s="299"/>
      <c r="AH12" s="180">
        <f t="shared" si="13"/>
        <v>0</v>
      </c>
      <c r="AI12" s="217"/>
      <c r="AJ12" s="326">
        <v>33.299999999999997</v>
      </c>
      <c r="AK12" s="327">
        <v>32.6</v>
      </c>
      <c r="AL12" s="327">
        <v>32.200000000000003</v>
      </c>
      <c r="AM12" s="327">
        <v>30.6</v>
      </c>
      <c r="AN12" s="180">
        <f t="shared" si="14"/>
        <v>128.70000000000002</v>
      </c>
      <c r="AO12" s="327">
        <v>33.4</v>
      </c>
      <c r="AP12" s="327">
        <v>32.9</v>
      </c>
      <c r="AQ12" s="180">
        <f t="shared" si="15"/>
        <v>66.3</v>
      </c>
      <c r="AR12" s="217">
        <v>4</v>
      </c>
      <c r="AS12" s="328" t="str">
        <f t="shared" si="16"/>
        <v/>
      </c>
      <c r="AT12" s="333" t="str">
        <f t="shared" si="17"/>
        <v/>
      </c>
      <c r="AU12" s="259" t="str">
        <f t="shared" si="18"/>
        <v/>
      </c>
      <c r="AV12" s="259" t="str">
        <f t="shared" si="19"/>
        <v/>
      </c>
      <c r="AW12" s="158"/>
      <c r="AX12" s="171"/>
      <c r="AY12" s="158"/>
      <c r="AZ12" s="171"/>
      <c r="BA12" s="158"/>
      <c r="BB12" s="171"/>
      <c r="BC12" s="158"/>
      <c r="BD12" s="171"/>
      <c r="BE12" s="158"/>
      <c r="BF12" s="171"/>
      <c r="BG12" s="158"/>
      <c r="BH12" s="171"/>
      <c r="BI12" s="158"/>
      <c r="BJ12" s="171"/>
      <c r="BK12" s="158"/>
      <c r="BL12" s="171"/>
      <c r="BM12" s="158"/>
      <c r="BN12" s="171"/>
    </row>
    <row r="13" spans="1:163" x14ac:dyDescent="0.3">
      <c r="A13" s="297"/>
      <c r="B13" s="210" t="s">
        <v>138</v>
      </c>
      <c r="C13" s="295" t="s">
        <v>25</v>
      </c>
      <c r="D13" s="15">
        <v>2017</v>
      </c>
      <c r="E13" s="174">
        <f t="shared" si="0"/>
        <v>275.60000000000002</v>
      </c>
      <c r="F13" s="175"/>
      <c r="G13" s="107" t="str">
        <f>IF('TRA-M'!$A$2-D13&lt;=1,IF(U13&gt;=$W$3,"YES",IF(AE13&gt;=$AF$3,"YES",IF(OR(AN13&gt;=$AO$3, AQ13&gt;=$AO$3),"YES",""))),"")</f>
        <v/>
      </c>
      <c r="H13" s="108" t="str">
        <f t="shared" si="1"/>
        <v/>
      </c>
      <c r="I13" s="109" t="str">
        <f t="shared" si="2"/>
        <v/>
      </c>
      <c r="J13" s="216" t="str">
        <f t="shared" si="3"/>
        <v/>
      </c>
      <c r="K13" s="147">
        <f t="shared" si="4"/>
        <v>129.1</v>
      </c>
      <c r="L13" s="294"/>
      <c r="M13" s="247">
        <f t="shared" si="5"/>
        <v>56.4</v>
      </c>
      <c r="N13" s="249">
        <f t="shared" si="6"/>
        <v>45</v>
      </c>
      <c r="O13" s="149">
        <f t="shared" si="7"/>
        <v>45.1</v>
      </c>
      <c r="P13" s="324" t="str">
        <f t="shared" si="8"/>
        <v/>
      </c>
      <c r="Q13" s="298"/>
      <c r="R13" s="299"/>
      <c r="S13" s="299"/>
      <c r="T13" s="299"/>
      <c r="U13" s="180">
        <f t="shared" si="9"/>
        <v>0</v>
      </c>
      <c r="V13" s="299"/>
      <c r="W13" s="299"/>
      <c r="X13" s="180">
        <f t="shared" si="10"/>
        <v>0</v>
      </c>
      <c r="Y13" s="180">
        <f t="shared" si="11"/>
        <v>0</v>
      </c>
      <c r="Z13" s="217"/>
      <c r="AA13" s="204">
        <v>22.5</v>
      </c>
      <c r="AB13" s="299">
        <v>33.9</v>
      </c>
      <c r="AC13" s="195">
        <v>23</v>
      </c>
      <c r="AD13" s="195">
        <v>22</v>
      </c>
      <c r="AE13" s="180">
        <f t="shared" si="12"/>
        <v>101.4</v>
      </c>
      <c r="AF13" s="299"/>
      <c r="AG13" s="299"/>
      <c r="AH13" s="180">
        <f t="shared" si="13"/>
        <v>0</v>
      </c>
      <c r="AI13" s="217">
        <v>7</v>
      </c>
      <c r="AJ13" s="326">
        <v>31.6</v>
      </c>
      <c r="AK13" s="327">
        <v>33.5</v>
      </c>
      <c r="AL13" s="327">
        <v>32.9</v>
      </c>
      <c r="AM13" s="327">
        <v>31.1</v>
      </c>
      <c r="AN13" s="180">
        <f t="shared" si="14"/>
        <v>129.1</v>
      </c>
      <c r="AO13" s="195">
        <v>22.3</v>
      </c>
      <c r="AP13" s="195">
        <v>22.8</v>
      </c>
      <c r="AQ13" s="180">
        <f t="shared" si="15"/>
        <v>45.1</v>
      </c>
      <c r="AR13" s="217">
        <v>7</v>
      </c>
      <c r="AS13" s="328" t="str">
        <f t="shared" si="16"/>
        <v/>
      </c>
      <c r="AT13" s="333" t="str">
        <f t="shared" si="17"/>
        <v/>
      </c>
      <c r="AU13" s="259" t="str">
        <f t="shared" si="18"/>
        <v/>
      </c>
      <c r="AV13" s="259" t="str">
        <f t="shared" si="19"/>
        <v/>
      </c>
      <c r="AW13" s="158"/>
      <c r="AX13" s="171"/>
      <c r="AY13" s="158"/>
      <c r="AZ13" s="171"/>
      <c r="BA13" s="158"/>
      <c r="BB13" s="171"/>
      <c r="BC13" s="158"/>
      <c r="BD13" s="171"/>
      <c r="BE13" s="158"/>
      <c r="BF13" s="171"/>
      <c r="BG13" s="158"/>
      <c r="BH13" s="171"/>
      <c r="BI13" s="158"/>
      <c r="BJ13" s="171"/>
      <c r="BK13" s="158"/>
      <c r="BL13" s="171"/>
      <c r="BM13" s="158"/>
      <c r="BN13" s="171"/>
    </row>
    <row r="14" spans="1:163" x14ac:dyDescent="0.3">
      <c r="A14" s="320"/>
      <c r="B14" s="218" t="s">
        <v>70</v>
      </c>
      <c r="C14" s="116" t="s">
        <v>25</v>
      </c>
      <c r="D14" s="15">
        <v>2015</v>
      </c>
      <c r="E14" s="174">
        <f t="shared" si="0"/>
        <v>272.09999999999997</v>
      </c>
      <c r="F14" s="175"/>
      <c r="G14" s="107" t="str">
        <f>IF('TRA-M'!$A$2-D14&lt;=1,IF(U14&gt;=$W$3,"YES",IF(AE14&gt;=$AF$3,"YES",IF(OR(AN14&gt;=$AO$3, AQ14&gt;=$AO$3),"YES",""))),"")</f>
        <v/>
      </c>
      <c r="H14" s="108" t="str">
        <f t="shared" si="1"/>
        <v/>
      </c>
      <c r="I14" s="109" t="str">
        <f t="shared" si="2"/>
        <v/>
      </c>
      <c r="J14" s="216" t="str">
        <f t="shared" si="3"/>
        <v/>
      </c>
      <c r="K14" s="147">
        <f t="shared" si="4"/>
        <v>68.699999999999989</v>
      </c>
      <c r="L14" s="224">
        <v>67.099999999999994</v>
      </c>
      <c r="M14" s="247">
        <f t="shared" si="5"/>
        <v>0</v>
      </c>
      <c r="N14" s="249">
        <f t="shared" si="6"/>
        <v>0</v>
      </c>
      <c r="O14" s="149">
        <f t="shared" si="7"/>
        <v>67.099999999999994</v>
      </c>
      <c r="P14" s="324">
        <f t="shared" si="8"/>
        <v>69.2</v>
      </c>
      <c r="Q14" s="298">
        <v>34.9</v>
      </c>
      <c r="R14" s="318">
        <v>33.799999999999997</v>
      </c>
      <c r="S14" s="299"/>
      <c r="T14" s="299"/>
      <c r="U14" s="180">
        <f t="shared" si="9"/>
        <v>68.699999999999989</v>
      </c>
      <c r="V14" s="318">
        <v>33.799999999999997</v>
      </c>
      <c r="W14" s="299">
        <v>33.299999999999997</v>
      </c>
      <c r="X14" s="251">
        <f t="shared" si="10"/>
        <v>67.099999999999994</v>
      </c>
      <c r="Y14" s="180">
        <f t="shared" si="11"/>
        <v>135.79999999999998</v>
      </c>
      <c r="Z14" s="217">
        <v>2</v>
      </c>
      <c r="AA14" s="317"/>
      <c r="AB14" s="318"/>
      <c r="AC14" s="318"/>
      <c r="AD14" s="318"/>
      <c r="AE14" s="180">
        <f t="shared" si="12"/>
        <v>0</v>
      </c>
      <c r="AF14" s="318"/>
      <c r="AG14" s="318"/>
      <c r="AH14" s="180">
        <f t="shared" si="13"/>
        <v>0</v>
      </c>
      <c r="AI14" s="217"/>
      <c r="AJ14" s="326"/>
      <c r="AK14" s="327"/>
      <c r="AL14" s="327"/>
      <c r="AM14" s="327"/>
      <c r="AN14" s="180">
        <f t="shared" si="14"/>
        <v>0</v>
      </c>
      <c r="AO14" s="327"/>
      <c r="AP14" s="327"/>
      <c r="AQ14" s="180">
        <f t="shared" si="15"/>
        <v>0</v>
      </c>
      <c r="AR14" s="217"/>
      <c r="AS14" s="328">
        <f t="shared" si="16"/>
        <v>69.2</v>
      </c>
      <c r="AT14" s="333" t="str">
        <f t="shared" si="17"/>
        <v/>
      </c>
      <c r="AU14" s="259">
        <f t="shared" si="18"/>
        <v>69.2</v>
      </c>
      <c r="AV14" s="259" t="str">
        <f t="shared" si="19"/>
        <v/>
      </c>
      <c r="AW14" s="158"/>
      <c r="AX14" s="171"/>
      <c r="AY14" s="158">
        <f>34.5+34.7</f>
        <v>69.2</v>
      </c>
      <c r="AZ14" s="171"/>
      <c r="BA14" s="158"/>
      <c r="BB14" s="171"/>
      <c r="BC14" s="158"/>
      <c r="BD14" s="171"/>
      <c r="BE14" s="158"/>
      <c r="BF14" s="171"/>
      <c r="BG14" s="158"/>
      <c r="BH14" s="171"/>
      <c r="BI14" s="158"/>
      <c r="BJ14" s="171"/>
      <c r="BK14" s="158"/>
      <c r="BL14" s="171"/>
      <c r="BM14" s="158"/>
      <c r="BN14" s="171"/>
    </row>
    <row r="15" spans="1:163" x14ac:dyDescent="0.3">
      <c r="A15" s="194"/>
      <c r="B15" s="210" t="s">
        <v>151</v>
      </c>
      <c r="C15" s="316" t="s">
        <v>26</v>
      </c>
      <c r="D15" s="15">
        <v>2016</v>
      </c>
      <c r="E15" s="174">
        <f t="shared" si="0"/>
        <v>258.33</v>
      </c>
      <c r="F15" s="175"/>
      <c r="G15" s="107" t="str">
        <f>IF('TRA-M'!$A$2-D15&lt;=1,IF(U15&gt;=$W$3,"YES",IF(AE15&gt;=$AF$3,"YES",IF(OR(AN15&gt;=$AO$3, AQ15&gt;=$AO$3),"YES",""))),"")</f>
        <v/>
      </c>
      <c r="H15" s="108" t="str">
        <f t="shared" si="1"/>
        <v/>
      </c>
      <c r="I15" s="109" t="str">
        <f t="shared" si="2"/>
        <v/>
      </c>
      <c r="J15" s="216" t="str">
        <f t="shared" si="3"/>
        <v/>
      </c>
      <c r="K15" s="147">
        <f t="shared" si="4"/>
        <v>116.75</v>
      </c>
      <c r="L15" s="318"/>
      <c r="M15" s="247">
        <f t="shared" si="5"/>
        <v>62.129999999999995</v>
      </c>
      <c r="N15" s="249">
        <f t="shared" si="6"/>
        <v>43.65</v>
      </c>
      <c r="O15" s="149">
        <f t="shared" si="7"/>
        <v>35.799999999999997</v>
      </c>
      <c r="P15" s="324" t="str">
        <f t="shared" si="8"/>
        <v/>
      </c>
      <c r="Q15" s="298">
        <v>35.799999999999997</v>
      </c>
      <c r="R15" s="195">
        <v>23.2</v>
      </c>
      <c r="S15" s="299"/>
      <c r="T15" s="299"/>
      <c r="U15" s="180">
        <f t="shared" si="9"/>
        <v>59</v>
      </c>
      <c r="V15" s="195">
        <v>0</v>
      </c>
      <c r="W15" s="299">
        <v>35.799999999999997</v>
      </c>
      <c r="X15" s="180">
        <f t="shared" si="10"/>
        <v>35.799999999999997</v>
      </c>
      <c r="Y15" s="180">
        <f t="shared" si="11"/>
        <v>94.8</v>
      </c>
      <c r="Z15" s="217">
        <v>7</v>
      </c>
      <c r="AA15" s="188">
        <v>35.700000000000003</v>
      </c>
      <c r="AB15" s="189">
        <v>29.55</v>
      </c>
      <c r="AC15" s="189">
        <v>17.3</v>
      </c>
      <c r="AD15" s="189">
        <v>34.200000000000003</v>
      </c>
      <c r="AE15" s="190">
        <f t="shared" si="12"/>
        <v>116.75</v>
      </c>
      <c r="AF15" s="189"/>
      <c r="AG15" s="189"/>
      <c r="AH15" s="190">
        <f t="shared" si="13"/>
        <v>0</v>
      </c>
      <c r="AI15" s="225"/>
      <c r="AJ15" s="188">
        <v>35.75</v>
      </c>
      <c r="AK15" s="189">
        <v>26.38</v>
      </c>
      <c r="AL15" s="189">
        <v>8.65</v>
      </c>
      <c r="AM15" s="189">
        <v>35</v>
      </c>
      <c r="AN15" s="190">
        <f t="shared" si="14"/>
        <v>105.78</v>
      </c>
      <c r="AO15" s="189"/>
      <c r="AP15" s="189"/>
      <c r="AQ15" s="190">
        <f t="shared" si="15"/>
        <v>0</v>
      </c>
      <c r="AR15" s="225"/>
      <c r="AS15" s="328" t="str">
        <f t="shared" si="16"/>
        <v/>
      </c>
      <c r="AT15" s="333" t="str">
        <f t="shared" si="17"/>
        <v/>
      </c>
      <c r="AU15" s="259" t="str">
        <f t="shared" si="18"/>
        <v/>
      </c>
      <c r="AV15" s="259" t="str">
        <f t="shared" si="19"/>
        <v/>
      </c>
      <c r="AW15" s="158"/>
      <c r="AX15" s="171"/>
      <c r="AY15" s="158"/>
      <c r="AZ15" s="171"/>
      <c r="BA15" s="158"/>
      <c r="BB15" s="171"/>
      <c r="BC15" s="158"/>
      <c r="BD15" s="171"/>
      <c r="BE15" s="158"/>
      <c r="BF15" s="171"/>
      <c r="BG15" s="158"/>
      <c r="BH15" s="171"/>
      <c r="BI15" s="158"/>
      <c r="BJ15" s="171"/>
      <c r="BK15" s="158"/>
      <c r="BL15" s="171"/>
      <c r="BM15" s="158"/>
      <c r="BN15" s="171"/>
    </row>
    <row r="16" spans="1:163" x14ac:dyDescent="0.3">
      <c r="A16" s="15"/>
      <c r="B16" s="210" t="s">
        <v>162</v>
      </c>
      <c r="C16" s="126" t="s">
        <v>27</v>
      </c>
      <c r="D16" s="15">
        <v>2011</v>
      </c>
      <c r="E16" s="174">
        <f t="shared" si="0"/>
        <v>204.50000000000003</v>
      </c>
      <c r="F16" s="175"/>
      <c r="G16" s="107" t="str">
        <f>IF('TRA-M'!$A$2-D16&lt;=1,IF(U16&gt;=$W$3,"YES",IF(AE16&gt;=$AF$3,"YES",IF(OR(AN16&gt;=$AO$3, AQ16&gt;=$AO$3),"YES",""))),"")</f>
        <v/>
      </c>
      <c r="H16" s="108" t="str">
        <f t="shared" si="1"/>
        <v/>
      </c>
      <c r="I16" s="109" t="str">
        <f t="shared" si="2"/>
        <v/>
      </c>
      <c r="J16" s="216" t="str">
        <f t="shared" si="3"/>
        <v/>
      </c>
      <c r="K16" s="147">
        <f t="shared" si="4"/>
        <v>136.10000000000002</v>
      </c>
      <c r="L16" s="148"/>
      <c r="M16" s="247">
        <f t="shared" si="5"/>
        <v>0</v>
      </c>
      <c r="N16" s="249">
        <f t="shared" si="6"/>
        <v>0</v>
      </c>
      <c r="O16" s="149">
        <f t="shared" si="7"/>
        <v>68.400000000000006</v>
      </c>
      <c r="P16" s="324" t="str">
        <f t="shared" si="8"/>
        <v/>
      </c>
      <c r="Q16" s="298"/>
      <c r="R16" s="299"/>
      <c r="S16" s="299"/>
      <c r="T16" s="299"/>
      <c r="U16" s="180">
        <f t="shared" si="9"/>
        <v>0</v>
      </c>
      <c r="V16" s="299"/>
      <c r="W16" s="299"/>
      <c r="X16" s="180">
        <f t="shared" si="10"/>
        <v>0</v>
      </c>
      <c r="Y16" s="180">
        <f t="shared" si="11"/>
        <v>0</v>
      </c>
      <c r="Z16" s="217"/>
      <c r="AA16" s="298"/>
      <c r="AB16" s="299"/>
      <c r="AC16" s="299"/>
      <c r="AD16" s="299"/>
      <c r="AE16" s="180">
        <f t="shared" si="12"/>
        <v>0</v>
      </c>
      <c r="AF16" s="299"/>
      <c r="AG16" s="299"/>
      <c r="AH16" s="180">
        <f t="shared" si="13"/>
        <v>0</v>
      </c>
      <c r="AI16" s="217"/>
      <c r="AJ16" s="326">
        <v>34.200000000000003</v>
      </c>
      <c r="AK16" s="327">
        <v>32.700000000000003</v>
      </c>
      <c r="AL16" s="327">
        <v>35.4</v>
      </c>
      <c r="AM16" s="327">
        <v>33.799999999999997</v>
      </c>
      <c r="AN16" s="180">
        <f t="shared" si="14"/>
        <v>136.10000000000002</v>
      </c>
      <c r="AO16" s="327">
        <v>35</v>
      </c>
      <c r="AP16" s="327">
        <v>33.4</v>
      </c>
      <c r="AQ16" s="180">
        <f t="shared" si="15"/>
        <v>68.400000000000006</v>
      </c>
      <c r="AR16" s="217">
        <v>2</v>
      </c>
      <c r="AS16" s="328" t="str">
        <f t="shared" si="16"/>
        <v/>
      </c>
      <c r="AT16" s="333" t="str">
        <f t="shared" si="17"/>
        <v/>
      </c>
      <c r="AU16" s="259" t="str">
        <f t="shared" si="18"/>
        <v/>
      </c>
      <c r="AV16" s="259" t="str">
        <f t="shared" si="19"/>
        <v/>
      </c>
      <c r="AW16" s="158"/>
      <c r="AX16" s="171"/>
      <c r="AY16" s="158"/>
      <c r="AZ16" s="171"/>
      <c r="BA16" s="158"/>
      <c r="BB16" s="171"/>
      <c r="BC16" s="158"/>
      <c r="BD16" s="171"/>
      <c r="BE16" s="158"/>
      <c r="BF16" s="171"/>
      <c r="BG16" s="158"/>
      <c r="BH16" s="171"/>
      <c r="BI16" s="158"/>
      <c r="BJ16" s="171"/>
      <c r="BK16" s="158"/>
      <c r="BL16" s="171"/>
      <c r="BM16" s="158"/>
      <c r="BN16" s="171"/>
    </row>
    <row r="17" spans="1:163" x14ac:dyDescent="0.3">
      <c r="A17" s="115"/>
      <c r="B17" s="210" t="s">
        <v>152</v>
      </c>
      <c r="C17" s="126" t="s">
        <v>26</v>
      </c>
      <c r="D17" s="15">
        <v>2012</v>
      </c>
      <c r="E17" s="174">
        <f t="shared" si="0"/>
        <v>184.10000000000002</v>
      </c>
      <c r="F17" s="177"/>
      <c r="G17" s="107" t="str">
        <f>IF('TRA-M'!$A$2-D17&lt;=1,IF(U17&gt;=$W$3,"YES",IF(AE17&gt;=$AF$3,"YES",IF(OR(AN17&gt;=$AO$3, AQ17&gt;=$AO$3),"YES",""))),"")</f>
        <v/>
      </c>
      <c r="H17" s="108" t="str">
        <f t="shared" si="1"/>
        <v/>
      </c>
      <c r="I17" s="109" t="str">
        <f t="shared" si="2"/>
        <v/>
      </c>
      <c r="J17" s="216" t="str">
        <f t="shared" si="3"/>
        <v/>
      </c>
      <c r="K17" s="147">
        <f t="shared" si="4"/>
        <v>104.9</v>
      </c>
      <c r="L17" s="299"/>
      <c r="M17" s="247">
        <f t="shared" si="5"/>
        <v>46</v>
      </c>
      <c r="N17" s="249">
        <f t="shared" si="6"/>
        <v>33.200000000000003</v>
      </c>
      <c r="O17" s="149">
        <f t="shared" si="7"/>
        <v>0</v>
      </c>
      <c r="P17" s="324" t="str">
        <f t="shared" si="8"/>
        <v/>
      </c>
      <c r="Q17" s="204">
        <v>0</v>
      </c>
      <c r="R17" s="299">
        <v>33.4</v>
      </c>
      <c r="S17" s="299"/>
      <c r="T17" s="299"/>
      <c r="U17" s="180">
        <f t="shared" si="9"/>
        <v>33.4</v>
      </c>
      <c r="V17" s="299"/>
      <c r="W17" s="299"/>
      <c r="X17" s="180">
        <f t="shared" si="10"/>
        <v>0</v>
      </c>
      <c r="Y17" s="180">
        <f t="shared" si="11"/>
        <v>33.4</v>
      </c>
      <c r="Z17" s="217">
        <v>10</v>
      </c>
      <c r="AA17" s="188">
        <v>11.6</v>
      </c>
      <c r="AB17" s="189">
        <v>34.4</v>
      </c>
      <c r="AC17" s="189">
        <v>15.6</v>
      </c>
      <c r="AD17" s="189">
        <v>17.600000000000001</v>
      </c>
      <c r="AE17" s="190">
        <f t="shared" si="12"/>
        <v>79.2</v>
      </c>
      <c r="AF17" s="189"/>
      <c r="AG17" s="189"/>
      <c r="AH17" s="190">
        <f t="shared" si="13"/>
        <v>0</v>
      </c>
      <c r="AI17" s="225"/>
      <c r="AJ17" s="326">
        <v>35.4</v>
      </c>
      <c r="AK17" s="327">
        <v>35.5</v>
      </c>
      <c r="AL17" s="327">
        <v>34</v>
      </c>
      <c r="AM17" s="195">
        <v>0</v>
      </c>
      <c r="AN17" s="180">
        <f t="shared" si="14"/>
        <v>104.9</v>
      </c>
      <c r="AO17" s="327"/>
      <c r="AP17" s="327"/>
      <c r="AQ17" s="180">
        <f t="shared" si="15"/>
        <v>0</v>
      </c>
      <c r="AR17" s="217">
        <v>9</v>
      </c>
      <c r="AS17" s="328" t="str">
        <f t="shared" si="16"/>
        <v/>
      </c>
      <c r="AT17" s="333" t="str">
        <f t="shared" si="17"/>
        <v/>
      </c>
      <c r="AU17" s="259" t="str">
        <f t="shared" si="18"/>
        <v/>
      </c>
      <c r="AV17" s="259" t="str">
        <f t="shared" si="19"/>
        <v/>
      </c>
      <c r="AW17" s="158"/>
      <c r="AX17" s="171"/>
      <c r="AY17" s="158"/>
      <c r="AZ17" s="171"/>
      <c r="BA17" s="158"/>
      <c r="BB17" s="171"/>
      <c r="BC17" s="158"/>
      <c r="BD17" s="171"/>
      <c r="BE17" s="158"/>
      <c r="BF17" s="171"/>
      <c r="BG17" s="158"/>
      <c r="BH17" s="171"/>
      <c r="BI17" s="158"/>
      <c r="BJ17" s="171"/>
      <c r="BK17" s="158"/>
      <c r="BL17" s="171"/>
      <c r="BM17" s="158"/>
      <c r="BN17" s="171"/>
    </row>
    <row r="18" spans="1:163" x14ac:dyDescent="0.3">
      <c r="A18" s="157"/>
      <c r="B18" s="210" t="s">
        <v>66</v>
      </c>
      <c r="C18" s="316" t="s">
        <v>26</v>
      </c>
      <c r="D18" s="157">
        <v>2015</v>
      </c>
      <c r="E18" s="174">
        <f t="shared" si="0"/>
        <v>129</v>
      </c>
      <c r="F18" s="175"/>
      <c r="G18" s="107" t="str">
        <f>IF('TRA-M'!$A$2-D18&lt;=1,IF(U18&gt;=$W$3,"YES",IF(AE18&gt;=$AF$3,"YES",IF(OR(AN18&gt;=$AO$3, AQ18&gt;=$AO$3),"YES",""))),"")</f>
        <v/>
      </c>
      <c r="H18" s="108" t="str">
        <f t="shared" si="1"/>
        <v/>
      </c>
      <c r="I18" s="109" t="str">
        <f t="shared" si="2"/>
        <v/>
      </c>
      <c r="J18" s="216" t="str">
        <f t="shared" si="3"/>
        <v/>
      </c>
      <c r="K18" s="147">
        <f t="shared" si="4"/>
        <v>129</v>
      </c>
      <c r="L18" s="314"/>
      <c r="M18" s="247">
        <f t="shared" si="5"/>
        <v>0</v>
      </c>
      <c r="N18" s="249">
        <f t="shared" si="6"/>
        <v>0</v>
      </c>
      <c r="O18" s="149">
        <f t="shared" si="7"/>
        <v>0</v>
      </c>
      <c r="P18" s="324" t="str">
        <f t="shared" si="8"/>
        <v/>
      </c>
      <c r="Q18" s="298"/>
      <c r="R18" s="299"/>
      <c r="S18" s="299"/>
      <c r="T18" s="299"/>
      <c r="U18" s="180">
        <f t="shared" si="9"/>
        <v>0</v>
      </c>
      <c r="V18" s="318"/>
      <c r="W18" s="318"/>
      <c r="X18" s="180">
        <f t="shared" si="10"/>
        <v>0</v>
      </c>
      <c r="Y18" s="180">
        <f t="shared" si="11"/>
        <v>0</v>
      </c>
      <c r="Z18" s="217"/>
      <c r="AA18" s="298"/>
      <c r="AB18" s="299"/>
      <c r="AC18" s="299"/>
      <c r="AD18" s="299"/>
      <c r="AE18" s="180">
        <f t="shared" si="12"/>
        <v>0</v>
      </c>
      <c r="AF18" s="299"/>
      <c r="AG18" s="299"/>
      <c r="AH18" s="180">
        <f t="shared" si="13"/>
        <v>0</v>
      </c>
      <c r="AI18" s="217"/>
      <c r="AJ18" s="326">
        <v>35</v>
      </c>
      <c r="AK18" s="327">
        <v>34.9</v>
      </c>
      <c r="AL18" s="327">
        <v>35.4</v>
      </c>
      <c r="AM18" s="195">
        <v>23.7</v>
      </c>
      <c r="AN18" s="180">
        <f t="shared" si="14"/>
        <v>129</v>
      </c>
      <c r="AO18" s="189"/>
      <c r="AP18" s="189"/>
      <c r="AQ18" s="190">
        <f t="shared" si="15"/>
        <v>0</v>
      </c>
      <c r="AR18" s="217">
        <v>8</v>
      </c>
      <c r="AS18" s="328" t="str">
        <f t="shared" si="16"/>
        <v/>
      </c>
      <c r="AT18" s="333" t="str">
        <f t="shared" si="17"/>
        <v/>
      </c>
      <c r="AU18" s="259" t="str">
        <f t="shared" si="18"/>
        <v/>
      </c>
      <c r="AV18" s="259" t="str">
        <f t="shared" si="19"/>
        <v/>
      </c>
      <c r="AW18" s="158"/>
      <c r="AX18" s="171"/>
      <c r="AY18" s="158"/>
      <c r="AZ18" s="171"/>
      <c r="BA18" s="158"/>
      <c r="BB18" s="171"/>
      <c r="BC18" s="158"/>
      <c r="BD18" s="171"/>
      <c r="BE18" s="158"/>
      <c r="BF18" s="171"/>
      <c r="BG18" s="158"/>
      <c r="BH18" s="171"/>
      <c r="BI18" s="158"/>
      <c r="BJ18" s="171"/>
      <c r="BK18" s="158"/>
      <c r="BL18" s="171"/>
      <c r="BM18" s="158"/>
      <c r="BN18" s="171"/>
    </row>
    <row r="19" spans="1:163" x14ac:dyDescent="0.3">
      <c r="A19" s="157"/>
      <c r="B19" s="210" t="s">
        <v>80</v>
      </c>
      <c r="C19" s="70" t="s">
        <v>26</v>
      </c>
      <c r="D19" s="157">
        <v>2014</v>
      </c>
      <c r="E19" s="174">
        <f t="shared" si="0"/>
        <v>119.19999999999999</v>
      </c>
      <c r="F19" s="175"/>
      <c r="G19" s="107" t="str">
        <f>IF('TRA-M'!$A$2-D19&lt;=1,IF(U19&gt;=$W$3,"YES",IF(AE19&gt;=$AF$3,"YES",IF(OR(AN19&gt;=$AO$3, AQ19&gt;=$AO$3),"YES",""))),"")</f>
        <v/>
      </c>
      <c r="H19" s="108" t="str">
        <f t="shared" si="1"/>
        <v/>
      </c>
      <c r="I19" s="109" t="str">
        <f t="shared" si="2"/>
        <v/>
      </c>
      <c r="J19" s="239" t="str">
        <f t="shared" si="3"/>
        <v/>
      </c>
      <c r="K19" s="147">
        <f t="shared" si="4"/>
        <v>69.599999999999994</v>
      </c>
      <c r="L19" s="224">
        <v>24.8</v>
      </c>
      <c r="M19" s="247">
        <f t="shared" si="5"/>
        <v>0</v>
      </c>
      <c r="N19" s="249">
        <f t="shared" si="6"/>
        <v>0</v>
      </c>
      <c r="O19" s="149">
        <f t="shared" si="7"/>
        <v>24.8</v>
      </c>
      <c r="P19" s="324" t="str">
        <f t="shared" si="8"/>
        <v/>
      </c>
      <c r="Q19" s="317">
        <v>32.700000000000003</v>
      </c>
      <c r="R19" s="299">
        <v>36.9</v>
      </c>
      <c r="S19" s="299"/>
      <c r="T19" s="299"/>
      <c r="U19" s="180">
        <f t="shared" si="9"/>
        <v>69.599999999999994</v>
      </c>
      <c r="V19" s="195">
        <v>0</v>
      </c>
      <c r="W19" s="195">
        <v>24.8</v>
      </c>
      <c r="X19" s="251">
        <f t="shared" si="10"/>
        <v>24.8</v>
      </c>
      <c r="Y19" s="180">
        <f t="shared" si="11"/>
        <v>94.399999999999991</v>
      </c>
      <c r="Z19" s="217">
        <v>8</v>
      </c>
      <c r="AA19" s="298"/>
      <c r="AB19" s="299"/>
      <c r="AC19" s="299"/>
      <c r="AD19" s="299"/>
      <c r="AE19" s="180">
        <f t="shared" si="12"/>
        <v>0</v>
      </c>
      <c r="AF19" s="299"/>
      <c r="AG19" s="299"/>
      <c r="AH19" s="180">
        <f t="shared" si="13"/>
        <v>0</v>
      </c>
      <c r="AI19" s="217"/>
      <c r="AJ19" s="326"/>
      <c r="AK19" s="327"/>
      <c r="AL19" s="327"/>
      <c r="AM19" s="327"/>
      <c r="AN19" s="180">
        <f t="shared" si="14"/>
        <v>0</v>
      </c>
      <c r="AO19" s="327"/>
      <c r="AP19" s="327"/>
      <c r="AQ19" s="180">
        <f t="shared" si="15"/>
        <v>0</v>
      </c>
      <c r="AR19" s="217"/>
      <c r="AS19" s="328" t="str">
        <f t="shared" si="16"/>
        <v/>
      </c>
      <c r="AT19" s="333" t="str">
        <f t="shared" si="17"/>
        <v/>
      </c>
      <c r="AU19" s="259" t="str">
        <f t="shared" si="18"/>
        <v/>
      </c>
      <c r="AV19" s="259" t="str">
        <f t="shared" si="19"/>
        <v/>
      </c>
      <c r="AW19" s="158"/>
      <c r="AX19" s="171"/>
      <c r="AY19" s="158"/>
      <c r="AZ19" s="171"/>
      <c r="BA19" s="158"/>
      <c r="BB19" s="171"/>
      <c r="BC19" s="158"/>
      <c r="BD19" s="171"/>
      <c r="BE19" s="158"/>
      <c r="BF19" s="171"/>
      <c r="BG19" s="158"/>
      <c r="BH19" s="171"/>
      <c r="BI19" s="158"/>
      <c r="BJ19" s="171"/>
      <c r="BK19" s="158"/>
      <c r="BL19" s="171"/>
      <c r="BM19" s="158"/>
      <c r="BN19" s="17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</row>
    <row r="20" spans="1:163" x14ac:dyDescent="0.3">
      <c r="A20" s="320"/>
      <c r="B20" s="210" t="s">
        <v>76</v>
      </c>
      <c r="C20" s="316" t="s">
        <v>26</v>
      </c>
      <c r="D20" s="320">
        <v>2016</v>
      </c>
      <c r="E20" s="174">
        <f t="shared" si="0"/>
        <v>53.8</v>
      </c>
      <c r="F20" s="175"/>
      <c r="G20" s="107" t="str">
        <f>IF('TRA-M'!$A$2-D20&lt;=1,IF(U20&gt;=$W$3,"YES",IF(AE20&gt;=$AF$3,"YES",IF(OR(AN20&gt;=$AO$3, AQ20&gt;=$AO$3),"YES",""))),"")</f>
        <v/>
      </c>
      <c r="H20" s="108" t="str">
        <f t="shared" si="1"/>
        <v/>
      </c>
      <c r="I20" s="109" t="str">
        <f t="shared" si="2"/>
        <v/>
      </c>
      <c r="J20" s="216" t="str">
        <f t="shared" si="3"/>
        <v/>
      </c>
      <c r="K20" s="313">
        <f t="shared" si="4"/>
        <v>53.8</v>
      </c>
      <c r="L20" s="314"/>
      <c r="M20" s="314">
        <f t="shared" si="5"/>
        <v>0</v>
      </c>
      <c r="N20" s="318">
        <f t="shared" si="6"/>
        <v>0</v>
      </c>
      <c r="O20" s="315">
        <f t="shared" si="7"/>
        <v>0</v>
      </c>
      <c r="P20" s="324" t="str">
        <f t="shared" si="8"/>
        <v/>
      </c>
      <c r="Q20" s="204">
        <v>22.1</v>
      </c>
      <c r="R20" s="318">
        <v>31.7</v>
      </c>
      <c r="S20" s="318"/>
      <c r="T20" s="318"/>
      <c r="U20" s="180">
        <f t="shared" si="9"/>
        <v>53.8</v>
      </c>
      <c r="V20" s="318"/>
      <c r="W20" s="318"/>
      <c r="X20" s="180">
        <f t="shared" si="10"/>
        <v>0</v>
      </c>
      <c r="Y20" s="180">
        <f t="shared" si="11"/>
        <v>53.8</v>
      </c>
      <c r="Z20" s="217">
        <v>9</v>
      </c>
      <c r="AA20" s="317"/>
      <c r="AB20" s="318"/>
      <c r="AC20" s="318"/>
      <c r="AD20" s="318"/>
      <c r="AE20" s="180">
        <f t="shared" si="12"/>
        <v>0</v>
      </c>
      <c r="AF20" s="318"/>
      <c r="AG20" s="318"/>
      <c r="AH20" s="180">
        <f t="shared" si="13"/>
        <v>0</v>
      </c>
      <c r="AI20" s="217"/>
      <c r="AJ20" s="326"/>
      <c r="AK20" s="327"/>
      <c r="AL20" s="327"/>
      <c r="AM20" s="327"/>
      <c r="AN20" s="180">
        <f t="shared" si="14"/>
        <v>0</v>
      </c>
      <c r="AO20" s="327"/>
      <c r="AP20" s="327"/>
      <c r="AQ20" s="180">
        <f t="shared" si="15"/>
        <v>0</v>
      </c>
      <c r="AR20" s="217"/>
      <c r="AS20" s="328" t="str">
        <f t="shared" si="16"/>
        <v/>
      </c>
      <c r="AT20" s="333" t="str">
        <f t="shared" si="17"/>
        <v/>
      </c>
      <c r="AU20" s="259" t="str">
        <f t="shared" si="18"/>
        <v/>
      </c>
      <c r="AV20" s="259" t="str">
        <f t="shared" si="19"/>
        <v/>
      </c>
      <c r="AW20" s="317"/>
      <c r="AX20" s="319"/>
      <c r="AY20" s="317"/>
      <c r="AZ20" s="319"/>
      <c r="BA20" s="317"/>
      <c r="BB20" s="319"/>
      <c r="BC20" s="317"/>
      <c r="BD20" s="319"/>
      <c r="BE20" s="317"/>
      <c r="BF20" s="319"/>
      <c r="BG20" s="317"/>
      <c r="BH20" s="319"/>
      <c r="BI20" s="317"/>
      <c r="BJ20" s="319"/>
      <c r="BK20" s="317"/>
      <c r="BL20" s="319"/>
      <c r="BM20" s="317"/>
      <c r="BN20" s="319"/>
    </row>
    <row r="21" spans="1:163" x14ac:dyDescent="0.3">
      <c r="A21" s="150"/>
      <c r="C21" s="150"/>
      <c r="D21" s="150"/>
      <c r="E21" s="150"/>
      <c r="F21" s="150"/>
      <c r="K21" s="150"/>
      <c r="M21" s="150"/>
      <c r="O21" s="150"/>
      <c r="P21" s="150"/>
      <c r="Q21" s="299"/>
      <c r="R21" s="299"/>
      <c r="S21" s="299"/>
      <c r="T21" s="299"/>
      <c r="U21" s="299"/>
      <c r="V21" s="299"/>
      <c r="W21" s="299"/>
      <c r="AA21" s="299"/>
      <c r="AB21" s="299"/>
      <c r="AC21" s="299"/>
      <c r="AD21" s="299"/>
      <c r="AE21" s="299"/>
      <c r="AF21" s="299"/>
      <c r="AG21" s="299"/>
      <c r="AJ21" s="161"/>
      <c r="AK21" s="161"/>
      <c r="AL21" s="161"/>
      <c r="AM21" s="161"/>
      <c r="AN21" s="161"/>
      <c r="AO21" s="161"/>
      <c r="AP21" s="161"/>
      <c r="AQ21" s="148"/>
      <c r="AR21" s="148"/>
      <c r="AS21" s="148"/>
      <c r="AV21" s="148"/>
      <c r="AW21" s="69"/>
      <c r="AX21" s="69"/>
      <c r="AY21" s="69"/>
      <c r="AZ21" s="69"/>
      <c r="BA21" s="69"/>
      <c r="BB21" s="69"/>
      <c r="BC21" s="69"/>
      <c r="BD21" s="69"/>
    </row>
    <row r="22" spans="1:163" x14ac:dyDescent="0.3">
      <c r="Q22" s="299"/>
      <c r="R22" s="299"/>
      <c r="S22" s="299"/>
      <c r="T22" s="299"/>
      <c r="U22" s="299"/>
      <c r="V22" s="299"/>
      <c r="W22" s="299"/>
      <c r="AA22" s="299"/>
      <c r="AB22" s="299"/>
      <c r="AC22" s="299"/>
      <c r="AD22" s="299"/>
      <c r="AE22" s="299"/>
      <c r="AF22" s="299"/>
      <c r="AG22" s="299"/>
      <c r="AJ22" s="57"/>
      <c r="AK22" s="161"/>
      <c r="AL22" s="161"/>
      <c r="AM22" s="57"/>
      <c r="AN22" s="57"/>
      <c r="AO22" s="57"/>
      <c r="AP22" s="57"/>
      <c r="AW22" s="69"/>
      <c r="AX22" s="69"/>
      <c r="AY22" s="69"/>
      <c r="AZ22" s="69"/>
      <c r="BA22" s="69"/>
      <c r="BB22" s="69"/>
      <c r="BC22" s="69"/>
      <c r="BD22" s="69"/>
    </row>
    <row r="23" spans="1:163" x14ac:dyDescent="0.3">
      <c r="Q23" s="299"/>
      <c r="R23" s="299"/>
      <c r="S23" s="299"/>
      <c r="T23" s="299"/>
      <c r="U23" s="299"/>
      <c r="V23" s="299"/>
      <c r="W23" s="299"/>
      <c r="AA23" s="299"/>
      <c r="AB23" s="299"/>
      <c r="AC23" s="299"/>
      <c r="AD23" s="299"/>
      <c r="AE23" s="299"/>
      <c r="AF23" s="299"/>
      <c r="AG23" s="299"/>
      <c r="AJ23" s="57"/>
      <c r="AK23" s="161"/>
      <c r="AL23" s="161"/>
      <c r="AM23" s="57"/>
      <c r="AN23" s="57"/>
      <c r="AO23" s="57"/>
      <c r="AP23" s="57"/>
      <c r="AW23" s="69"/>
      <c r="AX23" s="69"/>
      <c r="AY23" s="69"/>
      <c r="AZ23" s="69"/>
      <c r="BA23" s="69"/>
      <c r="BB23" s="69"/>
      <c r="BC23" s="69"/>
      <c r="BD23" s="69"/>
    </row>
    <row r="24" spans="1:163" x14ac:dyDescent="0.3">
      <c r="B24" s="256" t="s">
        <v>58</v>
      </c>
      <c r="Q24" s="299"/>
      <c r="R24" s="299"/>
      <c r="S24" s="299"/>
      <c r="T24" s="299"/>
      <c r="U24" s="299"/>
      <c r="V24" s="299"/>
      <c r="W24" s="299"/>
      <c r="AA24" s="299"/>
      <c r="AB24" s="299"/>
      <c r="AC24" s="299"/>
      <c r="AD24" s="299"/>
      <c r="AE24" s="299"/>
      <c r="AF24" s="299"/>
      <c r="AG24" s="299"/>
      <c r="AJ24" s="57"/>
      <c r="AK24" s="161"/>
      <c r="AL24" s="161"/>
      <c r="AM24" s="57"/>
      <c r="AN24" s="57"/>
      <c r="AO24" s="57"/>
      <c r="AP24" s="57"/>
      <c r="AW24" s="69"/>
      <c r="AX24" s="69"/>
      <c r="AY24" s="69"/>
      <c r="AZ24" s="69"/>
      <c r="BA24" s="69"/>
      <c r="BB24" s="69"/>
      <c r="BC24" s="69"/>
      <c r="BD24" s="69"/>
    </row>
    <row r="25" spans="1:163" x14ac:dyDescent="0.3">
      <c r="B25" s="253" t="s">
        <v>148</v>
      </c>
      <c r="C25" s="90"/>
      <c r="D25" s="90"/>
      <c r="E25" s="90"/>
      <c r="F25" s="70"/>
      <c r="AW25" s="78" t="s">
        <v>113</v>
      </c>
      <c r="AX25" s="69"/>
      <c r="AY25" s="145"/>
      <c r="AZ25" s="69"/>
      <c r="BA25" s="145"/>
      <c r="BB25" s="69"/>
      <c r="BC25" s="145"/>
      <c r="BD25" s="69"/>
    </row>
    <row r="26" spans="1:163" x14ac:dyDescent="0.3">
      <c r="B26" s="254" t="s">
        <v>67</v>
      </c>
      <c r="C26" s="82"/>
      <c r="D26" s="82"/>
      <c r="E26" s="82"/>
      <c r="F26" s="82"/>
      <c r="G26" s="82"/>
      <c r="H26" s="83"/>
      <c r="I26" s="121"/>
      <c r="J26" s="122"/>
      <c r="K26" s="119"/>
      <c r="L26" s="119"/>
      <c r="AY26" s="161"/>
      <c r="AZ26" s="161"/>
      <c r="BA26" s="161"/>
      <c r="BB26" s="161"/>
      <c r="BC26" s="161"/>
      <c r="BD26" s="161"/>
    </row>
    <row r="27" spans="1:163" x14ac:dyDescent="0.3">
      <c r="A27" s="150"/>
      <c r="B27" s="255" t="s">
        <v>142</v>
      </c>
      <c r="C27" s="199"/>
      <c r="D27" s="199"/>
      <c r="E27" s="199"/>
      <c r="F27" s="304"/>
      <c r="G27" s="168"/>
      <c r="H27" s="168"/>
      <c r="I27" s="168"/>
      <c r="J27" s="168"/>
      <c r="K27" s="150"/>
      <c r="M27" s="150"/>
      <c r="O27" s="150"/>
      <c r="P27" s="148"/>
      <c r="T27" s="169"/>
      <c r="AJ27" s="148"/>
      <c r="AM27" s="148"/>
      <c r="AN27" s="148"/>
      <c r="AO27" s="148"/>
      <c r="AP27" s="148"/>
      <c r="AQ27" s="148"/>
      <c r="AR27" s="148"/>
      <c r="AS27" s="148"/>
      <c r="AV27" s="148"/>
      <c r="AW27" s="148"/>
      <c r="AX27" s="148"/>
      <c r="AY27" s="161"/>
      <c r="AZ27" s="161"/>
    </row>
    <row r="28" spans="1:163" x14ac:dyDescent="0.3">
      <c r="B28" s="33" t="s">
        <v>139</v>
      </c>
    </row>
    <row r="29" spans="1:163" x14ac:dyDescent="0.3">
      <c r="B29" s="33" t="s">
        <v>52</v>
      </c>
    </row>
  </sheetData>
  <sortState ref="A7:FG20">
    <sortCondition descending="1" ref="F7:F20"/>
    <sortCondition descending="1" ref="H7:H20"/>
    <sortCondition descending="1" ref="E7:E20"/>
  </sortState>
  <mergeCells count="39">
    <mergeCell ref="BI3:BJ3"/>
    <mergeCell ref="BK3:BL3"/>
    <mergeCell ref="BM3:BN3"/>
    <mergeCell ref="AJ1:AR1"/>
    <mergeCell ref="AJ2:AR2"/>
    <mergeCell ref="AY1:AZ1"/>
    <mergeCell ref="AY2:AZ2"/>
    <mergeCell ref="AW1:AX1"/>
    <mergeCell ref="AW2:AX2"/>
    <mergeCell ref="AW3:AX3"/>
    <mergeCell ref="AY3:AZ3"/>
    <mergeCell ref="BA3:BB3"/>
    <mergeCell ref="BC3:BD3"/>
    <mergeCell ref="BE3:BF3"/>
    <mergeCell ref="BG3:BH3"/>
    <mergeCell ref="AU1:AV1"/>
    <mergeCell ref="AU2:AV2"/>
    <mergeCell ref="AS1:AT1"/>
    <mergeCell ref="K1:O1"/>
    <mergeCell ref="Q1:Z1"/>
    <mergeCell ref="K2:O2"/>
    <mergeCell ref="Q2:Z2"/>
    <mergeCell ref="AA2:AI2"/>
    <mergeCell ref="AA1:AI1"/>
    <mergeCell ref="AS2:AT2"/>
    <mergeCell ref="BA1:BB1"/>
    <mergeCell ref="BA2:BB2"/>
    <mergeCell ref="BC1:BD1"/>
    <mergeCell ref="BC2:BD2"/>
    <mergeCell ref="BE1:BF1"/>
    <mergeCell ref="BE2:BF2"/>
    <mergeCell ref="BM1:BN1"/>
    <mergeCell ref="BM2:BN2"/>
    <mergeCell ref="BG1:BH1"/>
    <mergeCell ref="BG2:BH2"/>
    <mergeCell ref="BI1:BJ1"/>
    <mergeCell ref="BI2:BJ2"/>
    <mergeCell ref="BK1:BL1"/>
    <mergeCell ref="BK2:BL2"/>
  </mergeCells>
  <phoneticPr fontId="0" type="noConversion"/>
  <pageMargins left="0.6692913385826772" right="0.6692913385826772" top="0.78740157480314965" bottom="0.78740157480314965" header="0.51181102362204722" footer="0.51181102362204722"/>
  <pageSetup scale="45" orientation="landscape" r:id="rId1"/>
  <headerFooter alignWithMargins="0">
    <oddHeader>&amp;L&amp;A&amp;R&amp;F</oddHeader>
    <oddFooter>&amp;CPage &amp;P</oddFooter>
  </headerFooter>
  <colBreaks count="2" manualBreakCount="2">
    <brk id="26" max="29" man="1"/>
    <brk id="52" max="2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"/>
  <sheetViews>
    <sheetView view="pageBreakPreview" zoomScale="80" zoomScaleNormal="8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9.1796875" defaultRowHeight="13" x14ac:dyDescent="0.3"/>
  <cols>
    <col min="1" max="1" width="5.7265625" style="150" customWidth="1"/>
    <col min="2" max="2" width="25.7265625" style="33" customWidth="1"/>
    <col min="3" max="4" width="7.7265625" style="150" customWidth="1"/>
    <col min="5" max="6" width="8.7265625" style="150" customWidth="1"/>
    <col min="7" max="7" width="8.7265625" style="95" customWidth="1"/>
    <col min="8" max="8" width="8.7265625" style="118" customWidth="1"/>
    <col min="9" max="10" width="8.7265625" style="168" customWidth="1"/>
    <col min="11" max="13" width="8.7265625" style="150" customWidth="1"/>
    <col min="14" max="14" width="8.7265625" style="261" customWidth="1"/>
    <col min="15" max="16" width="8.7265625" style="150" customWidth="1"/>
    <col min="17" max="18" width="7.54296875" style="148" customWidth="1"/>
    <col min="19" max="20" width="7.54296875" style="148" hidden="1" customWidth="1"/>
    <col min="21" max="26" width="7.54296875" style="148" customWidth="1"/>
    <col min="27" max="35" width="7.7265625" style="294" customWidth="1"/>
    <col min="36" max="44" width="7.7265625" style="148" customWidth="1"/>
    <col min="45" max="45" width="8.7265625" style="148" customWidth="1"/>
    <col min="46" max="47" width="8.7265625" style="323" customWidth="1"/>
    <col min="48" max="48" width="8.7265625" style="148" customWidth="1"/>
    <col min="49" max="56" width="17.7265625" style="148" customWidth="1"/>
    <col min="57" max="66" width="17.7265625" style="33" customWidth="1"/>
    <col min="67" max="16384" width="9.1796875" style="33"/>
  </cols>
  <sheetData>
    <row r="1" spans="1:66" s="11" customFormat="1" x14ac:dyDescent="0.3">
      <c r="A1" s="1"/>
      <c r="B1" s="2" t="s">
        <v>19</v>
      </c>
      <c r="C1" s="2"/>
      <c r="D1" s="2"/>
      <c r="E1" s="94"/>
      <c r="F1" s="13"/>
      <c r="G1" s="95"/>
      <c r="H1" s="96"/>
      <c r="I1" s="156"/>
      <c r="J1" s="156"/>
      <c r="K1" s="355" t="s">
        <v>12</v>
      </c>
      <c r="L1" s="356"/>
      <c r="M1" s="356"/>
      <c r="N1" s="356"/>
      <c r="O1" s="357"/>
      <c r="P1" s="148" t="s">
        <v>143</v>
      </c>
      <c r="Q1" s="355" t="s">
        <v>81</v>
      </c>
      <c r="R1" s="356"/>
      <c r="S1" s="356"/>
      <c r="T1" s="356"/>
      <c r="U1" s="356"/>
      <c r="V1" s="356"/>
      <c r="W1" s="356"/>
      <c r="X1" s="356"/>
      <c r="Y1" s="356"/>
      <c r="Z1" s="357"/>
      <c r="AA1" s="355" t="s">
        <v>114</v>
      </c>
      <c r="AB1" s="356"/>
      <c r="AC1" s="356"/>
      <c r="AD1" s="356"/>
      <c r="AE1" s="356"/>
      <c r="AF1" s="356"/>
      <c r="AG1" s="356"/>
      <c r="AH1" s="356"/>
      <c r="AI1" s="357"/>
      <c r="AJ1" s="355" t="s">
        <v>153</v>
      </c>
      <c r="AK1" s="356"/>
      <c r="AL1" s="356"/>
      <c r="AM1" s="356"/>
      <c r="AN1" s="356"/>
      <c r="AO1" s="356"/>
      <c r="AP1" s="356"/>
      <c r="AQ1" s="356"/>
      <c r="AR1" s="357"/>
      <c r="AS1" s="371" t="s">
        <v>16</v>
      </c>
      <c r="AT1" s="375"/>
      <c r="AU1" s="371" t="s">
        <v>10</v>
      </c>
      <c r="AV1" s="375"/>
      <c r="AW1" s="355" t="s">
        <v>110</v>
      </c>
      <c r="AX1" s="357"/>
      <c r="AY1" s="355" t="s">
        <v>97</v>
      </c>
      <c r="AZ1" s="357"/>
      <c r="BA1" s="355" t="s">
        <v>166</v>
      </c>
      <c r="BB1" s="357"/>
      <c r="BC1" s="355"/>
      <c r="BD1" s="357"/>
      <c r="BE1" s="355"/>
      <c r="BF1" s="357"/>
      <c r="BG1" s="355"/>
      <c r="BH1" s="357"/>
      <c r="BI1" s="355"/>
      <c r="BJ1" s="357"/>
      <c r="BK1" s="355"/>
      <c r="BL1" s="357"/>
      <c r="BM1" s="355"/>
      <c r="BN1" s="357"/>
    </row>
    <row r="2" spans="1:66" s="11" customFormat="1" x14ac:dyDescent="0.3">
      <c r="A2" s="157"/>
      <c r="B2" s="13" t="s">
        <v>21</v>
      </c>
      <c r="C2" s="13"/>
      <c r="D2" s="13"/>
      <c r="E2" s="94"/>
      <c r="F2" s="13"/>
      <c r="G2" s="99"/>
      <c r="H2" s="13">
        <v>326.5</v>
      </c>
      <c r="I2" s="160">
        <v>335.3</v>
      </c>
      <c r="J2" s="13">
        <v>344.5</v>
      </c>
      <c r="K2" s="355" t="s">
        <v>11</v>
      </c>
      <c r="L2" s="356"/>
      <c r="M2" s="356"/>
      <c r="N2" s="356"/>
      <c r="O2" s="357"/>
      <c r="P2" s="148" t="s">
        <v>11</v>
      </c>
      <c r="Q2" s="355" t="s">
        <v>82</v>
      </c>
      <c r="R2" s="356"/>
      <c r="S2" s="356"/>
      <c r="T2" s="356"/>
      <c r="U2" s="356"/>
      <c r="V2" s="356"/>
      <c r="W2" s="356"/>
      <c r="X2" s="356"/>
      <c r="Y2" s="356"/>
      <c r="Z2" s="357"/>
      <c r="AA2" s="355" t="s">
        <v>115</v>
      </c>
      <c r="AB2" s="356"/>
      <c r="AC2" s="356"/>
      <c r="AD2" s="356"/>
      <c r="AE2" s="356"/>
      <c r="AF2" s="356"/>
      <c r="AG2" s="356"/>
      <c r="AH2" s="356"/>
      <c r="AI2" s="357"/>
      <c r="AJ2" s="355" t="s">
        <v>154</v>
      </c>
      <c r="AK2" s="356"/>
      <c r="AL2" s="356"/>
      <c r="AM2" s="356"/>
      <c r="AN2" s="356"/>
      <c r="AO2" s="356"/>
      <c r="AP2" s="356"/>
      <c r="AQ2" s="356"/>
      <c r="AR2" s="357"/>
      <c r="AS2" s="371" t="s">
        <v>17</v>
      </c>
      <c r="AT2" s="375"/>
      <c r="AU2" s="371" t="s">
        <v>11</v>
      </c>
      <c r="AV2" s="375"/>
      <c r="AW2" s="367" t="s">
        <v>111</v>
      </c>
      <c r="AX2" s="369"/>
      <c r="AY2" s="355" t="s">
        <v>98</v>
      </c>
      <c r="AZ2" s="357"/>
      <c r="BA2" s="355" t="s">
        <v>167</v>
      </c>
      <c r="BB2" s="357"/>
      <c r="BC2" s="355"/>
      <c r="BD2" s="357"/>
      <c r="BE2" s="355"/>
      <c r="BF2" s="357"/>
      <c r="BG2" s="355"/>
      <c r="BH2" s="357"/>
      <c r="BI2" s="355"/>
      <c r="BJ2" s="357"/>
      <c r="BK2" s="355"/>
      <c r="BL2" s="357"/>
      <c r="BM2" s="355"/>
      <c r="BN2" s="357"/>
    </row>
    <row r="3" spans="1:66" s="11" customFormat="1" x14ac:dyDescent="0.3">
      <c r="A3" s="157"/>
      <c r="B3" s="2" t="s">
        <v>28</v>
      </c>
      <c r="C3" s="2"/>
      <c r="D3" s="2"/>
      <c r="E3" s="94"/>
      <c r="F3" s="13"/>
      <c r="G3" s="99"/>
      <c r="H3" s="100"/>
      <c r="I3" s="163"/>
      <c r="J3" s="163"/>
      <c r="K3" s="102"/>
      <c r="L3" s="150"/>
      <c r="M3" s="150"/>
      <c r="N3" s="261"/>
      <c r="O3" s="151"/>
      <c r="P3" s="157"/>
      <c r="Q3" s="298"/>
      <c r="R3" s="299"/>
      <c r="S3" s="299"/>
      <c r="T3" s="299"/>
      <c r="U3" s="299"/>
      <c r="V3" s="299"/>
      <c r="W3" s="226">
        <v>65.599999999999994</v>
      </c>
      <c r="X3" s="227">
        <v>66.8</v>
      </c>
      <c r="Y3" s="228">
        <v>67.8</v>
      </c>
      <c r="Z3" s="229">
        <v>68.8</v>
      </c>
      <c r="AA3" s="298"/>
      <c r="AB3" s="299"/>
      <c r="AF3" s="226">
        <v>128.19999999999999</v>
      </c>
      <c r="AG3" s="227">
        <v>130.6</v>
      </c>
      <c r="AH3" s="228">
        <v>134.1</v>
      </c>
      <c r="AI3" s="230">
        <v>137.80000000000001</v>
      </c>
      <c r="AJ3" s="158"/>
      <c r="AK3" s="161"/>
      <c r="AO3" s="226">
        <v>128.19999999999999</v>
      </c>
      <c r="AP3" s="227">
        <v>130.6</v>
      </c>
      <c r="AQ3" s="228">
        <v>134.1</v>
      </c>
      <c r="AR3" s="230">
        <v>137.80000000000001</v>
      </c>
      <c r="AS3" s="259"/>
      <c r="AT3" s="332"/>
      <c r="AU3" s="259"/>
      <c r="AV3" s="259"/>
      <c r="AW3" s="364"/>
      <c r="AX3" s="366"/>
      <c r="AY3" s="364"/>
      <c r="AZ3" s="366"/>
      <c r="BA3" s="364"/>
      <c r="BB3" s="366"/>
      <c r="BC3" s="364"/>
      <c r="BD3" s="366"/>
      <c r="BE3" s="364"/>
      <c r="BF3" s="366"/>
      <c r="BG3" s="364"/>
      <c r="BH3" s="366"/>
      <c r="BI3" s="364"/>
      <c r="BJ3" s="366"/>
      <c r="BK3" s="364"/>
      <c r="BL3" s="366"/>
      <c r="BM3" s="364"/>
      <c r="BN3" s="366"/>
    </row>
    <row r="4" spans="1:66" s="11" customFormat="1" x14ac:dyDescent="0.3">
      <c r="A4" s="157"/>
      <c r="B4" s="2" t="s">
        <v>20</v>
      </c>
      <c r="C4" s="2"/>
      <c r="D4" s="157" t="s">
        <v>42</v>
      </c>
      <c r="E4" s="102" t="s">
        <v>8</v>
      </c>
      <c r="F4" s="162" t="s">
        <v>44</v>
      </c>
      <c r="G4" s="95" t="s">
        <v>34</v>
      </c>
      <c r="H4" s="96" t="s">
        <v>9</v>
      </c>
      <c r="I4" s="156" t="s">
        <v>14</v>
      </c>
      <c r="J4" s="214" t="s">
        <v>41</v>
      </c>
      <c r="K4" s="102" t="s">
        <v>4</v>
      </c>
      <c r="L4" s="88" t="s">
        <v>119</v>
      </c>
      <c r="M4" s="261" t="s">
        <v>4</v>
      </c>
      <c r="N4" s="261" t="s">
        <v>4</v>
      </c>
      <c r="O4" s="151" t="s">
        <v>4</v>
      </c>
      <c r="P4" s="157" t="s">
        <v>4</v>
      </c>
      <c r="Q4" s="298"/>
      <c r="R4" s="299"/>
      <c r="S4" s="299"/>
      <c r="T4" s="299"/>
      <c r="U4" s="299"/>
      <c r="V4" s="299"/>
      <c r="W4" s="120" t="s">
        <v>34</v>
      </c>
      <c r="X4" s="231" t="s">
        <v>9</v>
      </c>
      <c r="Y4" s="232" t="s">
        <v>14</v>
      </c>
      <c r="Z4" s="229" t="s">
        <v>41</v>
      </c>
      <c r="AA4" s="298"/>
      <c r="AB4" s="299"/>
      <c r="AF4" s="120" t="s">
        <v>34</v>
      </c>
      <c r="AG4" s="231" t="s">
        <v>9</v>
      </c>
      <c r="AH4" s="232" t="s">
        <v>14</v>
      </c>
      <c r="AI4" s="230" t="s">
        <v>41</v>
      </c>
      <c r="AJ4" s="158"/>
      <c r="AK4" s="161"/>
      <c r="AO4" s="120" t="s">
        <v>34</v>
      </c>
      <c r="AP4" s="231" t="s">
        <v>9</v>
      </c>
      <c r="AQ4" s="232" t="s">
        <v>14</v>
      </c>
      <c r="AR4" s="230" t="s">
        <v>41</v>
      </c>
      <c r="AS4" s="259" t="s">
        <v>4</v>
      </c>
      <c r="AT4" s="332" t="s">
        <v>4</v>
      </c>
      <c r="AU4" s="259" t="s">
        <v>4</v>
      </c>
      <c r="AV4" s="259" t="s">
        <v>4</v>
      </c>
      <c r="AW4" s="147"/>
      <c r="AX4" s="149"/>
      <c r="AY4" s="147"/>
      <c r="AZ4" s="149"/>
      <c r="BA4" s="147"/>
      <c r="BB4" s="149"/>
      <c r="BC4" s="147"/>
      <c r="BD4" s="149"/>
      <c r="BE4" s="147"/>
      <c r="BF4" s="149"/>
      <c r="BG4" s="147"/>
      <c r="BH4" s="149"/>
      <c r="BI4" s="147"/>
      <c r="BJ4" s="149"/>
      <c r="BK4" s="147"/>
      <c r="BL4" s="149"/>
      <c r="BM4" s="147"/>
      <c r="BN4" s="149"/>
    </row>
    <row r="5" spans="1:66" s="11" customFormat="1" x14ac:dyDescent="0.3">
      <c r="A5" s="157"/>
      <c r="B5" s="35" t="str">
        <f>+'TRA-M'!$A$1</f>
        <v>JULY 2017</v>
      </c>
      <c r="C5" s="36" t="s">
        <v>23</v>
      </c>
      <c r="D5" s="36" t="s">
        <v>43</v>
      </c>
      <c r="E5" s="102" t="s">
        <v>7</v>
      </c>
      <c r="F5" s="233">
        <v>22</v>
      </c>
      <c r="G5" s="95" t="s">
        <v>13</v>
      </c>
      <c r="H5" s="96" t="s">
        <v>13</v>
      </c>
      <c r="I5" s="156" t="s">
        <v>13</v>
      </c>
      <c r="J5" s="214" t="s">
        <v>13</v>
      </c>
      <c r="K5" s="102" t="s">
        <v>8</v>
      </c>
      <c r="L5" s="89" t="s">
        <v>120</v>
      </c>
      <c r="M5" s="258" t="s">
        <v>146</v>
      </c>
      <c r="N5" s="258" t="s">
        <v>147</v>
      </c>
      <c r="O5" s="151" t="s">
        <v>3</v>
      </c>
      <c r="P5" s="157" t="s">
        <v>15</v>
      </c>
      <c r="Q5" s="298" t="s">
        <v>29</v>
      </c>
      <c r="R5" s="299" t="s">
        <v>30</v>
      </c>
      <c r="S5" s="299" t="s">
        <v>135</v>
      </c>
      <c r="T5" s="299" t="s">
        <v>136</v>
      </c>
      <c r="U5" s="180" t="s">
        <v>39</v>
      </c>
      <c r="V5" s="299" t="s">
        <v>36</v>
      </c>
      <c r="W5" s="299" t="s">
        <v>37</v>
      </c>
      <c r="X5" s="180" t="s">
        <v>38</v>
      </c>
      <c r="Y5" s="180" t="s">
        <v>8</v>
      </c>
      <c r="Z5" s="180" t="s">
        <v>40</v>
      </c>
      <c r="AA5" s="298" t="s">
        <v>29</v>
      </c>
      <c r="AB5" s="299" t="s">
        <v>30</v>
      </c>
      <c r="AC5" s="299" t="s">
        <v>135</v>
      </c>
      <c r="AD5" s="299" t="s">
        <v>136</v>
      </c>
      <c r="AE5" s="180" t="s">
        <v>39</v>
      </c>
      <c r="AF5" s="299" t="s">
        <v>36</v>
      </c>
      <c r="AG5" s="299" t="s">
        <v>37</v>
      </c>
      <c r="AH5" s="180" t="s">
        <v>38</v>
      </c>
      <c r="AI5" s="234" t="s">
        <v>40</v>
      </c>
      <c r="AJ5" s="158" t="s">
        <v>29</v>
      </c>
      <c r="AK5" s="161" t="s">
        <v>30</v>
      </c>
      <c r="AL5" s="161" t="s">
        <v>135</v>
      </c>
      <c r="AM5" s="161" t="s">
        <v>136</v>
      </c>
      <c r="AN5" s="180" t="s">
        <v>39</v>
      </c>
      <c r="AO5" s="161" t="s">
        <v>36</v>
      </c>
      <c r="AP5" s="161" t="s">
        <v>37</v>
      </c>
      <c r="AQ5" s="180" t="s">
        <v>38</v>
      </c>
      <c r="AR5" s="234" t="s">
        <v>40</v>
      </c>
      <c r="AS5" s="259" t="s">
        <v>2</v>
      </c>
      <c r="AT5" s="332" t="s">
        <v>3</v>
      </c>
      <c r="AU5" s="259" t="s">
        <v>2</v>
      </c>
      <c r="AV5" s="259" t="s">
        <v>3</v>
      </c>
      <c r="AW5" s="147" t="s">
        <v>2</v>
      </c>
      <c r="AX5" s="149" t="s">
        <v>3</v>
      </c>
      <c r="AY5" s="147" t="s">
        <v>2</v>
      </c>
      <c r="AZ5" s="149" t="s">
        <v>3</v>
      </c>
      <c r="BA5" s="147" t="s">
        <v>2</v>
      </c>
      <c r="BB5" s="149" t="s">
        <v>3</v>
      </c>
      <c r="BC5" s="147" t="s">
        <v>2</v>
      </c>
      <c r="BD5" s="149" t="s">
        <v>3</v>
      </c>
      <c r="BE5" s="147" t="s">
        <v>2</v>
      </c>
      <c r="BF5" s="149" t="s">
        <v>3</v>
      </c>
      <c r="BG5" s="147" t="s">
        <v>2</v>
      </c>
      <c r="BH5" s="149" t="s">
        <v>3</v>
      </c>
      <c r="BI5" s="147" t="s">
        <v>2</v>
      </c>
      <c r="BJ5" s="149" t="s">
        <v>3</v>
      </c>
      <c r="BK5" s="147" t="s">
        <v>2</v>
      </c>
      <c r="BL5" s="149" t="s">
        <v>3</v>
      </c>
      <c r="BM5" s="147" t="s">
        <v>2</v>
      </c>
      <c r="BN5" s="149" t="s">
        <v>3</v>
      </c>
    </row>
    <row r="6" spans="1:66" s="11" customFormat="1" x14ac:dyDescent="0.3">
      <c r="A6" s="157"/>
      <c r="B6" s="62"/>
      <c r="C6" s="157"/>
      <c r="D6" s="157"/>
      <c r="E6" s="102"/>
      <c r="F6" s="150"/>
      <c r="G6" s="95"/>
      <c r="H6" s="96"/>
      <c r="I6" s="156"/>
      <c r="J6" s="156"/>
      <c r="K6" s="102"/>
      <c r="L6" s="150"/>
      <c r="M6" s="150"/>
      <c r="N6" s="261"/>
      <c r="O6" s="151"/>
      <c r="P6" s="157"/>
      <c r="Q6" s="298"/>
      <c r="R6" s="299"/>
      <c r="S6" s="299"/>
      <c r="T6" s="299"/>
      <c r="U6" s="299"/>
      <c r="V6" s="299"/>
      <c r="W6" s="299"/>
      <c r="X6" s="299"/>
      <c r="Y6" s="299"/>
      <c r="Z6" s="234"/>
      <c r="AA6" s="298"/>
      <c r="AB6" s="299"/>
      <c r="AC6" s="299"/>
      <c r="AD6" s="299"/>
      <c r="AE6" s="299"/>
      <c r="AF6" s="299"/>
      <c r="AG6" s="299"/>
      <c r="AH6" s="299"/>
      <c r="AI6" s="234"/>
      <c r="AJ6" s="158"/>
      <c r="AK6" s="161"/>
      <c r="AL6" s="161"/>
      <c r="AM6" s="161"/>
      <c r="AN6" s="161"/>
      <c r="AO6" s="161"/>
      <c r="AP6" s="161"/>
      <c r="AQ6" s="161"/>
      <c r="AR6" s="234"/>
      <c r="AS6" s="259"/>
      <c r="AT6" s="332"/>
      <c r="AU6" s="259"/>
      <c r="AV6" s="259"/>
      <c r="AW6" s="158"/>
      <c r="AX6" s="171"/>
      <c r="AY6" s="158"/>
      <c r="AZ6" s="171"/>
      <c r="BA6" s="158"/>
      <c r="BB6" s="171"/>
      <c r="BC6" s="158"/>
      <c r="BD6" s="171"/>
      <c r="BE6" s="158"/>
      <c r="BF6" s="171"/>
      <c r="BG6" s="158"/>
      <c r="BH6" s="171"/>
      <c r="BI6" s="158"/>
      <c r="BJ6" s="171"/>
      <c r="BK6" s="158"/>
      <c r="BL6" s="171"/>
      <c r="BM6" s="158"/>
      <c r="BN6" s="171"/>
    </row>
    <row r="7" spans="1:66" s="11" customFormat="1" x14ac:dyDescent="0.3">
      <c r="A7" s="157">
        <v>1</v>
      </c>
      <c r="B7" s="240" t="s">
        <v>57</v>
      </c>
      <c r="C7" s="241" t="s">
        <v>26</v>
      </c>
      <c r="D7" s="150">
        <v>2013</v>
      </c>
      <c r="E7" s="174">
        <f t="shared" ref="E7:E16" si="0">IF(P7="",SUM(K7:O7),SUM(K7:P7))</f>
        <v>345.4</v>
      </c>
      <c r="F7" s="175" t="s">
        <v>45</v>
      </c>
      <c r="G7" s="107" t="str">
        <f>IF('TRA-M'!$A$2-D7&lt;=1,IF(U7&gt;=$W$3,"YES",IF(AE7&gt;=$AF$3,"YES",IF(OR(AN7&gt;=$AO$3, AQ7&gt;=$AO$3),"YES",""))),"")</f>
        <v/>
      </c>
      <c r="H7" s="108" t="str">
        <f t="shared" ref="H7:H16" si="1">IF(OR(U7&gt;=$X$3,X7&gt;=$X$3),IF(F7="YES","YES",""),IF(OR(AE7&gt;=$AG$3,AH7&gt;=$AG$3),IF(F7="YES","YES",""),IF(OR(AN7&gt;=$AP$3,AQ7&gt;=$AP$3),IF(F7="YES","YES",""),"")))</f>
        <v>YES</v>
      </c>
      <c r="I7" s="109" t="str">
        <f t="shared" ref="I7:I16" si="2">IF(OR(U7&gt;=$Y$3,X7&gt;=$Y$3),IF(F7="YES","YES",""),IF(OR(AE7&gt;=$AH$3,AH7&gt;=$AH$3),IF(F7="YES","YES",""),IF(OR(AN7&gt;=$AQ$3,AQ7&gt;=$AQ$3),IF(F7="YES","YES",""),"")))</f>
        <v>YES</v>
      </c>
      <c r="J7" s="216" t="str">
        <f t="shared" ref="J7:J16" si="3">IF(OR(U7&gt;=$Z$3,X7&gt;=$Z$3),IF(F7="YES","YES",""),IF(OR(AE7&gt;=$AI$3,AH7&gt;=$AI$3),IF(F7="YES","YES",""),IF(OR(AN7&gt;=$AR$3,AQ7&gt;=$AR$3),IF(F7="YES","YES",""),"")))</f>
        <v/>
      </c>
      <c r="K7" s="147">
        <f t="shared" ref="K7:K16" si="4">MAX($U7,$AE7,$AN7)</f>
        <v>137.1</v>
      </c>
      <c r="L7" s="148"/>
      <c r="M7" s="260">
        <f t="shared" ref="M7:M16" si="5">IF(K7=$U7,MAX($AA7+$AB7,$AJ7+$AK7),IF(K7=$AE7,MAX($Q7+$R7,$AJ7+$AK7),MAX($Q7+$R7,$AA7+$AB7)))</f>
        <v>68.300000000000011</v>
      </c>
      <c r="N7" s="262">
        <f t="shared" ref="N7:N16" si="6">IF(K7=$U7,MAX($AC7+$AD7,$AL7+$AM7),IF(K7=$AE7,MAX($S7+$T7,$AL7+$AM7),MAX($S7+$T7,$AC7+$AD7)))</f>
        <v>67.5</v>
      </c>
      <c r="O7" s="149">
        <f t="shared" ref="O7:O16" si="7">MAX($X7,$AH7,$AQ7)</f>
        <v>71.599999999999994</v>
      </c>
      <c r="P7" s="149">
        <f t="shared" ref="P7:P16" si="8">IF(MAX(AS7:AT7)&lt;=0,"",MAX(AS7:AT7))</f>
        <v>0.89999999999999147</v>
      </c>
      <c r="Q7" s="298">
        <v>33.700000000000003</v>
      </c>
      <c r="R7" s="299">
        <v>34.6</v>
      </c>
      <c r="S7" s="299"/>
      <c r="T7" s="299"/>
      <c r="U7" s="177">
        <f>+SUM(Q7:T7)</f>
        <v>68.300000000000011</v>
      </c>
      <c r="V7" s="299">
        <v>33.299999999999997</v>
      </c>
      <c r="W7" s="299">
        <v>34.6</v>
      </c>
      <c r="X7" s="177">
        <f t="shared" ref="X7:X16" si="9">+V7+W7</f>
        <v>67.900000000000006</v>
      </c>
      <c r="Y7" s="180">
        <f t="shared" ref="Y7:Y16" si="10">+U7+X7</f>
        <v>136.20000000000002</v>
      </c>
      <c r="Z7" s="235">
        <v>1</v>
      </c>
      <c r="AA7" s="298">
        <v>34.200000000000003</v>
      </c>
      <c r="AB7" s="299">
        <v>34</v>
      </c>
      <c r="AC7" s="299">
        <v>33.9</v>
      </c>
      <c r="AD7" s="299">
        <v>35</v>
      </c>
      <c r="AE7" s="177">
        <f t="shared" ref="AE7:AE16" si="11">SUM(AA7:AD7)</f>
        <v>137.1</v>
      </c>
      <c r="AF7" s="299">
        <v>35.6</v>
      </c>
      <c r="AG7" s="299">
        <v>34.9</v>
      </c>
      <c r="AH7" s="180">
        <f t="shared" ref="AH7:AH16" si="12">+AF7+AG7</f>
        <v>70.5</v>
      </c>
      <c r="AI7" s="235">
        <v>3</v>
      </c>
      <c r="AJ7" s="298">
        <v>35.4</v>
      </c>
      <c r="AK7" s="195">
        <v>23.5</v>
      </c>
      <c r="AL7" s="299">
        <v>34.1</v>
      </c>
      <c r="AM7" s="299">
        <v>33.4</v>
      </c>
      <c r="AN7" s="177">
        <f t="shared" ref="AN7:AN16" si="13">SUM(AJ7:AM7)</f>
        <v>126.4</v>
      </c>
      <c r="AO7" s="161">
        <v>35.799999999999997</v>
      </c>
      <c r="AP7" s="161">
        <v>35.799999999999997</v>
      </c>
      <c r="AQ7" s="180">
        <f t="shared" ref="AQ7:AQ16" si="14">+AO7+AP7</f>
        <v>71.599999999999994</v>
      </c>
      <c r="AR7" s="235">
        <v>1</v>
      </c>
      <c r="AS7" s="328">
        <f t="shared" ref="AS7:AS16" si="15">IF($AU7="","",$AU7-M7)</f>
        <v>0.89999999999999147</v>
      </c>
      <c r="AT7" s="333">
        <f t="shared" ref="AT7:AT16" si="16">IF($AV7="","",$AV7-O7)</f>
        <v>-0.59999999999999432</v>
      </c>
      <c r="AU7" s="259">
        <f t="shared" ref="AU7:AU16" si="17">IF(MAX($AW7,$AY7,$BA7,$BC7,$BE7,$BG7,$BI7,$BK7,$BM7)=0,"",MAX($AW7,$AY7,$BA7,$BC7,$BE7,$BG7,$BI7,$BK7,$BM7))</f>
        <v>69.2</v>
      </c>
      <c r="AV7" s="259">
        <f t="shared" ref="AV7:AV16" si="18">IF(MAX($AX7,$AZ7,$BB7,$BD7,$BF7,$BH7,$BJ7,$BL7,$BN7)=0,"",MAX($AX7,$AZ7,$BB7,$BD7,$BF7,$BH7,$BJ7,$BL7,$BN7))</f>
        <v>71</v>
      </c>
      <c r="AW7" s="158"/>
      <c r="AX7" s="171"/>
      <c r="AY7" s="236">
        <f>34.7+34.5</f>
        <v>69.2</v>
      </c>
      <c r="AZ7" s="183">
        <f>33.3+31.5</f>
        <v>64.8</v>
      </c>
      <c r="BA7" s="236">
        <f>32.9+34</f>
        <v>66.900000000000006</v>
      </c>
      <c r="BB7" s="183">
        <f>35.7+35.3</f>
        <v>71</v>
      </c>
      <c r="BC7" s="158"/>
      <c r="BD7" s="171"/>
      <c r="BE7" s="158"/>
      <c r="BF7" s="171"/>
      <c r="BG7" s="158"/>
      <c r="BH7" s="171"/>
      <c r="BI7" s="158"/>
      <c r="BJ7" s="171"/>
      <c r="BK7" s="158"/>
      <c r="BL7" s="171"/>
      <c r="BM7" s="158"/>
      <c r="BN7" s="171"/>
    </row>
    <row r="8" spans="1:66" s="11" customFormat="1" x14ac:dyDescent="0.3">
      <c r="A8" s="157">
        <v>2</v>
      </c>
      <c r="B8" s="136" t="s">
        <v>64</v>
      </c>
      <c r="C8" s="137" t="s">
        <v>24</v>
      </c>
      <c r="D8" s="150">
        <v>2011</v>
      </c>
      <c r="E8" s="174">
        <f t="shared" si="0"/>
        <v>341.6</v>
      </c>
      <c r="F8" s="177" t="s">
        <v>45</v>
      </c>
      <c r="G8" s="107" t="str">
        <f>IF('TRA-M'!$A$2-D8&lt;=1,IF(U8&gt;=$W$3,"YES",IF(AE8&gt;=$AF$3,"YES",IF(OR(AN8&gt;=$AO$3, AQ8&gt;=$AO$3),"YES",""))),"")</f>
        <v/>
      </c>
      <c r="H8" s="108" t="str">
        <f t="shared" si="1"/>
        <v>YES</v>
      </c>
      <c r="I8" s="109" t="str">
        <f t="shared" si="2"/>
        <v>YES</v>
      </c>
      <c r="J8" s="216" t="str">
        <f t="shared" si="3"/>
        <v>YES</v>
      </c>
      <c r="K8" s="147">
        <f t="shared" si="4"/>
        <v>138.4</v>
      </c>
      <c r="L8" s="148"/>
      <c r="M8" s="260">
        <f t="shared" si="5"/>
        <v>68.7</v>
      </c>
      <c r="N8" s="262">
        <f t="shared" si="6"/>
        <v>68.599999999999994</v>
      </c>
      <c r="O8" s="149">
        <f t="shared" si="7"/>
        <v>65.900000000000006</v>
      </c>
      <c r="P8" s="324" t="str">
        <f t="shared" si="8"/>
        <v/>
      </c>
      <c r="Q8" s="299">
        <v>34.200000000000003</v>
      </c>
      <c r="R8" s="299">
        <v>34.5</v>
      </c>
      <c r="S8" s="299"/>
      <c r="T8" s="299"/>
      <c r="U8" s="177">
        <f>+SUM(Q8:T8)</f>
        <v>68.7</v>
      </c>
      <c r="V8" s="299">
        <v>33.6</v>
      </c>
      <c r="W8" s="299">
        <v>32.299999999999997</v>
      </c>
      <c r="X8" s="177">
        <f t="shared" si="9"/>
        <v>65.900000000000006</v>
      </c>
      <c r="Y8" s="180">
        <f t="shared" si="10"/>
        <v>134.60000000000002</v>
      </c>
      <c r="Z8" s="235">
        <v>2</v>
      </c>
      <c r="AA8" s="299">
        <v>35.299999999999997</v>
      </c>
      <c r="AB8" s="299">
        <v>34.6</v>
      </c>
      <c r="AC8" s="299">
        <v>35.5</v>
      </c>
      <c r="AD8" s="299">
        <v>33</v>
      </c>
      <c r="AE8" s="177">
        <f t="shared" si="11"/>
        <v>138.4</v>
      </c>
      <c r="AF8" s="299">
        <v>35.299999999999997</v>
      </c>
      <c r="AG8" s="299">
        <v>30.1</v>
      </c>
      <c r="AH8" s="180">
        <f t="shared" si="12"/>
        <v>65.400000000000006</v>
      </c>
      <c r="AI8" s="235">
        <v>5</v>
      </c>
      <c r="AJ8" s="299">
        <v>34</v>
      </c>
      <c r="AK8" s="195">
        <v>0</v>
      </c>
      <c r="AL8" s="299">
        <v>36</v>
      </c>
      <c r="AM8" s="299">
        <v>32.6</v>
      </c>
      <c r="AN8" s="180">
        <f t="shared" si="13"/>
        <v>102.6</v>
      </c>
      <c r="AO8" s="161"/>
      <c r="AP8" s="161"/>
      <c r="AQ8" s="180">
        <f t="shared" si="14"/>
        <v>0</v>
      </c>
      <c r="AR8" s="235">
        <v>5</v>
      </c>
      <c r="AS8" s="328">
        <f t="shared" si="15"/>
        <v>-2.5000000000000142</v>
      </c>
      <c r="AT8" s="333" t="str">
        <f t="shared" si="16"/>
        <v/>
      </c>
      <c r="AU8" s="259">
        <f t="shared" si="17"/>
        <v>66.199999999999989</v>
      </c>
      <c r="AV8" s="259" t="str">
        <f t="shared" si="18"/>
        <v/>
      </c>
      <c r="AW8" s="158"/>
      <c r="AX8" s="171"/>
      <c r="AY8" s="236">
        <f>33.3+32.9</f>
        <v>66.199999999999989</v>
      </c>
      <c r="AZ8" s="171"/>
      <c r="BA8" s="158"/>
      <c r="BB8" s="171"/>
      <c r="BC8" s="158"/>
      <c r="BD8" s="171"/>
      <c r="BE8" s="158"/>
      <c r="BF8" s="171"/>
      <c r="BG8" s="158"/>
      <c r="BH8" s="171"/>
      <c r="BI8" s="158"/>
      <c r="BJ8" s="171"/>
      <c r="BK8" s="158"/>
      <c r="BL8" s="171"/>
      <c r="BM8" s="158"/>
      <c r="BN8" s="171"/>
    </row>
    <row r="9" spans="1:66" s="11" customFormat="1" x14ac:dyDescent="0.3">
      <c r="A9" s="157">
        <v>3</v>
      </c>
      <c r="B9" s="136" t="s">
        <v>59</v>
      </c>
      <c r="C9" s="137" t="s">
        <v>25</v>
      </c>
      <c r="D9" s="150">
        <v>2014</v>
      </c>
      <c r="E9" s="174">
        <f t="shared" si="0"/>
        <v>338.6</v>
      </c>
      <c r="F9" s="175" t="s">
        <v>45</v>
      </c>
      <c r="G9" s="107" t="str">
        <f>IF('TRA-M'!$A$2-D9&lt;=1,IF(U9&gt;=$W$3,"YES",IF(AE9&gt;=$AF$3,"YES",IF(OR(AN9&gt;=$AO$3, AQ9&gt;=$AO$3),"YES",""))),"")</f>
        <v/>
      </c>
      <c r="H9" s="108" t="str">
        <f t="shared" si="1"/>
        <v>YES</v>
      </c>
      <c r="I9" s="109" t="str">
        <f t="shared" si="2"/>
        <v>YES</v>
      </c>
      <c r="J9" s="216" t="str">
        <f t="shared" si="3"/>
        <v/>
      </c>
      <c r="K9" s="147">
        <f t="shared" si="4"/>
        <v>135.30000000000001</v>
      </c>
      <c r="L9" s="148"/>
      <c r="M9" s="260">
        <f t="shared" si="5"/>
        <v>67.400000000000006</v>
      </c>
      <c r="N9" s="262">
        <f t="shared" si="6"/>
        <v>67.900000000000006</v>
      </c>
      <c r="O9" s="149">
        <f t="shared" si="7"/>
        <v>68</v>
      </c>
      <c r="P9" s="324" t="str">
        <f t="shared" si="8"/>
        <v/>
      </c>
      <c r="Q9" s="299">
        <v>31.7</v>
      </c>
      <c r="R9" s="299">
        <v>33.299999999999997</v>
      </c>
      <c r="S9" s="299"/>
      <c r="T9" s="299"/>
      <c r="U9" s="177">
        <f>+SUM(Q9:T9)</f>
        <v>65</v>
      </c>
      <c r="V9" s="299">
        <v>33.1</v>
      </c>
      <c r="W9" s="299">
        <v>31.6</v>
      </c>
      <c r="X9" s="177">
        <f t="shared" si="9"/>
        <v>64.7</v>
      </c>
      <c r="Y9" s="180">
        <f t="shared" si="10"/>
        <v>129.69999999999999</v>
      </c>
      <c r="Z9" s="235">
        <v>4</v>
      </c>
      <c r="AA9" s="299">
        <v>33.4</v>
      </c>
      <c r="AB9" s="299">
        <v>34.299999999999997</v>
      </c>
      <c r="AC9" s="299">
        <v>33.5</v>
      </c>
      <c r="AD9" s="299">
        <v>34.1</v>
      </c>
      <c r="AE9" s="177">
        <f t="shared" si="11"/>
        <v>135.29999999999998</v>
      </c>
      <c r="AF9" s="299">
        <v>34</v>
      </c>
      <c r="AG9" s="299">
        <v>34</v>
      </c>
      <c r="AH9" s="180">
        <f t="shared" si="12"/>
        <v>68</v>
      </c>
      <c r="AI9" s="235">
        <v>4</v>
      </c>
      <c r="AJ9" s="299">
        <v>33.6</v>
      </c>
      <c r="AK9" s="299">
        <v>33.799999999999997</v>
      </c>
      <c r="AL9" s="299">
        <v>33.200000000000003</v>
      </c>
      <c r="AM9" s="299">
        <v>34.700000000000003</v>
      </c>
      <c r="AN9" s="177">
        <f t="shared" si="13"/>
        <v>135.30000000000001</v>
      </c>
      <c r="AO9" s="195">
        <v>23.2</v>
      </c>
      <c r="AP9" s="161">
        <v>33.9</v>
      </c>
      <c r="AQ9" s="180">
        <f t="shared" si="14"/>
        <v>57.099999999999994</v>
      </c>
      <c r="AR9" s="235">
        <v>3</v>
      </c>
      <c r="AS9" s="328" t="str">
        <f t="shared" si="15"/>
        <v/>
      </c>
      <c r="AT9" s="333" t="str">
        <f t="shared" si="16"/>
        <v/>
      </c>
      <c r="AU9" s="259" t="str">
        <f t="shared" si="17"/>
        <v/>
      </c>
      <c r="AV9" s="259" t="str">
        <f t="shared" si="18"/>
        <v/>
      </c>
      <c r="AW9" s="158"/>
      <c r="AX9" s="171"/>
      <c r="AY9" s="158"/>
      <c r="AZ9" s="171"/>
      <c r="BA9" s="158"/>
      <c r="BB9" s="171"/>
      <c r="BC9" s="158"/>
      <c r="BD9" s="171"/>
      <c r="BE9" s="158"/>
      <c r="BF9" s="171"/>
      <c r="BG9" s="158"/>
      <c r="BH9" s="171"/>
      <c r="BI9" s="158"/>
      <c r="BJ9" s="171"/>
      <c r="BK9" s="158"/>
      <c r="BL9" s="171"/>
      <c r="BM9" s="158"/>
      <c r="BN9" s="171"/>
    </row>
    <row r="10" spans="1:66" s="11" customFormat="1" x14ac:dyDescent="0.3">
      <c r="A10" s="159">
        <v>4</v>
      </c>
      <c r="B10" s="69" t="s">
        <v>63</v>
      </c>
      <c r="C10" s="70" t="s">
        <v>24</v>
      </c>
      <c r="D10" s="150">
        <v>2015</v>
      </c>
      <c r="E10" s="174">
        <f t="shared" si="0"/>
        <v>230.74999999999997</v>
      </c>
      <c r="F10" s="177" t="s">
        <v>45</v>
      </c>
      <c r="G10" s="107" t="str">
        <f>IF('TRA-M'!$A$2-D10&lt;=1,IF(U10&gt;=$W$3,"YES",IF(AE10&gt;=$AF$3,"YES",IF(OR(AN10&gt;=$AO$3, AQ10&gt;=$AO$3),"YES",""))),"")</f>
        <v/>
      </c>
      <c r="H10" s="108" t="str">
        <f t="shared" si="1"/>
        <v>YES</v>
      </c>
      <c r="I10" s="109" t="str">
        <f t="shared" si="2"/>
        <v/>
      </c>
      <c r="J10" s="216" t="str">
        <f t="shared" si="3"/>
        <v/>
      </c>
      <c r="K10" s="147">
        <f t="shared" si="4"/>
        <v>67.099999999999994</v>
      </c>
      <c r="L10" s="294"/>
      <c r="M10" s="260">
        <f t="shared" si="5"/>
        <v>33.549999999999997</v>
      </c>
      <c r="N10" s="262">
        <f t="shared" si="6"/>
        <v>32.15</v>
      </c>
      <c r="O10" s="149">
        <f t="shared" si="7"/>
        <v>64.3</v>
      </c>
      <c r="P10" s="324">
        <f t="shared" si="8"/>
        <v>33.650000000000006</v>
      </c>
      <c r="Q10" s="298">
        <v>33.5</v>
      </c>
      <c r="R10" s="299">
        <v>33.6</v>
      </c>
      <c r="S10" s="299"/>
      <c r="T10" s="299"/>
      <c r="U10" s="177">
        <f>+SUM(Q10:T10)</f>
        <v>67.099999999999994</v>
      </c>
      <c r="V10" s="299">
        <v>30.9</v>
      </c>
      <c r="W10" s="299">
        <v>33.4</v>
      </c>
      <c r="X10" s="180">
        <f t="shared" si="9"/>
        <v>64.3</v>
      </c>
      <c r="Y10" s="180">
        <f t="shared" si="10"/>
        <v>131.39999999999998</v>
      </c>
      <c r="Z10" s="235">
        <v>3</v>
      </c>
      <c r="AA10" s="298"/>
      <c r="AB10" s="299"/>
      <c r="AC10" s="299"/>
      <c r="AD10" s="299"/>
      <c r="AE10" s="180">
        <f t="shared" si="11"/>
        <v>0</v>
      </c>
      <c r="AF10" s="299"/>
      <c r="AG10" s="299"/>
      <c r="AH10" s="180">
        <f t="shared" si="12"/>
        <v>0</v>
      </c>
      <c r="AI10" s="235"/>
      <c r="AJ10" s="188">
        <v>16.75</v>
      </c>
      <c r="AK10" s="189">
        <v>16.8</v>
      </c>
      <c r="AL10" s="189">
        <v>15.45</v>
      </c>
      <c r="AM10" s="189">
        <v>16.7</v>
      </c>
      <c r="AN10" s="190">
        <f t="shared" si="13"/>
        <v>65.7</v>
      </c>
      <c r="AO10" s="189">
        <v>15.45</v>
      </c>
      <c r="AP10" s="189">
        <v>16.7</v>
      </c>
      <c r="AQ10" s="190">
        <f t="shared" si="14"/>
        <v>32.15</v>
      </c>
      <c r="AR10" s="237"/>
      <c r="AS10" s="328">
        <f t="shared" si="15"/>
        <v>33.650000000000006</v>
      </c>
      <c r="AT10" s="333" t="str">
        <f t="shared" si="16"/>
        <v/>
      </c>
      <c r="AU10" s="259">
        <f t="shared" si="17"/>
        <v>67.2</v>
      </c>
      <c r="AV10" s="259" t="str">
        <f t="shared" si="18"/>
        <v/>
      </c>
      <c r="AW10" s="158"/>
      <c r="AX10" s="171"/>
      <c r="AY10" s="236">
        <f>34.2+33</f>
        <v>67.2</v>
      </c>
      <c r="AZ10" s="171"/>
      <c r="BA10" s="158"/>
      <c r="BB10" s="171"/>
      <c r="BC10" s="158"/>
      <c r="BD10" s="171"/>
      <c r="BE10" s="158"/>
      <c r="BF10" s="171"/>
      <c r="BG10" s="158"/>
      <c r="BH10" s="171"/>
      <c r="BI10" s="158"/>
      <c r="BJ10" s="171"/>
      <c r="BK10" s="158"/>
      <c r="BL10" s="171"/>
      <c r="BM10" s="158"/>
      <c r="BN10" s="171"/>
    </row>
    <row r="11" spans="1:66" s="11" customFormat="1" x14ac:dyDescent="0.3">
      <c r="A11" s="157"/>
      <c r="B11" s="69" t="s">
        <v>78</v>
      </c>
      <c r="C11" s="70" t="s">
        <v>27</v>
      </c>
      <c r="D11" s="150">
        <v>2014</v>
      </c>
      <c r="E11" s="174">
        <f t="shared" si="0"/>
        <v>280.85000000000002</v>
      </c>
      <c r="F11" s="177" t="s">
        <v>45</v>
      </c>
      <c r="G11" s="107" t="str">
        <f>IF('TRA-M'!$A$2-D11&lt;=1,IF(U11&gt;=$W$3,"YES",IF(AE11&gt;=$AF$3,"YES",IF(OR(AN11&gt;=$AO$3, AQ11&gt;=$AO$3),"YES",""))),"")</f>
        <v/>
      </c>
      <c r="H11" s="108" t="str">
        <f t="shared" si="1"/>
        <v/>
      </c>
      <c r="I11" s="109" t="str">
        <f t="shared" si="2"/>
        <v/>
      </c>
      <c r="J11" s="216" t="str">
        <f t="shared" si="3"/>
        <v/>
      </c>
      <c r="K11" s="147">
        <f t="shared" si="4"/>
        <v>112.05000000000001</v>
      </c>
      <c r="L11" s="323"/>
      <c r="M11" s="260">
        <f t="shared" si="5"/>
        <v>69.3</v>
      </c>
      <c r="N11" s="262">
        <f t="shared" si="6"/>
        <v>34.4</v>
      </c>
      <c r="O11" s="149">
        <f t="shared" si="7"/>
        <v>54.9</v>
      </c>
      <c r="P11" s="324">
        <f t="shared" si="8"/>
        <v>10.199999999999996</v>
      </c>
      <c r="Q11" s="298">
        <v>31.8</v>
      </c>
      <c r="R11" s="299">
        <v>33.700000000000003</v>
      </c>
      <c r="S11" s="299"/>
      <c r="T11" s="299"/>
      <c r="U11" s="177">
        <f>+SUM(Q11:T11)</f>
        <v>65.5</v>
      </c>
      <c r="V11" s="195">
        <v>23</v>
      </c>
      <c r="W11" s="299">
        <v>31.9</v>
      </c>
      <c r="X11" s="180">
        <f t="shared" si="9"/>
        <v>54.9</v>
      </c>
      <c r="Y11" s="180">
        <f t="shared" si="10"/>
        <v>120.4</v>
      </c>
      <c r="Z11" s="235">
        <v>5</v>
      </c>
      <c r="AA11" s="298">
        <v>34.799999999999997</v>
      </c>
      <c r="AB11" s="299">
        <v>34.5</v>
      </c>
      <c r="AC11" s="195">
        <v>0</v>
      </c>
      <c r="AD11" s="299">
        <v>34.4</v>
      </c>
      <c r="AE11" s="180">
        <f t="shared" si="11"/>
        <v>103.69999999999999</v>
      </c>
      <c r="AF11" s="299"/>
      <c r="AG11" s="299"/>
      <c r="AH11" s="180">
        <f t="shared" si="12"/>
        <v>0</v>
      </c>
      <c r="AI11" s="235">
        <v>8</v>
      </c>
      <c r="AJ11" s="188">
        <v>33.299999999999997</v>
      </c>
      <c r="AK11" s="189">
        <v>34.1</v>
      </c>
      <c r="AL11" s="189">
        <v>11.5</v>
      </c>
      <c r="AM11" s="189">
        <v>33.15</v>
      </c>
      <c r="AN11" s="190">
        <f t="shared" si="13"/>
        <v>112.05000000000001</v>
      </c>
      <c r="AO11" s="189">
        <v>11.5</v>
      </c>
      <c r="AP11" s="189">
        <v>15.95</v>
      </c>
      <c r="AQ11" s="190">
        <f t="shared" si="14"/>
        <v>27.45</v>
      </c>
      <c r="AR11" s="237"/>
      <c r="AS11" s="328">
        <f t="shared" si="15"/>
        <v>-1.9999999999999858</v>
      </c>
      <c r="AT11" s="333">
        <f t="shared" si="16"/>
        <v>10.199999999999996</v>
      </c>
      <c r="AU11" s="259">
        <f t="shared" si="17"/>
        <v>67.300000000000011</v>
      </c>
      <c r="AV11" s="259">
        <f t="shared" si="18"/>
        <v>65.099999999999994</v>
      </c>
      <c r="AW11" s="158"/>
      <c r="AX11" s="171"/>
      <c r="AY11" s="236">
        <f>33.1+34.2</f>
        <v>67.300000000000011</v>
      </c>
      <c r="AZ11" s="171">
        <f>32.9+32.2</f>
        <v>65.099999999999994</v>
      </c>
      <c r="BA11" s="158"/>
      <c r="BB11" s="171"/>
      <c r="BC11" s="158"/>
      <c r="BD11" s="171"/>
      <c r="BE11" s="158"/>
      <c r="BF11" s="171"/>
      <c r="BG11" s="158"/>
      <c r="BH11" s="171"/>
      <c r="BI11" s="158"/>
      <c r="BJ11" s="171"/>
      <c r="BK11" s="158"/>
      <c r="BL11" s="171"/>
      <c r="BM11" s="158"/>
      <c r="BN11" s="171"/>
    </row>
    <row r="12" spans="1:66" s="11" customFormat="1" x14ac:dyDescent="0.3">
      <c r="A12" s="194"/>
      <c r="B12" s="69" t="s">
        <v>121</v>
      </c>
      <c r="C12" s="70" t="s">
        <v>27</v>
      </c>
      <c r="D12" s="70">
        <v>2009</v>
      </c>
      <c r="E12" s="174">
        <f t="shared" si="0"/>
        <v>321.29999999999995</v>
      </c>
      <c r="F12" s="175"/>
      <c r="G12" s="107" t="str">
        <f>IF('TRA-M'!$A$2-D12&lt;=1,IF(U12&gt;=$W$3,"YES",IF(AE12&gt;=$AF$3,"YES",IF(OR(AN12&gt;=$AO$3, AQ12&gt;=$AO$3),"YES",""))),"")</f>
        <v/>
      </c>
      <c r="H12" s="108" t="str">
        <f t="shared" si="1"/>
        <v/>
      </c>
      <c r="I12" s="109" t="str">
        <f t="shared" si="2"/>
        <v/>
      </c>
      <c r="J12" s="216" t="str">
        <f t="shared" si="3"/>
        <v/>
      </c>
      <c r="K12" s="147">
        <f t="shared" si="4"/>
        <v>128.89999999999998</v>
      </c>
      <c r="L12" s="294"/>
      <c r="M12" s="260">
        <f t="shared" si="5"/>
        <v>64.400000000000006</v>
      </c>
      <c r="N12" s="262">
        <f t="shared" si="6"/>
        <v>64.3</v>
      </c>
      <c r="O12" s="149">
        <f t="shared" si="7"/>
        <v>63.7</v>
      </c>
      <c r="P12" s="324" t="str">
        <f t="shared" si="8"/>
        <v/>
      </c>
      <c r="Q12" s="298"/>
      <c r="R12" s="299"/>
      <c r="S12" s="299"/>
      <c r="T12" s="299"/>
      <c r="U12" s="180">
        <f>SUM(Q12:T12)</f>
        <v>0</v>
      </c>
      <c r="V12" s="299"/>
      <c r="W12" s="299"/>
      <c r="X12" s="180">
        <f t="shared" si="9"/>
        <v>0</v>
      </c>
      <c r="Y12" s="180">
        <f t="shared" si="10"/>
        <v>0</v>
      </c>
      <c r="Z12" s="235"/>
      <c r="AA12" s="298">
        <v>32.6</v>
      </c>
      <c r="AB12" s="299">
        <v>31.8</v>
      </c>
      <c r="AC12" s="299">
        <v>32</v>
      </c>
      <c r="AD12" s="299">
        <v>32.299999999999997</v>
      </c>
      <c r="AE12" s="180">
        <f t="shared" si="11"/>
        <v>128.69999999999999</v>
      </c>
      <c r="AF12" s="299">
        <v>32.700000000000003</v>
      </c>
      <c r="AG12" s="299">
        <v>31</v>
      </c>
      <c r="AH12" s="180">
        <f t="shared" si="12"/>
        <v>63.7</v>
      </c>
      <c r="AI12" s="235">
        <v>6</v>
      </c>
      <c r="AJ12" s="298">
        <v>31.9</v>
      </c>
      <c r="AK12" s="299">
        <v>32.299999999999997</v>
      </c>
      <c r="AL12" s="299">
        <v>32.299999999999997</v>
      </c>
      <c r="AM12" s="299">
        <v>32.4</v>
      </c>
      <c r="AN12" s="180">
        <f t="shared" si="13"/>
        <v>128.89999999999998</v>
      </c>
      <c r="AO12" s="161">
        <v>30.3</v>
      </c>
      <c r="AP12" s="161">
        <v>26</v>
      </c>
      <c r="AQ12" s="180">
        <f t="shared" si="14"/>
        <v>56.3</v>
      </c>
      <c r="AR12" s="235">
        <v>4</v>
      </c>
      <c r="AS12" s="328" t="str">
        <f t="shared" si="15"/>
        <v/>
      </c>
      <c r="AT12" s="333" t="str">
        <f t="shared" si="16"/>
        <v/>
      </c>
      <c r="AU12" s="259" t="str">
        <f t="shared" si="17"/>
        <v/>
      </c>
      <c r="AV12" s="259" t="str">
        <f t="shared" si="18"/>
        <v/>
      </c>
      <c r="AW12" s="298"/>
      <c r="AX12" s="300"/>
      <c r="AY12" s="158"/>
      <c r="AZ12" s="171"/>
      <c r="BA12" s="158"/>
      <c r="BB12" s="171"/>
      <c r="BC12" s="158"/>
      <c r="BD12" s="171"/>
      <c r="BE12" s="158"/>
      <c r="BF12" s="171"/>
      <c r="BG12" s="158"/>
      <c r="BH12" s="171"/>
      <c r="BI12" s="158"/>
      <c r="BJ12" s="171"/>
      <c r="BK12" s="158"/>
      <c r="BL12" s="171"/>
      <c r="BM12" s="158"/>
      <c r="BN12" s="171"/>
    </row>
    <row r="13" spans="1:66" s="11" customFormat="1" x14ac:dyDescent="0.3">
      <c r="A13" s="194"/>
      <c r="B13" s="69" t="s">
        <v>141</v>
      </c>
      <c r="C13" s="70" t="s">
        <v>27</v>
      </c>
      <c r="D13" s="244">
        <v>2017</v>
      </c>
      <c r="E13" s="174">
        <f t="shared" si="0"/>
        <v>303.40000000000003</v>
      </c>
      <c r="F13" s="175"/>
      <c r="G13" s="107" t="str">
        <f>IF('TRA-M'!$A$2-D13&lt;=1,IF(U13&gt;=$W$3,"YES",IF(AE13&gt;=$AF$3,"YES",IF(OR(AN13&gt;=$AO$3, AQ13&gt;=$AO$3),"YES",""))),"")</f>
        <v/>
      </c>
      <c r="H13" s="108" t="str">
        <f t="shared" si="1"/>
        <v/>
      </c>
      <c r="I13" s="109" t="str">
        <f t="shared" si="2"/>
        <v/>
      </c>
      <c r="J13" s="216" t="str">
        <f t="shared" si="3"/>
        <v/>
      </c>
      <c r="K13" s="147">
        <f t="shared" si="4"/>
        <v>123</v>
      </c>
      <c r="L13" s="148"/>
      <c r="M13" s="260">
        <f t="shared" si="5"/>
        <v>52.8</v>
      </c>
      <c r="N13" s="262">
        <f t="shared" si="6"/>
        <v>61.8</v>
      </c>
      <c r="O13" s="149">
        <f t="shared" si="7"/>
        <v>65.8</v>
      </c>
      <c r="P13" s="324" t="str">
        <f t="shared" si="8"/>
        <v/>
      </c>
      <c r="Q13" s="298"/>
      <c r="R13" s="299"/>
      <c r="S13" s="299"/>
      <c r="T13" s="299"/>
      <c r="U13" s="180">
        <f>SUM(Q13:T13)</f>
        <v>0</v>
      </c>
      <c r="V13" s="299"/>
      <c r="W13" s="299"/>
      <c r="X13" s="180">
        <f t="shared" si="9"/>
        <v>0</v>
      </c>
      <c r="Y13" s="180">
        <f t="shared" si="10"/>
        <v>0</v>
      </c>
      <c r="Z13" s="235"/>
      <c r="AA13" s="204">
        <v>21.9</v>
      </c>
      <c r="AB13" s="299">
        <v>30.9</v>
      </c>
      <c r="AC13" s="299">
        <v>31.6</v>
      </c>
      <c r="AD13" s="299">
        <v>30.2</v>
      </c>
      <c r="AE13" s="180">
        <f t="shared" si="11"/>
        <v>114.60000000000001</v>
      </c>
      <c r="AF13" s="299"/>
      <c r="AG13" s="299"/>
      <c r="AH13" s="180">
        <f t="shared" si="12"/>
        <v>0</v>
      </c>
      <c r="AI13" s="235">
        <v>7</v>
      </c>
      <c r="AJ13" s="298">
        <v>33</v>
      </c>
      <c r="AK13" s="299">
        <v>29.3</v>
      </c>
      <c r="AL13" s="299">
        <v>32.799999999999997</v>
      </c>
      <c r="AM13" s="299">
        <v>27.9</v>
      </c>
      <c r="AN13" s="180">
        <f t="shared" si="13"/>
        <v>123</v>
      </c>
      <c r="AO13" s="161">
        <v>33.799999999999997</v>
      </c>
      <c r="AP13" s="161">
        <v>32</v>
      </c>
      <c r="AQ13" s="180">
        <f t="shared" si="14"/>
        <v>65.8</v>
      </c>
      <c r="AR13" s="235">
        <v>2</v>
      </c>
      <c r="AS13" s="328" t="str">
        <f t="shared" si="15"/>
        <v/>
      </c>
      <c r="AT13" s="333" t="str">
        <f t="shared" si="16"/>
        <v/>
      </c>
      <c r="AU13" s="259" t="str">
        <f t="shared" si="17"/>
        <v/>
      </c>
      <c r="AV13" s="259" t="str">
        <f t="shared" si="18"/>
        <v/>
      </c>
      <c r="AW13" s="158"/>
      <c r="AX13" s="171"/>
      <c r="AY13" s="158"/>
      <c r="AZ13" s="171"/>
      <c r="BA13" s="158"/>
      <c r="BB13" s="171"/>
      <c r="BC13" s="158"/>
      <c r="BD13" s="171"/>
      <c r="BE13" s="158"/>
      <c r="BF13" s="171"/>
      <c r="BG13" s="158"/>
      <c r="BH13" s="171"/>
      <c r="BI13" s="158"/>
      <c r="BJ13" s="171"/>
      <c r="BK13" s="158"/>
      <c r="BL13" s="171"/>
      <c r="BM13" s="158"/>
      <c r="BN13" s="171"/>
    </row>
    <row r="14" spans="1:66" s="11" customFormat="1" x14ac:dyDescent="0.3">
      <c r="A14" s="194">
        <v>5</v>
      </c>
      <c r="B14" s="69" t="s">
        <v>107</v>
      </c>
      <c r="C14" s="70" t="s">
        <v>25</v>
      </c>
      <c r="D14" s="295">
        <v>2017</v>
      </c>
      <c r="E14" s="174">
        <f t="shared" si="0"/>
        <v>297.39999999999998</v>
      </c>
      <c r="F14" s="175"/>
      <c r="G14" s="107" t="str">
        <f>IF('TRA-M'!$A$2-D14&lt;=1,IF(U14&gt;=$W$3,"YES",IF(AE14&gt;=$AF$3,"YES",IF(OR(AN14&gt;=$AO$3, AQ14&gt;=$AO$3),"YES",""))),"")</f>
        <v>YES</v>
      </c>
      <c r="H14" s="108" t="str">
        <f t="shared" si="1"/>
        <v/>
      </c>
      <c r="I14" s="109" t="str">
        <f t="shared" si="2"/>
        <v/>
      </c>
      <c r="J14" s="216" t="str">
        <f t="shared" si="3"/>
        <v/>
      </c>
      <c r="K14" s="147">
        <f t="shared" si="4"/>
        <v>100.60000000000001</v>
      </c>
      <c r="L14" s="243"/>
      <c r="M14" s="260">
        <f t="shared" si="5"/>
        <v>66.099999999999994</v>
      </c>
      <c r="N14" s="262">
        <f t="shared" si="6"/>
        <v>65.599999999999994</v>
      </c>
      <c r="O14" s="149">
        <f t="shared" si="7"/>
        <v>65.099999999999994</v>
      </c>
      <c r="P14" s="324" t="str">
        <f t="shared" si="8"/>
        <v/>
      </c>
      <c r="Q14" s="220">
        <v>33.1</v>
      </c>
      <c r="R14" s="222">
        <v>33</v>
      </c>
      <c r="S14" s="222"/>
      <c r="T14" s="222"/>
      <c r="U14" s="221">
        <f>SUM(Q14:T14)</f>
        <v>66.099999999999994</v>
      </c>
      <c r="V14" s="222">
        <v>32.1</v>
      </c>
      <c r="W14" s="222">
        <v>33</v>
      </c>
      <c r="X14" s="221">
        <f t="shared" si="9"/>
        <v>65.099999999999994</v>
      </c>
      <c r="Y14" s="221">
        <f t="shared" si="10"/>
        <v>131.19999999999999</v>
      </c>
      <c r="Z14" s="252"/>
      <c r="AA14" s="298">
        <v>33.9</v>
      </c>
      <c r="AB14" s="299">
        <v>33.5</v>
      </c>
      <c r="AC14" s="299">
        <v>33.200000000000003</v>
      </c>
      <c r="AD14" s="195">
        <v>0</v>
      </c>
      <c r="AE14" s="180">
        <f t="shared" si="11"/>
        <v>100.60000000000001</v>
      </c>
      <c r="AF14" s="299"/>
      <c r="AG14" s="299"/>
      <c r="AH14" s="180">
        <f t="shared" si="12"/>
        <v>0</v>
      </c>
      <c r="AI14" s="235">
        <v>9</v>
      </c>
      <c r="AJ14" s="298">
        <v>34</v>
      </c>
      <c r="AK14" s="195">
        <v>0</v>
      </c>
      <c r="AL14" s="299">
        <v>33.299999999999997</v>
      </c>
      <c r="AM14" s="299">
        <v>32.299999999999997</v>
      </c>
      <c r="AN14" s="180">
        <f t="shared" si="13"/>
        <v>99.6</v>
      </c>
      <c r="AO14" s="161"/>
      <c r="AP14" s="161"/>
      <c r="AQ14" s="180">
        <f t="shared" si="14"/>
        <v>0</v>
      </c>
      <c r="AR14" s="235">
        <v>6</v>
      </c>
      <c r="AS14" s="328" t="str">
        <f t="shared" si="15"/>
        <v/>
      </c>
      <c r="AT14" s="333" t="str">
        <f t="shared" si="16"/>
        <v/>
      </c>
      <c r="AU14" s="259" t="str">
        <f t="shared" si="17"/>
        <v/>
      </c>
      <c r="AV14" s="259" t="str">
        <f t="shared" si="18"/>
        <v/>
      </c>
      <c r="AW14" s="158"/>
      <c r="AX14" s="171"/>
      <c r="AY14" s="158"/>
      <c r="AZ14" s="171"/>
      <c r="BA14" s="158"/>
      <c r="BB14" s="171"/>
      <c r="BC14" s="158"/>
      <c r="BD14" s="171"/>
      <c r="BE14" s="158"/>
      <c r="BF14" s="171"/>
      <c r="BG14" s="158"/>
      <c r="BH14" s="171"/>
      <c r="BI14" s="158"/>
      <c r="BJ14" s="171"/>
      <c r="BK14" s="158"/>
      <c r="BL14" s="171"/>
      <c r="BM14" s="158"/>
      <c r="BN14" s="171"/>
    </row>
    <row r="15" spans="1:66" s="11" customFormat="1" x14ac:dyDescent="0.3">
      <c r="A15" s="194"/>
      <c r="B15" s="69" t="s">
        <v>77</v>
      </c>
      <c r="C15" s="70" t="s">
        <v>27</v>
      </c>
      <c r="D15" s="150">
        <v>2016</v>
      </c>
      <c r="E15" s="174">
        <f t="shared" si="0"/>
        <v>235.5</v>
      </c>
      <c r="F15" s="175"/>
      <c r="G15" s="107" t="str">
        <f>IF('TRA-M'!$A$2-D15&lt;=1,IF(U15&gt;=$W$3,"YES",IF(AE15&gt;=$AF$3,"YES",IF(OR(AN15&gt;=$AO$3, AQ15&gt;=$AO$3),"YES",""))),"")</f>
        <v/>
      </c>
      <c r="H15" s="108" t="str">
        <f t="shared" si="1"/>
        <v/>
      </c>
      <c r="I15" s="109" t="str">
        <f t="shared" si="2"/>
        <v/>
      </c>
      <c r="J15" s="216" t="str">
        <f t="shared" si="3"/>
        <v/>
      </c>
      <c r="K15" s="147">
        <f t="shared" si="4"/>
        <v>56.599999999999994</v>
      </c>
      <c r="L15" s="224">
        <v>62.7</v>
      </c>
      <c r="M15" s="260">
        <f t="shared" si="5"/>
        <v>0</v>
      </c>
      <c r="N15" s="262">
        <f t="shared" si="6"/>
        <v>0</v>
      </c>
      <c r="O15" s="149">
        <f t="shared" si="7"/>
        <v>62.7</v>
      </c>
      <c r="P15" s="324">
        <f t="shared" si="8"/>
        <v>53.5</v>
      </c>
      <c r="Q15" s="204">
        <v>22.8</v>
      </c>
      <c r="R15" s="299">
        <v>33.799999999999997</v>
      </c>
      <c r="S15" s="299"/>
      <c r="T15" s="299"/>
      <c r="U15" s="180">
        <f>SUM(Q15:T15)</f>
        <v>56.599999999999994</v>
      </c>
      <c r="V15" s="299">
        <v>31</v>
      </c>
      <c r="W15" s="299">
        <v>31.7</v>
      </c>
      <c r="X15" s="251">
        <f t="shared" si="9"/>
        <v>62.7</v>
      </c>
      <c r="Y15" s="180">
        <f t="shared" si="10"/>
        <v>119.3</v>
      </c>
      <c r="Z15" s="235">
        <v>6</v>
      </c>
      <c r="AA15" s="298"/>
      <c r="AB15" s="299"/>
      <c r="AC15" s="299"/>
      <c r="AD15" s="299"/>
      <c r="AE15" s="180">
        <f t="shared" si="11"/>
        <v>0</v>
      </c>
      <c r="AF15" s="299"/>
      <c r="AG15" s="299"/>
      <c r="AH15" s="180">
        <f t="shared" si="12"/>
        <v>0</v>
      </c>
      <c r="AI15" s="235"/>
      <c r="AJ15" s="298"/>
      <c r="AK15" s="299"/>
      <c r="AL15" s="299"/>
      <c r="AM15" s="299"/>
      <c r="AN15" s="180">
        <f t="shared" si="13"/>
        <v>0</v>
      </c>
      <c r="AO15" s="161"/>
      <c r="AP15" s="161"/>
      <c r="AQ15" s="180">
        <f t="shared" si="14"/>
        <v>0</v>
      </c>
      <c r="AR15" s="235"/>
      <c r="AS15" s="328">
        <f t="shared" si="15"/>
        <v>53.5</v>
      </c>
      <c r="AT15" s="333">
        <f t="shared" si="16"/>
        <v>-0.80000000000000426</v>
      </c>
      <c r="AU15" s="259">
        <f t="shared" si="17"/>
        <v>53.5</v>
      </c>
      <c r="AV15" s="259">
        <f t="shared" si="18"/>
        <v>61.9</v>
      </c>
      <c r="AW15" s="204">
        <f>22.1+31.4</f>
        <v>53.5</v>
      </c>
      <c r="AX15" s="238">
        <f>30+31.9</f>
        <v>61.9</v>
      </c>
      <c r="AY15" s="158"/>
      <c r="AZ15" s="171"/>
      <c r="BA15" s="158"/>
      <c r="BB15" s="171"/>
      <c r="BC15" s="158"/>
      <c r="BD15" s="171"/>
      <c r="BE15" s="158"/>
      <c r="BF15" s="171"/>
      <c r="BG15" s="158"/>
      <c r="BH15" s="171"/>
      <c r="BI15" s="158"/>
      <c r="BJ15" s="171"/>
      <c r="BK15" s="158"/>
      <c r="BL15" s="171"/>
      <c r="BM15" s="158"/>
      <c r="BN15" s="171"/>
    </row>
    <row r="16" spans="1:66" s="11" customFormat="1" x14ac:dyDescent="0.3">
      <c r="A16" s="297"/>
      <c r="B16" s="69" t="s">
        <v>61</v>
      </c>
      <c r="C16" s="70" t="s">
        <v>26</v>
      </c>
      <c r="D16" s="150">
        <v>2013</v>
      </c>
      <c r="E16" s="174">
        <f t="shared" si="0"/>
        <v>86.15</v>
      </c>
      <c r="F16" s="175"/>
      <c r="G16" s="107" t="str">
        <f>IF('TRA-M'!$A$2-D16&lt;=1,IF(U16&gt;=$W$3,"YES",IF(AE16&gt;=$AF$3,"YES",IF(OR(AN16&gt;=$AO$3, AQ16&gt;=$AO$3),"YES",""))),"")</f>
        <v/>
      </c>
      <c r="H16" s="108" t="str">
        <f t="shared" si="1"/>
        <v/>
      </c>
      <c r="I16" s="109" t="str">
        <f t="shared" si="2"/>
        <v/>
      </c>
      <c r="J16" s="216" t="str">
        <f t="shared" si="3"/>
        <v/>
      </c>
      <c r="K16" s="147">
        <f t="shared" si="4"/>
        <v>32.65</v>
      </c>
      <c r="L16" s="224">
        <v>26.75</v>
      </c>
      <c r="M16" s="260">
        <f t="shared" si="5"/>
        <v>0</v>
      </c>
      <c r="N16" s="262">
        <f t="shared" si="6"/>
        <v>0</v>
      </c>
      <c r="O16" s="149">
        <f t="shared" si="7"/>
        <v>26.75</v>
      </c>
      <c r="P16" s="324" t="str">
        <f t="shared" si="8"/>
        <v/>
      </c>
      <c r="Q16" s="188">
        <v>16.5</v>
      </c>
      <c r="R16" s="189">
        <v>16.149999999999999</v>
      </c>
      <c r="S16" s="189"/>
      <c r="T16" s="189"/>
      <c r="U16" s="190">
        <f>SUM(Q16:T16)</f>
        <v>32.65</v>
      </c>
      <c r="V16" s="189">
        <v>15.6</v>
      </c>
      <c r="W16" s="189">
        <v>11.15</v>
      </c>
      <c r="X16" s="251">
        <f t="shared" si="9"/>
        <v>26.75</v>
      </c>
      <c r="Y16" s="190">
        <f t="shared" si="10"/>
        <v>59.4</v>
      </c>
      <c r="Z16" s="237"/>
      <c r="AA16" s="298"/>
      <c r="AB16" s="299"/>
      <c r="AC16" s="299"/>
      <c r="AD16" s="299"/>
      <c r="AE16" s="180">
        <f t="shared" si="11"/>
        <v>0</v>
      </c>
      <c r="AF16" s="299"/>
      <c r="AG16" s="299"/>
      <c r="AH16" s="180">
        <f t="shared" si="12"/>
        <v>0</v>
      </c>
      <c r="AI16" s="235"/>
      <c r="AJ16" s="188"/>
      <c r="AK16" s="189"/>
      <c r="AL16" s="189"/>
      <c r="AM16" s="189"/>
      <c r="AN16" s="190">
        <f t="shared" si="13"/>
        <v>0</v>
      </c>
      <c r="AO16" s="189"/>
      <c r="AP16" s="189"/>
      <c r="AQ16" s="190">
        <f t="shared" si="14"/>
        <v>0</v>
      </c>
      <c r="AR16" s="237"/>
      <c r="AS16" s="328" t="str">
        <f t="shared" si="15"/>
        <v/>
      </c>
      <c r="AT16" s="333" t="str">
        <f t="shared" si="16"/>
        <v/>
      </c>
      <c r="AU16" s="259" t="str">
        <f t="shared" si="17"/>
        <v/>
      </c>
      <c r="AV16" s="259" t="str">
        <f t="shared" si="18"/>
        <v/>
      </c>
      <c r="AW16" s="158"/>
      <c r="AX16" s="171"/>
      <c r="AY16" s="158"/>
      <c r="AZ16" s="171"/>
      <c r="BA16" s="158"/>
      <c r="BB16" s="171"/>
      <c r="BC16" s="158"/>
      <c r="BD16" s="171"/>
      <c r="BE16" s="158"/>
      <c r="BF16" s="171"/>
      <c r="BG16" s="158"/>
      <c r="BH16" s="171"/>
      <c r="BI16" s="158"/>
      <c r="BJ16" s="171"/>
      <c r="BK16" s="158"/>
      <c r="BL16" s="171"/>
      <c r="BM16" s="158"/>
      <c r="BN16" s="171"/>
    </row>
    <row r="17" spans="2:66" x14ac:dyDescent="0.3">
      <c r="M17" s="260"/>
      <c r="N17" s="262"/>
      <c r="S17" s="161"/>
      <c r="T17" s="161"/>
      <c r="AI17" s="299"/>
      <c r="AJ17" s="299"/>
      <c r="AK17" s="299"/>
      <c r="AL17" s="299"/>
      <c r="AM17" s="299"/>
      <c r="AR17" s="262"/>
      <c r="AS17" s="264" t="str">
        <f t="shared" ref="AS17" si="19">IF($AV17="","",IF($M17&gt;$O17,$AV17-O17,$AV17-M17))</f>
        <v/>
      </c>
      <c r="AT17" s="264"/>
      <c r="AU17" s="264"/>
      <c r="AV17" s="262" t="str">
        <f t="shared" ref="AV17" si="20">IF(MAX($AW17:$HL17)=0,"",MAX($AW17:$HL17))</f>
        <v/>
      </c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1"/>
      <c r="BK17" s="161"/>
      <c r="BL17" s="161"/>
      <c r="BM17" s="161"/>
      <c r="BN17" s="161"/>
    </row>
    <row r="18" spans="2:66" x14ac:dyDescent="0.3">
      <c r="AW18" s="69"/>
      <c r="AX18" s="69"/>
      <c r="AY18" s="69"/>
      <c r="AZ18" s="69"/>
      <c r="BA18" s="69"/>
      <c r="BB18" s="69"/>
      <c r="BC18" s="69"/>
      <c r="BD18" s="69"/>
    </row>
    <row r="19" spans="2:66" x14ac:dyDescent="0.3">
      <c r="B19" s="256" t="s">
        <v>58</v>
      </c>
      <c r="AW19" s="78" t="s">
        <v>113</v>
      </c>
      <c r="AX19" s="69"/>
      <c r="AY19" s="145"/>
      <c r="AZ19" s="69"/>
      <c r="BA19" s="145"/>
      <c r="BB19" s="69"/>
      <c r="BC19" s="145"/>
      <c r="BD19" s="69"/>
    </row>
    <row r="20" spans="2:66" x14ac:dyDescent="0.3">
      <c r="B20" s="253" t="s">
        <v>148</v>
      </c>
      <c r="C20" s="90"/>
      <c r="D20" s="90"/>
      <c r="E20" s="90"/>
      <c r="F20" s="70"/>
      <c r="I20" s="119"/>
      <c r="J20" s="119"/>
      <c r="AY20" s="161"/>
      <c r="AZ20" s="161"/>
      <c r="BA20" s="161"/>
      <c r="BB20" s="161"/>
      <c r="BC20" s="161"/>
      <c r="BD20" s="161"/>
    </row>
    <row r="21" spans="2:66" x14ac:dyDescent="0.3">
      <c r="B21" s="254" t="s">
        <v>67</v>
      </c>
      <c r="C21" s="82"/>
      <c r="D21" s="82"/>
      <c r="E21" s="82"/>
      <c r="F21" s="82"/>
      <c r="G21" s="82"/>
      <c r="H21" s="83"/>
      <c r="I21" s="121"/>
      <c r="J21" s="122"/>
      <c r="AY21" s="161"/>
      <c r="AZ21" s="161"/>
    </row>
    <row r="22" spans="2:66" x14ac:dyDescent="0.3">
      <c r="B22" s="255" t="s">
        <v>142</v>
      </c>
      <c r="C22" s="199"/>
      <c r="D22" s="199"/>
      <c r="E22" s="199"/>
      <c r="F22" s="304"/>
      <c r="G22" s="168"/>
      <c r="H22" s="168"/>
      <c r="K22" s="168"/>
      <c r="L22" s="168"/>
      <c r="Q22" s="150"/>
      <c r="V22" s="169"/>
    </row>
    <row r="23" spans="2:66" x14ac:dyDescent="0.3">
      <c r="B23" s="33" t="s">
        <v>140</v>
      </c>
      <c r="I23" s="119"/>
      <c r="J23" s="119"/>
    </row>
    <row r="24" spans="2:66" x14ac:dyDescent="0.3">
      <c r="B24" s="33" t="s">
        <v>52</v>
      </c>
      <c r="I24" s="119"/>
      <c r="J24" s="119"/>
    </row>
  </sheetData>
  <sortState ref="A7:BN16">
    <sortCondition descending="1" ref="F7:F16"/>
    <sortCondition descending="1" ref="H7:H16"/>
    <sortCondition descending="1" ref="E7:E16"/>
  </sortState>
  <mergeCells count="39">
    <mergeCell ref="AW1:AX1"/>
    <mergeCell ref="AY1:AZ1"/>
    <mergeCell ref="AW2:AX2"/>
    <mergeCell ref="AY2:AZ2"/>
    <mergeCell ref="K2:O2"/>
    <mergeCell ref="K1:O1"/>
    <mergeCell ref="AA1:AI1"/>
    <mergeCell ref="AJ1:AR1"/>
    <mergeCell ref="AA2:AI2"/>
    <mergeCell ref="AJ2:AR2"/>
    <mergeCell ref="Q1:Z1"/>
    <mergeCell ref="Q2:Z2"/>
    <mergeCell ref="AS1:AT1"/>
    <mergeCell ref="AU1:AV1"/>
    <mergeCell ref="AS2:AT2"/>
    <mergeCell ref="AU2:AV2"/>
    <mergeCell ref="BG3:BH3"/>
    <mergeCell ref="BI3:BJ3"/>
    <mergeCell ref="BK3:BL3"/>
    <mergeCell ref="BM3:BN3"/>
    <mergeCell ref="AW3:AX3"/>
    <mergeCell ref="AY3:AZ3"/>
    <mergeCell ref="BA3:BB3"/>
    <mergeCell ref="BC3:BD3"/>
    <mergeCell ref="BE3:BF3"/>
    <mergeCell ref="BA1:BB1"/>
    <mergeCell ref="BA2:BB2"/>
    <mergeCell ref="BC1:BD1"/>
    <mergeCell ref="BC2:BD2"/>
    <mergeCell ref="BE1:BF1"/>
    <mergeCell ref="BE2:BF2"/>
    <mergeCell ref="BM1:BN1"/>
    <mergeCell ref="BM2:BN2"/>
    <mergeCell ref="BG1:BH1"/>
    <mergeCell ref="BG2:BH2"/>
    <mergeCell ref="BI1:BJ1"/>
    <mergeCell ref="BI2:BJ2"/>
    <mergeCell ref="BK1:BL1"/>
    <mergeCell ref="BK2:BL2"/>
  </mergeCells>
  <phoneticPr fontId="0" type="noConversion"/>
  <pageMargins left="0.66929133858267698" right="0.66929133858267698" top="0.98425196850393704" bottom="0.78740157480314998" header="0.511811023622047" footer="0.511811023622047"/>
  <pageSetup scale="44" orientation="landscape" r:id="rId1"/>
  <headerFooter alignWithMargins="0">
    <oddHeader>&amp;L&amp;A&amp;R&amp;F</oddHeader>
    <oddFooter>&amp;CPage &amp;P</oddFooter>
  </headerFooter>
  <colBreaks count="2" manualBreakCount="2">
    <brk id="26" max="24" man="1"/>
    <brk id="52" max="2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TRA-M</vt:lpstr>
      <vt:lpstr>TRA-W</vt:lpstr>
      <vt:lpstr>SYN-M</vt:lpstr>
      <vt:lpstr>SYN-W</vt:lpstr>
      <vt:lpstr>TUM-M</vt:lpstr>
      <vt:lpstr>TUM-W</vt:lpstr>
      <vt:lpstr>DMT-M</vt:lpstr>
      <vt:lpstr>DMT-W</vt:lpstr>
      <vt:lpstr>'DMT-M'!Print_Area</vt:lpstr>
      <vt:lpstr>'DMT-W'!Print_Area</vt:lpstr>
      <vt:lpstr>'SYN-M'!Print_Area</vt:lpstr>
      <vt:lpstr>'SYN-W'!Print_Area</vt:lpstr>
      <vt:lpstr>'TRA-M'!Print_Area</vt:lpstr>
      <vt:lpstr>'TRA-W'!Print_Area</vt:lpstr>
      <vt:lpstr>'TUM-M'!Print_Area</vt:lpstr>
      <vt:lpstr>'TUM-W'!Print_Area</vt:lpstr>
    </vt:vector>
  </TitlesOfParts>
  <Company>Technologies Azur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w-rd-010</dc:creator>
  <cp:lastModifiedBy>Stephan Duchesne</cp:lastModifiedBy>
  <cp:lastPrinted>2007-09-20T21:14:12Z</cp:lastPrinted>
  <dcterms:created xsi:type="dcterms:W3CDTF">2004-04-14T14:55:58Z</dcterms:created>
  <dcterms:modified xsi:type="dcterms:W3CDTF">2017-08-03T13:07:04Z</dcterms:modified>
</cp:coreProperties>
</file>