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165" yWindow="150" windowWidth="13995" windowHeight="5700"/>
  </bookViews>
  <sheets>
    <sheet name="TRA-M" sheetId="1" r:id="rId1"/>
    <sheet name="TRA-W" sheetId="4" r:id="rId2"/>
    <sheet name="TUM-M" sheetId="3" r:id="rId3"/>
    <sheet name="TUM-W" sheetId="5" r:id="rId4"/>
    <sheet name="DMT-M" sheetId="2" r:id="rId5"/>
    <sheet name="DMT-W" sheetId="6" r:id="rId6"/>
  </sheets>
  <definedNames>
    <definedName name="_xlnm.Print_Area" localSheetId="4">'DMT-M'!$A$1:$BA$30</definedName>
    <definedName name="_xlnm.Print_Area" localSheetId="5">'DMT-W'!$A$1:$AY$30</definedName>
    <definedName name="_xlnm.Print_Area" localSheetId="0">'TRA-M'!$A$1:$BR$35</definedName>
    <definedName name="_xlnm.Print_Area" localSheetId="1">'TRA-W'!$A$1:$BK$30</definedName>
    <definedName name="_xlnm.Print_Area" localSheetId="2">'TUM-M'!$A$1:$AL$30</definedName>
    <definedName name="_xlnm.Print_Area" localSheetId="3">'TUM-W'!$A$1:$AP$30</definedName>
  </definedNames>
  <calcPr calcId="125725"/>
</workbook>
</file>

<file path=xl/calcChain.xml><?xml version="1.0" encoding="utf-8"?>
<calcChain xmlns="http://schemas.openxmlformats.org/spreadsheetml/2006/main">
  <c r="Q9" i="6"/>
  <c r="O9"/>
  <c r="M9"/>
  <c r="P9" s="1"/>
  <c r="Q8"/>
  <c r="O8"/>
  <c r="M8"/>
  <c r="P8" s="1"/>
  <c r="Q7"/>
  <c r="O7"/>
  <c r="M7"/>
  <c r="P7" s="1"/>
  <c r="BJ12" i="1"/>
  <c r="BG12"/>
  <c r="BA8" i="2"/>
  <c r="AZ8"/>
  <c r="AW9" i="6"/>
  <c r="AV9" s="1"/>
  <c r="R9" s="1"/>
  <c r="AW8"/>
  <c r="AW7"/>
  <c r="AY7"/>
  <c r="AX7"/>
  <c r="AY8"/>
  <c r="AX8"/>
  <c r="AT9"/>
  <c r="AQ9"/>
  <c r="AJ9"/>
  <c r="AG9"/>
  <c r="Z9"/>
  <c r="W9"/>
  <c r="J9"/>
  <c r="AG8"/>
  <c r="AG7"/>
  <c r="W7"/>
  <c r="W8"/>
  <c r="AQ7"/>
  <c r="AQ8"/>
  <c r="AA9" l="1"/>
  <c r="AK9"/>
  <c r="K9"/>
  <c r="L9"/>
  <c r="H9" l="1"/>
  <c r="AJ7" l="1"/>
  <c r="AK7" s="1"/>
  <c r="AJ8"/>
  <c r="AK8" s="1"/>
  <c r="Z7"/>
  <c r="AA7" s="1"/>
  <c r="Z8"/>
  <c r="AA8" s="1"/>
  <c r="BA14" i="2" l="1"/>
  <c r="BA7"/>
  <c r="BA9"/>
  <c r="AZ14"/>
  <c r="AZ7"/>
  <c r="AZ9"/>
  <c r="AY10"/>
  <c r="AX10"/>
  <c r="AG11"/>
  <c r="AG10"/>
  <c r="AG9"/>
  <c r="AG7"/>
  <c r="AG14"/>
  <c r="AG13"/>
  <c r="AG12"/>
  <c r="AG8"/>
  <c r="W11"/>
  <c r="W9"/>
  <c r="W7"/>
  <c r="W14"/>
  <c r="W13"/>
  <c r="W12"/>
  <c r="W10"/>
  <c r="W8"/>
  <c r="AW12"/>
  <c r="AV12" s="1"/>
  <c r="AT12"/>
  <c r="AQ12"/>
  <c r="AJ12"/>
  <c r="Z12"/>
  <c r="AW8"/>
  <c r="AT8"/>
  <c r="AQ8"/>
  <c r="AJ8"/>
  <c r="Z8"/>
  <c r="AJ13"/>
  <c r="AW13"/>
  <c r="AV13" s="1"/>
  <c r="AT13"/>
  <c r="AQ13"/>
  <c r="Z13"/>
  <c r="AQ14"/>
  <c r="AQ9"/>
  <c r="AQ7"/>
  <c r="AQ11"/>
  <c r="AQ10"/>
  <c r="Q8" l="1"/>
  <c r="Q13"/>
  <c r="Q12"/>
  <c r="R12"/>
  <c r="M10"/>
  <c r="M7"/>
  <c r="M8"/>
  <c r="M14"/>
  <c r="M13"/>
  <c r="M11"/>
  <c r="M12"/>
  <c r="M9"/>
  <c r="AK8"/>
  <c r="AK13"/>
  <c r="AK12"/>
  <c r="AA12"/>
  <c r="AA8"/>
  <c r="L12"/>
  <c r="J12"/>
  <c r="K12"/>
  <c r="L8"/>
  <c r="J8"/>
  <c r="K8"/>
  <c r="AA13"/>
  <c r="K13"/>
  <c r="L13"/>
  <c r="J13"/>
  <c r="P11" l="1"/>
  <c r="O11"/>
  <c r="P7"/>
  <c r="O7"/>
  <c r="O12"/>
  <c r="P12"/>
  <c r="P8"/>
  <c r="O8"/>
  <c r="AV8" s="1"/>
  <c r="O9"/>
  <c r="P9"/>
  <c r="P14"/>
  <c r="O14"/>
  <c r="P13"/>
  <c r="O13"/>
  <c r="P10"/>
  <c r="O10"/>
  <c r="R13"/>
  <c r="H13" l="1"/>
  <c r="H12"/>
  <c r="Z14" l="1"/>
  <c r="AJ14"/>
  <c r="AK14" s="1"/>
  <c r="AT14"/>
  <c r="AW14"/>
  <c r="AJ9"/>
  <c r="AJ7"/>
  <c r="AJ11"/>
  <c r="AJ10"/>
  <c r="AK10" s="1"/>
  <c r="Z9"/>
  <c r="Z7"/>
  <c r="Z11"/>
  <c r="Z10"/>
  <c r="Z7" i="5"/>
  <c r="P7" s="1"/>
  <c r="AE11"/>
  <c r="AE7"/>
  <c r="AW7"/>
  <c r="AS7"/>
  <c r="AO7"/>
  <c r="AL7"/>
  <c r="AK7"/>
  <c r="AJ7"/>
  <c r="AD7"/>
  <c r="Y7"/>
  <c r="T7"/>
  <c r="Z12"/>
  <c r="Y12"/>
  <c r="Z11"/>
  <c r="Y11"/>
  <c r="Z10"/>
  <c r="Y10"/>
  <c r="Y8"/>
  <c r="Z9"/>
  <c r="Y9"/>
  <c r="T12"/>
  <c r="U11"/>
  <c r="T11"/>
  <c r="U10"/>
  <c r="T10"/>
  <c r="T8"/>
  <c r="T9"/>
  <c r="AE9" i="3"/>
  <c r="AD9"/>
  <c r="AE10"/>
  <c r="AE7"/>
  <c r="Z10"/>
  <c r="Y10"/>
  <c r="Y9"/>
  <c r="Z8"/>
  <c r="Y8"/>
  <c r="Z7"/>
  <c r="Y7"/>
  <c r="U10"/>
  <c r="T10"/>
  <c r="T9"/>
  <c r="T8"/>
  <c r="U7"/>
  <c r="T7"/>
  <c r="AF10" i="4"/>
  <c r="AD10"/>
  <c r="AK8"/>
  <c r="AM8"/>
  <c r="AP10"/>
  <c r="AM10"/>
  <c r="AK10"/>
  <c r="EV10"/>
  <c r="EO10"/>
  <c r="EH10"/>
  <c r="EA10"/>
  <c r="DT10"/>
  <c r="DM10"/>
  <c r="DF10"/>
  <c r="CY10"/>
  <c r="CR10"/>
  <c r="CK10"/>
  <c r="CD10"/>
  <c r="BW10"/>
  <c r="BP10"/>
  <c r="BI10"/>
  <c r="BB10"/>
  <c r="AW10"/>
  <c r="AV10"/>
  <c r="AS10" s="1"/>
  <c r="AU10"/>
  <c r="AT10"/>
  <c r="AR10"/>
  <c r="AO10"/>
  <c r="T10"/>
  <c r="AH10"/>
  <c r="AA10"/>
  <c r="BI18"/>
  <c r="BI9"/>
  <c r="BI8"/>
  <c r="BJ7"/>
  <c r="BI7"/>
  <c r="BG7"/>
  <c r="BB18"/>
  <c r="BB9"/>
  <c r="BC8"/>
  <c r="AZ8"/>
  <c r="BB8" s="1"/>
  <c r="BB7"/>
  <c r="AP7"/>
  <c r="AM7"/>
  <c r="AK7"/>
  <c r="AI9"/>
  <c r="AF9"/>
  <c r="AD9"/>
  <c r="AH9" s="1"/>
  <c r="AI8"/>
  <c r="AF8"/>
  <c r="AH8" s="1"/>
  <c r="AD8"/>
  <c r="AI7"/>
  <c r="AF7"/>
  <c r="AH7" s="1"/>
  <c r="AD7"/>
  <c r="AB9"/>
  <c r="Y9"/>
  <c r="W9"/>
  <c r="AA9" s="1"/>
  <c r="AA8"/>
  <c r="AB7"/>
  <c r="Y7"/>
  <c r="W7"/>
  <c r="AA7" s="1"/>
  <c r="AP10" i="1"/>
  <c r="AM10"/>
  <c r="AK10"/>
  <c r="AP7"/>
  <c r="AM7"/>
  <c r="AK7"/>
  <c r="AO10"/>
  <c r="AA7" i="2" l="1"/>
  <c r="Q14"/>
  <c r="AV14" s="1"/>
  <c r="AA10"/>
  <c r="L14"/>
  <c r="AA11"/>
  <c r="AA9"/>
  <c r="J14"/>
  <c r="AA14"/>
  <c r="K14"/>
  <c r="AK9"/>
  <c r="AK11"/>
  <c r="AK7"/>
  <c r="AI7" i="5"/>
  <c r="K7"/>
  <c r="J7"/>
  <c r="M7"/>
  <c r="L7"/>
  <c r="V10" i="4"/>
  <c r="J10"/>
  <c r="M10"/>
  <c r="K10"/>
  <c r="L10"/>
  <c r="N10"/>
  <c r="R14" i="2" l="1"/>
  <c r="H14" s="1"/>
  <c r="O7" i="5"/>
  <c r="AH7" s="1"/>
  <c r="N7"/>
  <c r="AG7" s="1"/>
  <c r="P10" i="4"/>
  <c r="R10"/>
  <c r="Q7" i="5" l="1"/>
  <c r="H7" s="1"/>
  <c r="H10" i="4"/>
  <c r="AD12" i="1" l="1"/>
  <c r="AF12"/>
  <c r="AH12" s="1"/>
  <c r="AI15"/>
  <c r="AF15"/>
  <c r="AD15"/>
  <c r="AI16"/>
  <c r="AF16"/>
  <c r="AD16"/>
  <c r="AB12"/>
  <c r="Y12"/>
  <c r="AA12" s="1"/>
  <c r="W12"/>
  <c r="AB16"/>
  <c r="Y16"/>
  <c r="W16"/>
  <c r="AA16" s="1"/>
  <c r="Y15"/>
  <c r="AB15"/>
  <c r="T15" s="1"/>
  <c r="W15"/>
  <c r="AK13"/>
  <c r="AM13"/>
  <c r="AM15"/>
  <c r="AK15"/>
  <c r="EV15"/>
  <c r="EO15"/>
  <c r="EH15"/>
  <c r="EA15"/>
  <c r="DT15"/>
  <c r="DM15"/>
  <c r="DF15"/>
  <c r="CY15"/>
  <c r="CR15"/>
  <c r="CK15"/>
  <c r="CD15"/>
  <c r="BI15"/>
  <c r="BB15"/>
  <c r="AW15"/>
  <c r="AT15" s="1"/>
  <c r="AV15"/>
  <c r="AS15" s="1"/>
  <c r="AU15"/>
  <c r="AR15" s="1"/>
  <c r="AH15"/>
  <c r="AM14"/>
  <c r="AK14"/>
  <c r="AK9"/>
  <c r="AP9"/>
  <c r="AM9"/>
  <c r="AP12"/>
  <c r="T12" s="1"/>
  <c r="AM12"/>
  <c r="AK12"/>
  <c r="EV12"/>
  <c r="EO12"/>
  <c r="EH12"/>
  <c r="EA12"/>
  <c r="DT12"/>
  <c r="DM12"/>
  <c r="DF12"/>
  <c r="CY12"/>
  <c r="CR12"/>
  <c r="CK12"/>
  <c r="CD12"/>
  <c r="BI12"/>
  <c r="BB12"/>
  <c r="AW12"/>
  <c r="AT12" s="1"/>
  <c r="AV12"/>
  <c r="AU12"/>
  <c r="AM16"/>
  <c r="AP16"/>
  <c r="AK16"/>
  <c r="EV16"/>
  <c r="EO16"/>
  <c r="EH16"/>
  <c r="EA16"/>
  <c r="DT16"/>
  <c r="DM16"/>
  <c r="DF16"/>
  <c r="CY16"/>
  <c r="CR16"/>
  <c r="CK16"/>
  <c r="CD16"/>
  <c r="BI16"/>
  <c r="BB16"/>
  <c r="AW16"/>
  <c r="AT16" s="1"/>
  <c r="AV16"/>
  <c r="AS16" s="1"/>
  <c r="AU16"/>
  <c r="AR16" s="1"/>
  <c r="AH16"/>
  <c r="T16"/>
  <c r="AP11"/>
  <c r="AM11"/>
  <c r="AK11"/>
  <c r="AP8"/>
  <c r="AM8"/>
  <c r="AK8"/>
  <c r="BP10"/>
  <c r="BP9"/>
  <c r="BQ7"/>
  <c r="BN7"/>
  <c r="BL7"/>
  <c r="BI17"/>
  <c r="BJ13"/>
  <c r="BG13"/>
  <c r="BI13" s="1"/>
  <c r="BI14"/>
  <c r="BI11"/>
  <c r="BI10"/>
  <c r="BJ8"/>
  <c r="BG8"/>
  <c r="BI8" s="1"/>
  <c r="BI9"/>
  <c r="BI7"/>
  <c r="BW10"/>
  <c r="BW9"/>
  <c r="BW7"/>
  <c r="AO15" l="1"/>
  <c r="AA15"/>
  <c r="M15" s="1"/>
  <c r="AO12"/>
  <c r="M12" s="1"/>
  <c r="BP7"/>
  <c r="V15"/>
  <c r="L15"/>
  <c r="N15"/>
  <c r="J12"/>
  <c r="AO16"/>
  <c r="N16" s="1"/>
  <c r="R16" s="1"/>
  <c r="V16"/>
  <c r="BB17"/>
  <c r="BB13"/>
  <c r="BC14"/>
  <c r="AZ14"/>
  <c r="BB14" s="1"/>
  <c r="BB11"/>
  <c r="AZ10"/>
  <c r="BB10" s="1"/>
  <c r="BB8"/>
  <c r="BC9"/>
  <c r="AZ9"/>
  <c r="BB9" s="1"/>
  <c r="AZ7"/>
  <c r="BB7" s="1"/>
  <c r="K15" l="1"/>
  <c r="J15"/>
  <c r="N12"/>
  <c r="L12"/>
  <c r="K12"/>
  <c r="K16"/>
  <c r="M16"/>
  <c r="L16"/>
  <c r="J16"/>
  <c r="R15"/>
  <c r="P15"/>
  <c r="R12"/>
  <c r="AS12" s="1"/>
  <c r="P12"/>
  <c r="AR12" s="1"/>
  <c r="V12" s="1"/>
  <c r="P16"/>
  <c r="H16" s="1"/>
  <c r="H15" l="1"/>
  <c r="H12"/>
  <c r="AF17" l="1"/>
  <c r="AD17"/>
  <c r="AI13"/>
  <c r="AF13"/>
  <c r="AD13"/>
  <c r="AH13" s="1"/>
  <c r="AI14"/>
  <c r="AF14"/>
  <c r="AD14"/>
  <c r="AI11"/>
  <c r="AF11"/>
  <c r="AD11"/>
  <c r="AI10"/>
  <c r="AF10"/>
  <c r="AD10"/>
  <c r="AI8"/>
  <c r="AF8"/>
  <c r="AD8"/>
  <c r="AH8" s="1"/>
  <c r="AI9"/>
  <c r="AF9"/>
  <c r="AD9"/>
  <c r="AI7"/>
  <c r="AF7"/>
  <c r="AD7"/>
  <c r="AB17"/>
  <c r="Y17"/>
  <c r="W17"/>
  <c r="AB13"/>
  <c r="Y13"/>
  <c r="W13"/>
  <c r="AA13" s="1"/>
  <c r="AB14"/>
  <c r="Y14"/>
  <c r="W14"/>
  <c r="AB11"/>
  <c r="Y11"/>
  <c r="W11"/>
  <c r="AB10"/>
  <c r="Y10"/>
  <c r="W10"/>
  <c r="AB8"/>
  <c r="Y8"/>
  <c r="W8"/>
  <c r="AB9"/>
  <c r="Y9"/>
  <c r="AA9" s="1"/>
  <c r="W9"/>
  <c r="AB7"/>
  <c r="Y7"/>
  <c r="W7"/>
  <c r="AA7" l="1"/>
  <c r="AA10"/>
  <c r="AH7"/>
  <c r="AH11"/>
  <c r="AA11"/>
  <c r="AA8"/>
  <c r="AA14"/>
  <c r="AA17"/>
  <c r="AH10"/>
  <c r="AH17"/>
  <c r="AH9"/>
  <c r="AH14"/>
  <c r="BP9" i="4"/>
  <c r="BP8"/>
  <c r="BP7"/>
  <c r="BW18"/>
  <c r="AW10" i="2" l="1"/>
  <c r="AT10"/>
  <c r="AW10" i="3"/>
  <c r="AO10"/>
  <c r="AL10"/>
  <c r="AI10" s="1"/>
  <c r="AK10"/>
  <c r="AH10" s="1"/>
  <c r="AJ10"/>
  <c r="AG10" s="1"/>
  <c r="AD10"/>
  <c r="M10" s="1"/>
  <c r="O10" s="1"/>
  <c r="P10"/>
  <c r="K10"/>
  <c r="AW8"/>
  <c r="AO8"/>
  <c r="AL8"/>
  <c r="AI8" s="1"/>
  <c r="AK8"/>
  <c r="AH8" s="1"/>
  <c r="AJ8"/>
  <c r="AG8" s="1"/>
  <c r="AD8"/>
  <c r="L8" s="1"/>
  <c r="P8"/>
  <c r="K7"/>
  <c r="P11" i="5"/>
  <c r="AW10"/>
  <c r="AS10"/>
  <c r="AO10"/>
  <c r="AL10"/>
  <c r="AI10" s="1"/>
  <c r="AK10"/>
  <c r="AH10" s="1"/>
  <c r="AJ10"/>
  <c r="AG10" s="1"/>
  <c r="AD10"/>
  <c r="M10" s="1"/>
  <c r="N10" s="1"/>
  <c r="P10"/>
  <c r="AW11"/>
  <c r="AS11"/>
  <c r="AO11"/>
  <c r="AL11"/>
  <c r="AK11"/>
  <c r="AJ11"/>
  <c r="AD11"/>
  <c r="M11" s="1"/>
  <c r="L11"/>
  <c r="AW9"/>
  <c r="AS9"/>
  <c r="AO9"/>
  <c r="AL9"/>
  <c r="AI9" s="1"/>
  <c r="AK9"/>
  <c r="AH9" s="1"/>
  <c r="AJ9"/>
  <c r="AG9" s="1"/>
  <c r="AD9"/>
  <c r="L9" s="1"/>
  <c r="P9"/>
  <c r="J9"/>
  <c r="T8" i="4"/>
  <c r="AO8"/>
  <c r="AO7"/>
  <c r="AO17" i="1"/>
  <c r="EV14"/>
  <c r="EO14"/>
  <c r="EH14"/>
  <c r="EA14"/>
  <c r="DT14"/>
  <c r="DM14"/>
  <c r="DF14"/>
  <c r="CY14"/>
  <c r="CR14"/>
  <c r="CK14"/>
  <c r="CD14"/>
  <c r="AW14"/>
  <c r="AV14"/>
  <c r="AU14"/>
  <c r="T14"/>
  <c r="J14"/>
  <c r="EV13"/>
  <c r="EO13"/>
  <c r="EH13"/>
  <c r="EA13"/>
  <c r="DT13"/>
  <c r="DM13"/>
  <c r="DF13"/>
  <c r="CY13"/>
  <c r="CR13"/>
  <c r="CK13"/>
  <c r="CD13"/>
  <c r="AW13"/>
  <c r="AV13"/>
  <c r="AU13"/>
  <c r="AO13"/>
  <c r="T13"/>
  <c r="EV9" i="4"/>
  <c r="EO9"/>
  <c r="EH9"/>
  <c r="EA9"/>
  <c r="DT9"/>
  <c r="DM9"/>
  <c r="DF9"/>
  <c r="CY9"/>
  <c r="CR9"/>
  <c r="CK9"/>
  <c r="CD9"/>
  <c r="BW9"/>
  <c r="AW9"/>
  <c r="AT9" s="1"/>
  <c r="AV9"/>
  <c r="AS9" s="1"/>
  <c r="AU9"/>
  <c r="AR9" s="1"/>
  <c r="J9"/>
  <c r="EV11" i="1"/>
  <c r="EO11"/>
  <c r="EH11"/>
  <c r="EA11"/>
  <c r="DT11"/>
  <c r="DM11"/>
  <c r="DF11"/>
  <c r="CY11"/>
  <c r="CR11"/>
  <c r="CK11"/>
  <c r="CD11"/>
  <c r="AW11"/>
  <c r="AT11" s="1"/>
  <c r="AV11"/>
  <c r="AS11" s="1"/>
  <c r="AU11"/>
  <c r="AR11" s="1"/>
  <c r="T11"/>
  <c r="EV10"/>
  <c r="EO10"/>
  <c r="EH10"/>
  <c r="EA10"/>
  <c r="DT10"/>
  <c r="DM10"/>
  <c r="DF10"/>
  <c r="CY10"/>
  <c r="CR10"/>
  <c r="CK10"/>
  <c r="CD10"/>
  <c r="AW10"/>
  <c r="AT10" s="1"/>
  <c r="AV10"/>
  <c r="AU10"/>
  <c r="T10"/>
  <c r="EV17"/>
  <c r="EO17"/>
  <c r="EH17"/>
  <c r="EA17"/>
  <c r="DT17"/>
  <c r="DM17"/>
  <c r="DF17"/>
  <c r="CY17"/>
  <c r="CR17"/>
  <c r="CK17"/>
  <c r="CD17"/>
  <c r="AW17"/>
  <c r="AT17" s="1"/>
  <c r="AV17"/>
  <c r="AS17" s="1"/>
  <c r="AU17"/>
  <c r="AR17" s="1"/>
  <c r="T17"/>
  <c r="AW12" i="5"/>
  <c r="AS12"/>
  <c r="AO12"/>
  <c r="AL12"/>
  <c r="AK12"/>
  <c r="AJ12"/>
  <c r="AD12"/>
  <c r="P12"/>
  <c r="J12"/>
  <c r="AO11" i="1"/>
  <c r="K12" i="5"/>
  <c r="M12"/>
  <c r="N12" s="1"/>
  <c r="AG12" s="1"/>
  <c r="L12"/>
  <c r="AW11" i="2"/>
  <c r="AV11" s="1"/>
  <c r="AT11"/>
  <c r="Q11" s="1"/>
  <c r="AV8" i="1"/>
  <c r="AW7" i="2"/>
  <c r="AT7"/>
  <c r="EV9" i="1"/>
  <c r="EO9"/>
  <c r="EH9"/>
  <c r="EA9"/>
  <c r="DT9"/>
  <c r="DM9"/>
  <c r="DF9"/>
  <c r="CY9"/>
  <c r="CR9"/>
  <c r="CK9"/>
  <c r="CD9"/>
  <c r="AW9"/>
  <c r="AV9"/>
  <c r="AU9"/>
  <c r="AO9"/>
  <c r="T9"/>
  <c r="EV8"/>
  <c r="EO8"/>
  <c r="EH8"/>
  <c r="EA8"/>
  <c r="DT8"/>
  <c r="DM8"/>
  <c r="DF8"/>
  <c r="CY8"/>
  <c r="CR8"/>
  <c r="CK8"/>
  <c r="CD8"/>
  <c r="AW8"/>
  <c r="AU8"/>
  <c r="AO8"/>
  <c r="T8"/>
  <c r="AV7" i="6"/>
  <c r="R7" s="1"/>
  <c r="AT7"/>
  <c r="L7" i="2"/>
  <c r="J7"/>
  <c r="J7" i="6"/>
  <c r="L7"/>
  <c r="K7"/>
  <c r="EV7" i="1"/>
  <c r="EO7"/>
  <c r="EH7"/>
  <c r="EA7"/>
  <c r="DT7"/>
  <c r="DM7"/>
  <c r="DF7"/>
  <c r="CY7"/>
  <c r="CR7"/>
  <c r="CK7"/>
  <c r="CD7"/>
  <c r="AW7"/>
  <c r="AU7"/>
  <c r="AO7"/>
  <c r="T7"/>
  <c r="AW8" i="5"/>
  <c r="AS8"/>
  <c r="AO8"/>
  <c r="AL8"/>
  <c r="AK8"/>
  <c r="AJ8"/>
  <c r="AD8"/>
  <c r="M8" s="1"/>
  <c r="N8" s="1"/>
  <c r="P8"/>
  <c r="K8" i="6"/>
  <c r="BP18" i="4"/>
  <c r="CD18"/>
  <c r="CD7"/>
  <c r="CD8"/>
  <c r="AW9" i="3"/>
  <c r="AO9"/>
  <c r="AL9"/>
  <c r="AI9" s="1"/>
  <c r="AK9"/>
  <c r="AH9" s="1"/>
  <c r="AJ9"/>
  <c r="AG9" s="1"/>
  <c r="M9"/>
  <c r="O9" s="1"/>
  <c r="P9"/>
  <c r="AW9" i="2"/>
  <c r="AV9" s="1"/>
  <c r="AT9"/>
  <c r="Q9" s="1"/>
  <c r="AT8" i="6"/>
  <c r="AW7" i="3"/>
  <c r="AL7"/>
  <c r="AI7" s="1"/>
  <c r="AK7"/>
  <c r="AH7" s="1"/>
  <c r="AJ7"/>
  <c r="AG7" s="1"/>
  <c r="AD7"/>
  <c r="P7"/>
  <c r="EV8" i="4"/>
  <c r="EO8"/>
  <c r="EH8"/>
  <c r="EA8"/>
  <c r="DT8"/>
  <c r="DM8"/>
  <c r="DF8"/>
  <c r="CY8"/>
  <c r="CR8"/>
  <c r="CK8"/>
  <c r="AW8"/>
  <c r="AV8"/>
  <c r="AU8"/>
  <c r="CK7"/>
  <c r="CR7"/>
  <c r="CY7"/>
  <c r="DF7"/>
  <c r="DM7"/>
  <c r="DT7"/>
  <c r="EA7"/>
  <c r="EH7"/>
  <c r="EV7"/>
  <c r="T7"/>
  <c r="AW7"/>
  <c r="AU7"/>
  <c r="B5" i="6"/>
  <c r="B5" i="2"/>
  <c r="B5" i="5"/>
  <c r="B5" i="3"/>
  <c r="B5" i="4"/>
  <c r="B5" i="1"/>
  <c r="AV7" i="4"/>
  <c r="J8" i="6"/>
  <c r="L9" i="3"/>
  <c r="J7"/>
  <c r="J9"/>
  <c r="K9"/>
  <c r="J7" i="4"/>
  <c r="K8" i="5"/>
  <c r="J8"/>
  <c r="L8"/>
  <c r="L8" i="6" l="1"/>
  <c r="K9" i="2"/>
  <c r="L11"/>
  <c r="Q7"/>
  <c r="AV7" s="1"/>
  <c r="R11"/>
  <c r="J10"/>
  <c r="Q10"/>
  <c r="AV10" s="1"/>
  <c r="O12" i="5"/>
  <c r="AH12" s="1"/>
  <c r="K10"/>
  <c r="O8"/>
  <c r="AH8" s="1"/>
  <c r="J10"/>
  <c r="J10" i="3"/>
  <c r="K8"/>
  <c r="M8"/>
  <c r="O8" s="1"/>
  <c r="L10"/>
  <c r="J8"/>
  <c r="N10"/>
  <c r="T9" i="4"/>
  <c r="AO9"/>
  <c r="M9" s="1"/>
  <c r="M8"/>
  <c r="J8"/>
  <c r="L8"/>
  <c r="K8"/>
  <c r="N8"/>
  <c r="P8" s="1"/>
  <c r="AR8" s="1"/>
  <c r="K7"/>
  <c r="AT7"/>
  <c r="V9"/>
  <c r="AT7" i="1"/>
  <c r="AT8"/>
  <c r="Q9" i="5"/>
  <c r="K9"/>
  <c r="R9" i="2"/>
  <c r="H9" s="1"/>
  <c r="J11"/>
  <c r="K7"/>
  <c r="K11"/>
  <c r="K10"/>
  <c r="J9"/>
  <c r="L9"/>
  <c r="L10"/>
  <c r="AV8" i="6"/>
  <c r="Q9" i="3"/>
  <c r="Q8"/>
  <c r="Q10"/>
  <c r="N9"/>
  <c r="L7"/>
  <c r="M7"/>
  <c r="Q7"/>
  <c r="N11" i="5"/>
  <c r="AG11" s="1"/>
  <c r="O11"/>
  <c r="AH11" s="1"/>
  <c r="L10"/>
  <c r="K11"/>
  <c r="M9"/>
  <c r="O9" s="1"/>
  <c r="J11"/>
  <c r="Q10"/>
  <c r="AG8"/>
  <c r="AI12"/>
  <c r="AI8"/>
  <c r="O10"/>
  <c r="AI11"/>
  <c r="AT8" i="4"/>
  <c r="AO14" i="1"/>
  <c r="K14" s="1"/>
  <c r="L9" i="4"/>
  <c r="K9"/>
  <c r="N9"/>
  <c r="AT13" i="1"/>
  <c r="AT14"/>
  <c r="AT9"/>
  <c r="N7"/>
  <c r="P7" s="1"/>
  <c r="AR7" s="1"/>
  <c r="J10"/>
  <c r="K10"/>
  <c r="L10"/>
  <c r="M10"/>
  <c r="N9"/>
  <c r="N10"/>
  <c r="J8"/>
  <c r="L8"/>
  <c r="M8"/>
  <c r="K8"/>
  <c r="M7"/>
  <c r="K7"/>
  <c r="J7"/>
  <c r="L7"/>
  <c r="K11"/>
  <c r="M11"/>
  <c r="J11"/>
  <c r="L11"/>
  <c r="L9"/>
  <c r="K9"/>
  <c r="J9"/>
  <c r="M9"/>
  <c r="K17"/>
  <c r="J17"/>
  <c r="L17"/>
  <c r="M17"/>
  <c r="L13"/>
  <c r="J13"/>
  <c r="M13"/>
  <c r="N8"/>
  <c r="N17"/>
  <c r="N11"/>
  <c r="R11" s="1"/>
  <c r="AV7"/>
  <c r="V11"/>
  <c r="K13"/>
  <c r="V17"/>
  <c r="N13"/>
  <c r="R8" i="6" l="1"/>
  <c r="H8" s="1"/>
  <c r="N9" i="5"/>
  <c r="H9" s="1"/>
  <c r="Q12"/>
  <c r="H12" s="1"/>
  <c r="Q8"/>
  <c r="H8" s="1"/>
  <c r="H10" i="3"/>
  <c r="N8"/>
  <c r="H8" s="1"/>
  <c r="H9"/>
  <c r="N7" i="4"/>
  <c r="M7"/>
  <c r="L7"/>
  <c r="R8"/>
  <c r="AS8" s="1"/>
  <c r="V8" s="1"/>
  <c r="H8" s="1"/>
  <c r="M14" i="1"/>
  <c r="N14"/>
  <c r="P14" s="1"/>
  <c r="AR14" s="1"/>
  <c r="L14"/>
  <c r="R7"/>
  <c r="AS7" s="1"/>
  <c r="V7" s="1"/>
  <c r="H7" s="1"/>
  <c r="R10" i="2"/>
  <c r="H10" s="1"/>
  <c r="N7" i="3"/>
  <c r="O7"/>
  <c r="Q11" i="5"/>
  <c r="H11" s="1"/>
  <c r="H10"/>
  <c r="R9" i="4"/>
  <c r="P9"/>
  <c r="H11" i="2"/>
  <c r="R7"/>
  <c r="H7" s="1"/>
  <c r="R9" i="1"/>
  <c r="AS9" s="1"/>
  <c r="P9"/>
  <c r="AR9" s="1"/>
  <c r="R10"/>
  <c r="AS10" s="1"/>
  <c r="P10"/>
  <c r="AR10" s="1"/>
  <c r="P8"/>
  <c r="AR8" s="1"/>
  <c r="R8"/>
  <c r="AS8" s="1"/>
  <c r="P11"/>
  <c r="H11" s="1"/>
  <c r="P17"/>
  <c r="R17"/>
  <c r="R13"/>
  <c r="AS13" s="1"/>
  <c r="P13"/>
  <c r="AR13" s="1"/>
  <c r="H7" i="3" l="1"/>
  <c r="R7" i="4"/>
  <c r="AS7" s="1"/>
  <c r="P7"/>
  <c r="AR7" s="1"/>
  <c r="R14" i="1"/>
  <c r="AS14" s="1"/>
  <c r="V14" s="1"/>
  <c r="H14" s="1"/>
  <c r="H7" i="6"/>
  <c r="H17" i="1"/>
  <c r="H9" i="4"/>
  <c r="V13" i="1"/>
  <c r="H13" s="1"/>
  <c r="V10"/>
  <c r="H10" s="1"/>
  <c r="V9"/>
  <c r="H9" s="1"/>
  <c r="V8"/>
  <c r="H8" s="1"/>
  <c r="V7" i="4" l="1"/>
  <c r="H7" s="1"/>
  <c r="R8" i="2" l="1"/>
  <c r="H8" s="1"/>
</calcChain>
</file>

<file path=xl/sharedStrings.xml><?xml version="1.0" encoding="utf-8"?>
<sst xmlns="http://schemas.openxmlformats.org/spreadsheetml/2006/main" count="1078" uniqueCount="158">
  <si>
    <t>VOL1</t>
  </si>
  <si>
    <t>VOL2</t>
  </si>
  <si>
    <t>PRELIM</t>
  </si>
  <si>
    <t>FINAL</t>
  </si>
  <si>
    <t>BEST</t>
  </si>
  <si>
    <t>VOL 1</t>
  </si>
  <si>
    <t>VOL 2</t>
  </si>
  <si>
    <t>POINTS</t>
  </si>
  <si>
    <t>TOTAL</t>
  </si>
  <si>
    <t>TEAM</t>
  </si>
  <si>
    <t>INTERNATIONAL</t>
  </si>
  <si>
    <t>RESULTS</t>
  </si>
  <si>
    <t>DOMESTIC</t>
  </si>
  <si>
    <t>STD</t>
  </si>
  <si>
    <t>FUND</t>
  </si>
  <si>
    <t>DIFF</t>
  </si>
  <si>
    <t>DIFFERENTIAL</t>
  </si>
  <si>
    <t>PER ROUND</t>
  </si>
  <si>
    <t>TRAMPOLINE</t>
  </si>
  <si>
    <t>WOMEN</t>
  </si>
  <si>
    <t>RANKING</t>
  </si>
  <si>
    <t>MEN</t>
  </si>
  <si>
    <t>BIRTH</t>
  </si>
  <si>
    <t>PROV</t>
  </si>
  <si>
    <t>ON</t>
  </si>
  <si>
    <t>AB</t>
  </si>
  <si>
    <t>BC</t>
  </si>
  <si>
    <t>QC</t>
  </si>
  <si>
    <t>DOUBLE-MINI</t>
  </si>
  <si>
    <t>TUMBLING</t>
  </si>
  <si>
    <t>MIN</t>
  </si>
  <si>
    <t>13 years old</t>
  </si>
  <si>
    <t>14 years old</t>
  </si>
  <si>
    <t>15 years old</t>
  </si>
  <si>
    <t>16 years old</t>
  </si>
  <si>
    <t>17 years old</t>
  </si>
  <si>
    <t>YEAR</t>
  </si>
  <si>
    <t>PASS</t>
  </si>
  <si>
    <t>TOT P</t>
  </si>
  <si>
    <t>FINAL 1</t>
  </si>
  <si>
    <t>FINAL 2</t>
  </si>
  <si>
    <t>TOT F</t>
  </si>
  <si>
    <t>RANK</t>
  </si>
  <si>
    <t>PREL 1</t>
  </si>
  <si>
    <t>PREL 2</t>
  </si>
  <si>
    <t>* Competing in Senior</t>
  </si>
  <si>
    <t>15-16 yo</t>
  </si>
  <si>
    <t>13-14 yo</t>
  </si>
  <si>
    <t>MERIT</t>
  </si>
  <si>
    <t>MIN DD</t>
  </si>
  <si>
    <t>YES</t>
  </si>
  <si>
    <t>CAT</t>
  </si>
  <si>
    <t>CLUB</t>
  </si>
  <si>
    <t>Futures Gymnastics</t>
  </si>
  <si>
    <t>Acrosport Barani</t>
  </si>
  <si>
    <t>Shasta Trampoline Team</t>
  </si>
  <si>
    <t>Skyriders Trampoline Place</t>
  </si>
  <si>
    <t>TOF1</t>
  </si>
  <si>
    <t>TOF2</t>
  </si>
  <si>
    <t>TOFF</t>
  </si>
  <si>
    <t>TIME1</t>
  </si>
  <si>
    <t>TIME 2</t>
  </si>
  <si>
    <t>TIME F</t>
  </si>
  <si>
    <t>JUNIOR</t>
  </si>
  <si>
    <t>18 years old</t>
  </si>
  <si>
    <t>JUN</t>
  </si>
  <si>
    <t>IN JUN</t>
  </si>
  <si>
    <t>18 years old and over</t>
  </si>
  <si>
    <t>Scores from Espoir</t>
  </si>
  <si>
    <t>SOEHN, Kalena</t>
  </si>
  <si>
    <t>Thunder Country</t>
  </si>
  <si>
    <t>(1 pass in finals)</t>
  </si>
  <si>
    <t>Winstars Gymnastics</t>
  </si>
  <si>
    <t>Kamloops Gymnastics</t>
  </si>
  <si>
    <t>BLAKELY, Zachary</t>
  </si>
  <si>
    <t>LAGACÉ, Benjamin</t>
  </si>
  <si>
    <t>Okanagan Gymnastics Centre</t>
  </si>
  <si>
    <t>2016 CANADA CUP</t>
  </si>
  <si>
    <t>Kamloops, BC, March 2016</t>
  </si>
  <si>
    <t>BRENNER, Adin</t>
  </si>
  <si>
    <t>Nanaimo Gymnastics School</t>
  </si>
  <si>
    <t>CHATEAUVERT, Émile</t>
  </si>
  <si>
    <t>FOREST, Alexandra</t>
  </si>
  <si>
    <t>Phoenix Gymnastics Centre</t>
  </si>
  <si>
    <t>JUBENVILLE, Alexandra</t>
  </si>
  <si>
    <t>REDILLAS, Damian</t>
  </si>
  <si>
    <t>Viagym</t>
  </si>
  <si>
    <t>HILL, Cameron</t>
  </si>
  <si>
    <t>2016 NATIONALS</t>
  </si>
  <si>
    <t>Edmonton, AB, June 2016</t>
  </si>
  <si>
    <t>DWYER, Kai</t>
  </si>
  <si>
    <t>NS</t>
  </si>
  <si>
    <t>Titans Gymnastics &amp; Trampoline Club</t>
  </si>
  <si>
    <t>AUBIN, Rémi</t>
  </si>
  <si>
    <t>ROSS, Éliane</t>
  </si>
  <si>
    <t>CLYNE, Taya</t>
  </si>
  <si>
    <t>TAG sports Centre</t>
  </si>
  <si>
    <t>KORBUT, Kendra</t>
  </si>
  <si>
    <t>SUZUKI, Naomi</t>
  </si>
  <si>
    <t>BOUCHER, Raphaël</t>
  </si>
  <si>
    <t>CAMIRAND, Jean-Philippe</t>
  </si>
  <si>
    <t>Voltigeurs</t>
  </si>
  <si>
    <t>Tumbling Drummondville</t>
  </si>
  <si>
    <t>2016 JUNIOR COMMONWEALTH GYMNASTICS CHAMPIONSHIPS</t>
  </si>
  <si>
    <t>Walvis Bay, NAM, October 2016</t>
  </si>
  <si>
    <t>2016 JR COMMONWEALTH GYM CH</t>
  </si>
  <si>
    <t>2016 INDO-PACIFIC CHAMPIONSHIPS</t>
  </si>
  <si>
    <t>17+ yo</t>
  </si>
  <si>
    <t>Napier, NZL, October 2016</t>
  </si>
  <si>
    <t>2017 CANADA CUP</t>
  </si>
  <si>
    <t>Calgary, AB, May 2017</t>
  </si>
  <si>
    <t>2017 FLOWER CUP</t>
  </si>
  <si>
    <t>Aalsmeer, NED, March 2017</t>
  </si>
  <si>
    <t>MAY 2017</t>
  </si>
  <si>
    <t>ARMSTRONG, Owen</t>
  </si>
  <si>
    <t>Flip City</t>
  </si>
  <si>
    <t>McLEAN, Declan</t>
  </si>
  <si>
    <t>CHAMPAGNE, Tyler</t>
  </si>
  <si>
    <t>MB</t>
  </si>
  <si>
    <t>Panthers Gymnastics Club</t>
  </si>
  <si>
    <t>*** DD of 12.9 in 2nd voluntary during Junior / Age Group international competition will be considered</t>
  </si>
  <si>
    <t>** CHARTIER, Jérémy</t>
  </si>
  <si>
    <t>** LAVALLÉE, Zachary</t>
  </si>
  <si>
    <t>2017 Adjustement scores for complete routine (+ 3 pts in Vol 1 + 1 pt in Vol 2 + 1 pt in Final)</t>
  </si>
  <si>
    <t>** Injury scores for all rounds are now based on average scores from the last 2 domestic qualifications</t>
  </si>
  <si>
    <t>2017</t>
  </si>
  <si>
    <t>ADJUST</t>
  </si>
  <si>
    <t>2017 Adjustement scores for complete routine (+ 2 pts in Vol 1 + 1 pt in Vol 2 + 1 pt in Final)</t>
  </si>
  <si>
    <t>** Injury scores adjusted to reflect the new rules (+ 3 pts in Vol1 + 1 pt in Vol2 + 1 pt in Final)</t>
  </si>
  <si>
    <t>** Injury scores adjusted to reflect the new rules (+ 2 pts in Vol1 + 1 pt in Vol2 + 1 pt in Final)</t>
  </si>
  <si>
    <t>*** DD of 10.5 in 2nd voluntary during Junior / Age Group international competition will be considered</t>
  </si>
  <si>
    <t>BERTHIAUME, Sara-Jade</t>
  </si>
  <si>
    <t>Trampoline Intercité</t>
  </si>
  <si>
    <t>INTL'</t>
  </si>
  <si>
    <t>1999 -</t>
  </si>
  <si>
    <t>ZEUNER, Michael</t>
  </si>
  <si>
    <t>Dynamo Gymnastics</t>
  </si>
  <si>
    <t>Virtuose</t>
  </si>
  <si>
    <t>HECK, Megan</t>
  </si>
  <si>
    <t>*** In order to obtain the Team, Funding or Merit Score, Senior Men must also perform a DD of 17.5 (14 counting DD elements) during one of the past 3 National Trials</t>
  </si>
  <si>
    <t>*** In order to obtain the Team, Funding or Merit Score, Senior Men must also perform a DD of 14.0 (14 counting DD elements) during one of the past 3 National Trials</t>
  </si>
  <si>
    <t>*** In order to obtain the Team, Funding Merit Score, Junior Men must also perform a DD of 11.3 over 2 passes (prelim or finals) during one of the last 3 National Trials</t>
  </si>
  <si>
    <t>*** In order to obtain the Team, Funding Merit Score, Junior Men must also perform a DD of 7.9 over 2 passes (prelim or finals) during one of the last 3 National Trials</t>
  </si>
  <si>
    <t>PREL 3</t>
  </si>
  <si>
    <t>PREL 4</t>
  </si>
  <si>
    <t>MOULD, Blake</t>
  </si>
  <si>
    <t>DODD, Gavin</t>
  </si>
  <si>
    <t>McINTYRE, Clayton</t>
  </si>
  <si>
    <t>Anti-Gravity</t>
  </si>
  <si>
    <t>ROUND</t>
  </si>
  <si>
    <t>1-2</t>
  </si>
  <si>
    <t>3-4</t>
  </si>
  <si>
    <t>Tracking for International Meet only done while part of the Canadian Team</t>
  </si>
  <si>
    <t>Temporary 2017 Adjustement scores to reflect 4 passes in prelim</t>
  </si>
  <si>
    <t>*** In order to obtain the Team, Funding or Merit Score, Senior Men must also perform a DD of 19.2 in prelims during one of the 3 National Trials</t>
  </si>
  <si>
    <t>*** In order to obtain the Team, Funding or Merit Score, Senior Men must also perform a DD of 24.0 in prelims during one of the 3 National Trials</t>
  </si>
  <si>
    <t>KYFUIK, Mackenzie</t>
  </si>
  <si>
    <t>WOOLLEY, Steven</t>
  </si>
</sst>
</file>

<file path=xl/styles.xml><?xml version="1.0" encoding="utf-8"?>
<styleSheet xmlns="http://schemas.openxmlformats.org/spreadsheetml/2006/main">
  <numFmts count="3">
    <numFmt numFmtId="164" formatCode="0.00_);\(0.00\)"/>
    <numFmt numFmtId="165" formatCode="0.0"/>
    <numFmt numFmtId="166" formatCode="0.000"/>
  </numFmts>
  <fonts count="26">
    <font>
      <sz val="10"/>
      <name val="Arial"/>
    </font>
    <font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52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6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C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indexed="57"/>
      <name val="Calibri"/>
      <family val="2"/>
      <scheme val="minor"/>
    </font>
    <font>
      <b/>
      <sz val="10"/>
      <color indexed="55"/>
      <name val="Calibri"/>
      <family val="2"/>
      <scheme val="minor"/>
    </font>
    <font>
      <sz val="10"/>
      <color indexed="4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17" fontId="1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166" fontId="3" fillId="0" borderId="1" xfId="0" applyNumberFormat="1" applyFont="1" applyBorder="1"/>
    <xf numFmtId="166" fontId="3" fillId="0" borderId="0" xfId="0" applyNumberFormat="1" applyFont="1" applyBorder="1"/>
    <xf numFmtId="166" fontId="3" fillId="0" borderId="2" xfId="0" applyNumberFormat="1" applyFont="1" applyBorder="1"/>
    <xf numFmtId="17" fontId="2" fillId="0" borderId="0" xfId="0" quotePrefix="1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Border="1" applyAlignment="1">
      <alignment horizontal="center"/>
    </xf>
    <xf numFmtId="0" fontId="11" fillId="0" borderId="0" xfId="0" quotePrefix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9" borderId="0" xfId="0" applyFont="1" applyFill="1" applyBorder="1"/>
    <xf numFmtId="0" fontId="3" fillId="9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0" borderId="2" xfId="0" applyNumberFormat="1" applyFont="1" applyFill="1" applyBorder="1" applyAlignment="1">
      <alignment horizontal="center"/>
    </xf>
    <xf numFmtId="166" fontId="3" fillId="13" borderId="0" xfId="0" applyNumberFormat="1" applyFont="1" applyFill="1" applyBorder="1" applyAlignment="1">
      <alignment horizontal="center"/>
    </xf>
    <xf numFmtId="166" fontId="2" fillId="13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19" fillId="0" borderId="0" xfId="0" applyNumberFormat="1" applyFont="1" applyFill="1" applyBorder="1" applyAlignment="1">
      <alignment horizontal="center"/>
    </xf>
    <xf numFmtId="0" fontId="3" fillId="12" borderId="0" xfId="0" applyFont="1" applyFill="1" applyBorder="1"/>
    <xf numFmtId="0" fontId="3" fillId="12" borderId="0" xfId="0" applyFont="1" applyFill="1" applyBorder="1" applyAlignment="1">
      <alignment horizontal="center"/>
    </xf>
    <xf numFmtId="166" fontId="3" fillId="8" borderId="1" xfId="0" applyNumberFormat="1" applyFont="1" applyFill="1" applyBorder="1" applyAlignment="1">
      <alignment horizontal="center"/>
    </xf>
    <xf numFmtId="166" fontId="3" fillId="8" borderId="0" xfId="0" applyNumberFormat="1" applyFont="1" applyFill="1" applyBorder="1" applyAlignment="1">
      <alignment horizontal="center"/>
    </xf>
    <xf numFmtId="166" fontId="18" fillId="8" borderId="0" xfId="0" applyNumberFormat="1" applyFont="1" applyFill="1" applyBorder="1" applyAlignment="1">
      <alignment horizontal="center"/>
    </xf>
    <xf numFmtId="166" fontId="2" fillId="8" borderId="0" xfId="0" applyNumberFormat="1" applyFont="1" applyFill="1" applyBorder="1" applyAlignment="1">
      <alignment horizontal="center"/>
    </xf>
    <xf numFmtId="166" fontId="18" fillId="8" borderId="0" xfId="0" applyNumberFormat="1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0" fillId="0" borderId="0" xfId="0" applyFont="1" applyBorder="1" applyAlignment="1">
      <alignment horizontal="center"/>
    </xf>
    <xf numFmtId="166" fontId="3" fillId="10" borderId="1" xfId="0" applyNumberFormat="1" applyFont="1" applyFill="1" applyBorder="1" applyAlignment="1">
      <alignment horizontal="center"/>
    </xf>
    <xf numFmtId="166" fontId="3" fillId="10" borderId="0" xfId="0" applyNumberFormat="1" applyFont="1" applyFill="1" applyBorder="1" applyAlignment="1">
      <alignment horizontal="center"/>
    </xf>
    <xf numFmtId="166" fontId="2" fillId="10" borderId="0" xfId="0" applyNumberFormat="1" applyFont="1" applyFill="1" applyBorder="1" applyAlignment="1">
      <alignment horizontal="center"/>
    </xf>
    <xf numFmtId="166" fontId="3" fillId="10" borderId="2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6" fontId="13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3" fillId="6" borderId="0" xfId="0" applyFont="1" applyFill="1" applyBorder="1"/>
    <xf numFmtId="2" fontId="3" fillId="0" borderId="0" xfId="0" applyNumberFormat="1" applyFont="1" applyAlignment="1">
      <alignment horizontal="center"/>
    </xf>
    <xf numFmtId="0" fontId="3" fillId="10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 applyAlignment="1">
      <alignment horizontal="center"/>
    </xf>
    <xf numFmtId="166" fontId="3" fillId="5" borderId="0" xfId="0" applyNumberFormat="1" applyFont="1" applyFill="1" applyBorder="1" applyAlignment="1">
      <alignment horizontal="center"/>
    </xf>
    <xf numFmtId="0" fontId="3" fillId="0" borderId="8" xfId="0" applyFont="1" applyFill="1" applyBorder="1"/>
    <xf numFmtId="0" fontId="3" fillId="0" borderId="9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166" fontId="3" fillId="14" borderId="1" xfId="0" applyNumberFormat="1" applyFont="1" applyFill="1" applyBorder="1" applyAlignment="1">
      <alignment horizontal="center"/>
    </xf>
    <xf numFmtId="166" fontId="3" fillId="14" borderId="0" xfId="0" applyNumberFormat="1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/>
    <xf numFmtId="2" fontId="3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/>
    <xf numFmtId="166" fontId="3" fillId="11" borderId="0" xfId="0" quotePrefix="1" applyNumberFormat="1" applyFont="1" applyFill="1" applyBorder="1" applyAlignment="1">
      <alignment horizontal="center"/>
    </xf>
    <xf numFmtId="166" fontId="3" fillId="11" borderId="0" xfId="0" applyNumberFormat="1" applyFont="1" applyFill="1" applyBorder="1" applyAlignment="1">
      <alignment horizontal="center"/>
    </xf>
    <xf numFmtId="166" fontId="3" fillId="11" borderId="2" xfId="0" quotePrefix="1" applyNumberFormat="1" applyFont="1" applyFill="1" applyBorder="1" applyAlignment="1">
      <alignment horizontal="center"/>
    </xf>
    <xf numFmtId="166" fontId="3" fillId="11" borderId="2" xfId="0" applyNumberFormat="1" applyFont="1" applyFill="1" applyBorder="1" applyAlignment="1">
      <alignment horizontal="center"/>
    </xf>
    <xf numFmtId="166" fontId="3" fillId="11" borderId="1" xfId="0" applyNumberFormat="1" applyFont="1" applyFill="1" applyBorder="1" applyAlignment="1">
      <alignment horizontal="center"/>
    </xf>
    <xf numFmtId="166" fontId="18" fillId="11" borderId="0" xfId="0" applyNumberFormat="1" applyFont="1" applyFill="1" applyBorder="1" applyAlignment="1">
      <alignment horizontal="center"/>
    </xf>
    <xf numFmtId="166" fontId="2" fillId="11" borderId="0" xfId="0" applyNumberFormat="1" applyFont="1" applyFill="1" applyBorder="1" applyAlignment="1">
      <alignment horizontal="center"/>
    </xf>
    <xf numFmtId="166" fontId="3" fillId="15" borderId="0" xfId="0" applyNumberFormat="1" applyFont="1" applyFill="1" applyBorder="1" applyAlignment="1">
      <alignment horizontal="center"/>
    </xf>
    <xf numFmtId="166" fontId="3" fillId="13" borderId="2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3" fillId="3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166" fontId="6" fillId="0" borderId="0" xfId="0" applyNumberFormat="1" applyFon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3" fillId="0" borderId="0" xfId="0" applyNumberFormat="1" applyFont="1" applyFill="1" applyBorder="1"/>
    <xf numFmtId="165" fontId="11" fillId="0" borderId="0" xfId="0" quotePrefix="1" applyNumberFormat="1" applyFont="1" applyBorder="1" applyAlignment="1">
      <alignment horizontal="center"/>
    </xf>
    <xf numFmtId="166" fontId="3" fillId="15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0" borderId="0" xfId="0" applyNumberFormat="1" applyFont="1" applyFill="1" applyAlignment="1">
      <alignment horizontal="center"/>
    </xf>
    <xf numFmtId="2" fontId="2" fillId="10" borderId="0" xfId="0" applyNumberFormat="1" applyFont="1" applyFill="1" applyBorder="1" applyAlignment="1">
      <alignment horizontal="center"/>
    </xf>
    <xf numFmtId="2" fontId="3" fillId="10" borderId="0" xfId="0" applyNumberFormat="1" applyFont="1" applyFill="1" applyBorder="1" applyAlignment="1">
      <alignment horizontal="center"/>
    </xf>
    <xf numFmtId="1" fontId="22" fillId="10" borderId="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13" borderId="0" xfId="0" applyFont="1" applyFill="1" applyBorder="1"/>
    <xf numFmtId="0" fontId="3" fillId="11" borderId="0" xfId="0" applyFont="1" applyFill="1" applyBorder="1"/>
    <xf numFmtId="0" fontId="3" fillId="14" borderId="0" xfId="0" applyFont="1" applyFill="1" applyBorder="1"/>
    <xf numFmtId="0" fontId="21" fillId="0" borderId="0" xfId="0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" fontId="22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" fontId="22" fillId="10" borderId="2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2" xfId="0" applyFont="1" applyFill="1" applyBorder="1"/>
    <xf numFmtId="0" fontId="3" fillId="3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13" borderId="0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9" fillId="10" borderId="0" xfId="0" applyNumberFormat="1" applyFont="1" applyFill="1" applyBorder="1" applyAlignment="1">
      <alignment horizontal="center"/>
    </xf>
    <xf numFmtId="2" fontId="18" fillId="10" borderId="0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1" fontId="22" fillId="0" borderId="0" xfId="0" applyNumberFormat="1" applyFont="1" applyFill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21" fillId="0" borderId="0" xfId="0" applyFont="1" applyFill="1" applyAlignment="1">
      <alignment horizontal="left"/>
    </xf>
    <xf numFmtId="2" fontId="7" fillId="0" borderId="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0" xfId="0" quotePrefix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" fontId="24" fillId="10" borderId="0" xfId="0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2" fontId="18" fillId="0" borderId="2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2" fontId="18" fillId="8" borderId="1" xfId="0" applyNumberFormat="1" applyFont="1" applyFill="1" applyBorder="1" applyAlignment="1">
      <alignment horizontal="center"/>
    </xf>
    <xf numFmtId="2" fontId="18" fillId="7" borderId="2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16" fontId="3" fillId="0" borderId="0" xfId="0" quotePrefix="1" applyNumberFormat="1" applyFont="1" applyBorder="1" applyAlignment="1">
      <alignment horizontal="center"/>
    </xf>
    <xf numFmtId="2" fontId="2" fillId="11" borderId="0" xfId="0" applyNumberFormat="1" applyFont="1" applyFill="1" applyBorder="1" applyAlignment="1">
      <alignment horizontal="center"/>
    </xf>
    <xf numFmtId="2" fontId="3" fillId="11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2" fontId="3" fillId="6" borderId="3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10" fillId="0" borderId="1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/>
    </xf>
    <xf numFmtId="166" fontId="10" fillId="0" borderId="2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15" fillId="0" borderId="0" xfId="0" applyNumberFormat="1" applyFont="1" applyFill="1" applyAlignment="1">
      <alignment horizontal="center"/>
    </xf>
    <xf numFmtId="1" fontId="24" fillId="0" borderId="2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2" fontId="18" fillId="8" borderId="0" xfId="0" applyNumberFormat="1" applyFont="1" applyFill="1" applyAlignment="1">
      <alignment horizontal="center"/>
    </xf>
    <xf numFmtId="1" fontId="24" fillId="10" borderId="2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25" fillId="0" borderId="0" xfId="0" applyNumberFormat="1" applyFont="1" applyFill="1" applyBorder="1" applyAlignment="1">
      <alignment horizontal="center"/>
    </xf>
    <xf numFmtId="2" fontId="25" fillId="0" borderId="0" xfId="0" applyNumberFormat="1" applyFont="1" applyFill="1" applyAlignment="1">
      <alignment horizontal="center"/>
    </xf>
    <xf numFmtId="2" fontId="18" fillId="7" borderId="1" xfId="0" applyNumberFormat="1" applyFont="1" applyFill="1" applyBorder="1" applyAlignment="1">
      <alignment horizontal="center"/>
    </xf>
    <xf numFmtId="2" fontId="18" fillId="7" borderId="0" xfId="0" applyNumberFormat="1" applyFont="1" applyFill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X34"/>
  <sheetViews>
    <sheetView tabSelected="1" view="pageBreakPreview" zoomScale="80" zoomScaleNormal="100" zoomScaleSheet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7109375" style="87" customWidth="1"/>
    <col min="3" max="3" width="7.7109375" style="7" customWidth="1"/>
    <col min="4" max="4" width="35.7109375" style="7" customWidth="1"/>
    <col min="5" max="5" width="7.7109375" style="7" customWidth="1"/>
    <col min="6" max="6" width="8.7109375" style="100" customWidth="1"/>
    <col min="7" max="7" width="8.7109375" style="7" customWidth="1"/>
    <col min="8" max="8" width="8.7109375" style="27" customWidth="1"/>
    <col min="9" max="9" width="10.28515625" style="7" bestFit="1" customWidth="1"/>
    <col min="10" max="10" width="8.7109375" style="7" customWidth="1"/>
    <col min="11" max="11" width="8.7109375" style="91" customWidth="1"/>
    <col min="12" max="12" width="8.7109375" style="92" customWidth="1"/>
    <col min="13" max="13" width="8.7109375" style="86" customWidth="1"/>
    <col min="14" max="22" width="8.7109375" style="7" customWidth="1"/>
    <col min="23" max="77" width="8.7109375" style="27" customWidth="1"/>
    <col min="78" max="154" width="9.140625" style="33"/>
    <col min="155" max="16384" width="9.140625" style="87"/>
  </cols>
  <sheetData>
    <row r="1" spans="1:154" s="12" customFormat="1">
      <c r="A1" s="1" t="s">
        <v>113</v>
      </c>
      <c r="B1" s="2" t="s">
        <v>63</v>
      </c>
      <c r="C1" s="3"/>
      <c r="D1" s="3"/>
      <c r="E1" s="3"/>
      <c r="F1" s="4"/>
      <c r="G1" s="2"/>
      <c r="H1" s="5"/>
      <c r="I1" s="6"/>
      <c r="J1" s="7"/>
      <c r="K1" s="8"/>
      <c r="L1" s="9"/>
      <c r="M1" s="10"/>
      <c r="N1" s="238" t="s">
        <v>12</v>
      </c>
      <c r="O1" s="239"/>
      <c r="P1" s="239"/>
      <c r="Q1" s="239"/>
      <c r="R1" s="239"/>
      <c r="S1" s="239"/>
      <c r="T1" s="239"/>
      <c r="U1" s="240"/>
      <c r="V1" s="109" t="s">
        <v>133</v>
      </c>
      <c r="W1" s="244" t="s">
        <v>77</v>
      </c>
      <c r="X1" s="245"/>
      <c r="Y1" s="245"/>
      <c r="Z1" s="245"/>
      <c r="AA1" s="245"/>
      <c r="AB1" s="245"/>
      <c r="AC1" s="246"/>
      <c r="AD1" s="244" t="s">
        <v>88</v>
      </c>
      <c r="AE1" s="245"/>
      <c r="AF1" s="245"/>
      <c r="AG1" s="245"/>
      <c r="AH1" s="245"/>
      <c r="AI1" s="245"/>
      <c r="AJ1" s="246"/>
      <c r="AK1" s="244" t="s">
        <v>109</v>
      </c>
      <c r="AL1" s="245"/>
      <c r="AM1" s="245"/>
      <c r="AN1" s="245"/>
      <c r="AO1" s="245"/>
      <c r="AP1" s="245"/>
      <c r="AQ1" s="246"/>
      <c r="AR1" s="244" t="s">
        <v>16</v>
      </c>
      <c r="AS1" s="245"/>
      <c r="AT1" s="245"/>
      <c r="AU1" s="244" t="s">
        <v>10</v>
      </c>
      <c r="AV1" s="245"/>
      <c r="AW1" s="245"/>
      <c r="AX1" s="244" t="s">
        <v>103</v>
      </c>
      <c r="AY1" s="245"/>
      <c r="AZ1" s="245"/>
      <c r="BA1" s="245"/>
      <c r="BB1" s="245"/>
      <c r="BC1" s="245"/>
      <c r="BD1" s="246"/>
      <c r="BE1" s="244" t="s">
        <v>106</v>
      </c>
      <c r="BF1" s="245"/>
      <c r="BG1" s="245"/>
      <c r="BH1" s="245"/>
      <c r="BI1" s="245"/>
      <c r="BJ1" s="245"/>
      <c r="BK1" s="246"/>
      <c r="BL1" s="244" t="s">
        <v>111</v>
      </c>
      <c r="BM1" s="245"/>
      <c r="BN1" s="245"/>
      <c r="BO1" s="245"/>
      <c r="BP1" s="245"/>
      <c r="BQ1" s="245"/>
      <c r="BR1" s="246"/>
      <c r="BS1" s="244"/>
      <c r="BT1" s="245"/>
      <c r="BU1" s="245"/>
      <c r="BV1" s="245"/>
      <c r="BW1" s="245"/>
      <c r="BX1" s="245"/>
      <c r="BY1" s="246"/>
      <c r="BZ1" s="244"/>
      <c r="CA1" s="245"/>
      <c r="CB1" s="245"/>
      <c r="CC1" s="245"/>
      <c r="CD1" s="245"/>
      <c r="CE1" s="245"/>
      <c r="CF1" s="246"/>
      <c r="CG1" s="244"/>
      <c r="CH1" s="245"/>
      <c r="CI1" s="245"/>
      <c r="CJ1" s="245"/>
      <c r="CK1" s="245"/>
      <c r="CL1" s="245"/>
      <c r="CM1" s="246"/>
      <c r="CN1" s="244"/>
      <c r="CO1" s="245"/>
      <c r="CP1" s="245"/>
      <c r="CQ1" s="245"/>
      <c r="CR1" s="245"/>
      <c r="CS1" s="245"/>
      <c r="CT1" s="246"/>
      <c r="CU1" s="244"/>
      <c r="CV1" s="245"/>
      <c r="CW1" s="245"/>
      <c r="CX1" s="245"/>
      <c r="CY1" s="245"/>
      <c r="CZ1" s="245"/>
      <c r="DA1" s="246"/>
      <c r="DB1" s="244"/>
      <c r="DC1" s="245"/>
      <c r="DD1" s="245"/>
      <c r="DE1" s="245"/>
      <c r="DF1" s="245"/>
      <c r="DG1" s="245"/>
      <c r="DH1" s="246"/>
      <c r="DI1" s="244"/>
      <c r="DJ1" s="245"/>
      <c r="DK1" s="245"/>
      <c r="DL1" s="245"/>
      <c r="DM1" s="245"/>
      <c r="DN1" s="245"/>
      <c r="DO1" s="246"/>
      <c r="DP1" s="244"/>
      <c r="DQ1" s="245"/>
      <c r="DR1" s="245"/>
      <c r="DS1" s="245"/>
      <c r="DT1" s="245"/>
      <c r="DU1" s="245"/>
      <c r="DV1" s="246"/>
      <c r="DW1" s="244"/>
      <c r="DX1" s="245"/>
      <c r="DY1" s="245"/>
      <c r="DZ1" s="245"/>
      <c r="EA1" s="245"/>
      <c r="EB1" s="245"/>
      <c r="EC1" s="246"/>
      <c r="ED1" s="244"/>
      <c r="EE1" s="245"/>
      <c r="EF1" s="245"/>
      <c r="EG1" s="245"/>
      <c r="EH1" s="245"/>
      <c r="EI1" s="245"/>
      <c r="EJ1" s="246"/>
      <c r="EK1" s="244"/>
      <c r="EL1" s="245"/>
      <c r="EM1" s="245"/>
      <c r="EN1" s="245"/>
      <c r="EO1" s="245"/>
      <c r="EP1" s="245"/>
      <c r="EQ1" s="246"/>
      <c r="ER1" s="244"/>
      <c r="ES1" s="245"/>
      <c r="ET1" s="245"/>
      <c r="EU1" s="245"/>
      <c r="EV1" s="245"/>
      <c r="EW1" s="245"/>
      <c r="EX1" s="246"/>
    </row>
    <row r="2" spans="1:154" s="12" customFormat="1">
      <c r="A2" s="13">
        <v>2017</v>
      </c>
      <c r="B2" s="6" t="s">
        <v>20</v>
      </c>
      <c r="C2" s="3"/>
      <c r="D2" s="3"/>
      <c r="E2" s="3"/>
      <c r="F2" s="4"/>
      <c r="G2" s="6"/>
      <c r="H2" s="5"/>
      <c r="I2" s="6"/>
      <c r="J2" s="6"/>
      <c r="K2" s="14">
        <v>247.3</v>
      </c>
      <c r="L2" s="14">
        <v>255.7</v>
      </c>
      <c r="M2" s="14">
        <v>266.39999999999998</v>
      </c>
      <c r="N2" s="238" t="s">
        <v>11</v>
      </c>
      <c r="O2" s="239"/>
      <c r="P2" s="239"/>
      <c r="Q2" s="239"/>
      <c r="R2" s="239"/>
      <c r="S2" s="239"/>
      <c r="T2" s="239"/>
      <c r="U2" s="240"/>
      <c r="V2" s="109" t="s">
        <v>11</v>
      </c>
      <c r="W2" s="244" t="s">
        <v>78</v>
      </c>
      <c r="X2" s="245"/>
      <c r="Y2" s="245"/>
      <c r="Z2" s="245"/>
      <c r="AA2" s="245"/>
      <c r="AB2" s="245"/>
      <c r="AC2" s="246"/>
      <c r="AD2" s="244" t="s">
        <v>89</v>
      </c>
      <c r="AE2" s="245"/>
      <c r="AF2" s="245"/>
      <c r="AG2" s="245"/>
      <c r="AH2" s="245"/>
      <c r="AI2" s="245"/>
      <c r="AJ2" s="246"/>
      <c r="AK2" s="244" t="s">
        <v>110</v>
      </c>
      <c r="AL2" s="245"/>
      <c r="AM2" s="245"/>
      <c r="AN2" s="245"/>
      <c r="AO2" s="245"/>
      <c r="AP2" s="245"/>
      <c r="AQ2" s="246"/>
      <c r="AR2" s="244" t="s">
        <v>17</v>
      </c>
      <c r="AS2" s="245"/>
      <c r="AT2" s="246"/>
      <c r="AU2" s="244" t="s">
        <v>11</v>
      </c>
      <c r="AV2" s="245"/>
      <c r="AW2" s="246"/>
      <c r="AX2" s="244" t="s">
        <v>104</v>
      </c>
      <c r="AY2" s="245"/>
      <c r="AZ2" s="245"/>
      <c r="BA2" s="245"/>
      <c r="BB2" s="245"/>
      <c r="BC2" s="245"/>
      <c r="BD2" s="246"/>
      <c r="BE2" s="244" t="s">
        <v>108</v>
      </c>
      <c r="BF2" s="245"/>
      <c r="BG2" s="245"/>
      <c r="BH2" s="245"/>
      <c r="BI2" s="245"/>
      <c r="BJ2" s="245"/>
      <c r="BK2" s="246"/>
      <c r="BL2" s="244" t="s">
        <v>112</v>
      </c>
      <c r="BM2" s="245"/>
      <c r="BN2" s="245"/>
      <c r="BO2" s="245"/>
      <c r="BP2" s="245"/>
      <c r="BQ2" s="245"/>
      <c r="BR2" s="246"/>
      <c r="BS2" s="244"/>
      <c r="BT2" s="245"/>
      <c r="BU2" s="245"/>
      <c r="BV2" s="245"/>
      <c r="BW2" s="245"/>
      <c r="BX2" s="245"/>
      <c r="BY2" s="246"/>
      <c r="BZ2" s="244"/>
      <c r="CA2" s="245"/>
      <c r="CB2" s="245"/>
      <c r="CC2" s="245"/>
      <c r="CD2" s="245"/>
      <c r="CE2" s="245"/>
      <c r="CF2" s="246"/>
      <c r="CG2" s="244"/>
      <c r="CH2" s="245"/>
      <c r="CI2" s="245"/>
      <c r="CJ2" s="245"/>
      <c r="CK2" s="245"/>
      <c r="CL2" s="245"/>
      <c r="CM2" s="246"/>
      <c r="CN2" s="244"/>
      <c r="CO2" s="245"/>
      <c r="CP2" s="245"/>
      <c r="CQ2" s="245"/>
      <c r="CR2" s="245"/>
      <c r="CS2" s="245"/>
      <c r="CT2" s="246"/>
      <c r="CU2" s="244"/>
      <c r="CV2" s="245"/>
      <c r="CW2" s="245"/>
      <c r="CX2" s="245"/>
      <c r="CY2" s="245"/>
      <c r="CZ2" s="245"/>
      <c r="DA2" s="246"/>
      <c r="DB2" s="244"/>
      <c r="DC2" s="245"/>
      <c r="DD2" s="245"/>
      <c r="DE2" s="245"/>
      <c r="DF2" s="245"/>
      <c r="DG2" s="245"/>
      <c r="DH2" s="246"/>
      <c r="DI2" s="244"/>
      <c r="DJ2" s="245"/>
      <c r="DK2" s="245"/>
      <c r="DL2" s="245"/>
      <c r="DM2" s="245"/>
      <c r="DN2" s="245"/>
      <c r="DO2" s="246"/>
      <c r="DP2" s="244"/>
      <c r="DQ2" s="245"/>
      <c r="DR2" s="245"/>
      <c r="DS2" s="245"/>
      <c r="DT2" s="245"/>
      <c r="DU2" s="245"/>
      <c r="DV2" s="246"/>
      <c r="DW2" s="244"/>
      <c r="DX2" s="245"/>
      <c r="DY2" s="245"/>
      <c r="DZ2" s="245"/>
      <c r="EA2" s="245"/>
      <c r="EB2" s="245"/>
      <c r="EC2" s="246"/>
      <c r="ED2" s="244"/>
      <c r="EE2" s="245"/>
      <c r="EF2" s="245"/>
      <c r="EG2" s="245"/>
      <c r="EH2" s="245"/>
      <c r="EI2" s="245"/>
      <c r="EJ2" s="246"/>
      <c r="EK2" s="244"/>
      <c r="EL2" s="245"/>
      <c r="EM2" s="245"/>
      <c r="EN2" s="245"/>
      <c r="EO2" s="245"/>
      <c r="EP2" s="245"/>
      <c r="EQ2" s="246"/>
      <c r="ER2" s="244"/>
      <c r="ES2" s="245"/>
      <c r="ET2" s="245"/>
      <c r="EU2" s="245"/>
      <c r="EV2" s="245"/>
      <c r="EW2" s="245"/>
      <c r="EX2" s="246"/>
    </row>
    <row r="3" spans="1:154" s="12" customFormat="1">
      <c r="A3" s="15"/>
      <c r="B3" s="2" t="s">
        <v>18</v>
      </c>
      <c r="C3" s="3"/>
      <c r="D3" s="3"/>
      <c r="E3" s="3"/>
      <c r="F3" s="4"/>
      <c r="G3" s="2"/>
      <c r="H3" s="16"/>
      <c r="I3" s="6"/>
      <c r="J3" s="7"/>
      <c r="K3" s="17"/>
      <c r="L3" s="18"/>
      <c r="M3" s="19"/>
      <c r="N3" s="20"/>
      <c r="O3" s="7"/>
      <c r="P3" s="7"/>
      <c r="Q3" s="7"/>
      <c r="R3" s="7"/>
      <c r="S3" s="7"/>
      <c r="T3" s="7"/>
      <c r="U3" s="21"/>
      <c r="V3" s="109"/>
      <c r="W3" s="16">
        <v>90.1</v>
      </c>
      <c r="X3" s="22"/>
      <c r="Y3" s="23">
        <v>92.7</v>
      </c>
      <c r="Z3" s="23"/>
      <c r="AA3" s="24">
        <v>96</v>
      </c>
      <c r="AB3" s="25">
        <v>100.2</v>
      </c>
      <c r="AC3" s="26"/>
      <c r="AD3" s="16">
        <v>90.1</v>
      </c>
      <c r="AE3" s="22"/>
      <c r="AF3" s="23">
        <v>92.7</v>
      </c>
      <c r="AG3" s="23"/>
      <c r="AH3" s="24">
        <v>96</v>
      </c>
      <c r="AI3" s="25">
        <v>100.2</v>
      </c>
      <c r="AJ3" s="26"/>
      <c r="AK3" s="16">
        <v>95.1</v>
      </c>
      <c r="AL3" s="22"/>
      <c r="AM3" s="23">
        <v>97.8</v>
      </c>
      <c r="AN3" s="23"/>
      <c r="AO3" s="24">
        <v>101</v>
      </c>
      <c r="AP3" s="25">
        <v>105.1</v>
      </c>
      <c r="AQ3" s="26"/>
      <c r="AR3" s="5"/>
      <c r="AS3" s="27"/>
      <c r="AT3" s="28"/>
      <c r="AU3" s="5"/>
      <c r="AV3" s="27"/>
      <c r="AW3" s="28"/>
      <c r="AX3" s="241"/>
      <c r="AY3" s="242"/>
      <c r="AZ3" s="242"/>
      <c r="BA3" s="242"/>
      <c r="BB3" s="242"/>
      <c r="BC3" s="242"/>
      <c r="BD3" s="243"/>
      <c r="BE3" s="241"/>
      <c r="BF3" s="242"/>
      <c r="BG3" s="242"/>
      <c r="BH3" s="242"/>
      <c r="BI3" s="242"/>
      <c r="BJ3" s="242"/>
      <c r="BK3" s="243"/>
      <c r="BL3" s="241"/>
      <c r="BM3" s="242"/>
      <c r="BN3" s="242"/>
      <c r="BO3" s="242"/>
      <c r="BP3" s="242"/>
      <c r="BQ3" s="242"/>
      <c r="BR3" s="243"/>
      <c r="BS3" s="241"/>
      <c r="BT3" s="242"/>
      <c r="BU3" s="242"/>
      <c r="BV3" s="242"/>
      <c r="BW3" s="242"/>
      <c r="BX3" s="242"/>
      <c r="BY3" s="243"/>
      <c r="BZ3" s="241"/>
      <c r="CA3" s="242"/>
      <c r="CB3" s="242"/>
      <c r="CC3" s="242"/>
      <c r="CD3" s="242"/>
      <c r="CE3" s="242"/>
      <c r="CF3" s="243"/>
      <c r="CG3" s="241"/>
      <c r="CH3" s="242"/>
      <c r="CI3" s="242"/>
      <c r="CJ3" s="242"/>
      <c r="CK3" s="242"/>
      <c r="CL3" s="242"/>
      <c r="CM3" s="243"/>
      <c r="CN3" s="241"/>
      <c r="CO3" s="242"/>
      <c r="CP3" s="242"/>
      <c r="CQ3" s="242"/>
      <c r="CR3" s="242"/>
      <c r="CS3" s="242"/>
      <c r="CT3" s="243"/>
      <c r="CU3" s="241"/>
      <c r="CV3" s="242"/>
      <c r="CW3" s="242"/>
      <c r="CX3" s="242"/>
      <c r="CY3" s="242"/>
      <c r="CZ3" s="242"/>
      <c r="DA3" s="243"/>
      <c r="DB3" s="241"/>
      <c r="DC3" s="242"/>
      <c r="DD3" s="242"/>
      <c r="DE3" s="242"/>
      <c r="DF3" s="242"/>
      <c r="DG3" s="242"/>
      <c r="DH3" s="243"/>
      <c r="DI3" s="241"/>
      <c r="DJ3" s="242"/>
      <c r="DK3" s="242"/>
      <c r="DL3" s="242"/>
      <c r="DM3" s="242"/>
      <c r="DN3" s="242"/>
      <c r="DO3" s="243"/>
      <c r="DP3" s="241"/>
      <c r="DQ3" s="242"/>
      <c r="DR3" s="242"/>
      <c r="DS3" s="242"/>
      <c r="DT3" s="242"/>
      <c r="DU3" s="242"/>
      <c r="DV3" s="243"/>
      <c r="DW3" s="241"/>
      <c r="DX3" s="242"/>
      <c r="DY3" s="242"/>
      <c r="DZ3" s="242"/>
      <c r="EA3" s="242"/>
      <c r="EB3" s="242"/>
      <c r="EC3" s="243"/>
      <c r="ED3" s="241"/>
      <c r="EE3" s="242"/>
      <c r="EF3" s="242"/>
      <c r="EG3" s="242"/>
      <c r="EH3" s="242"/>
      <c r="EI3" s="242"/>
      <c r="EJ3" s="243"/>
      <c r="EK3" s="241"/>
      <c r="EL3" s="242"/>
      <c r="EM3" s="242"/>
      <c r="EN3" s="242"/>
      <c r="EO3" s="242"/>
      <c r="EP3" s="242"/>
      <c r="EQ3" s="243"/>
      <c r="ER3" s="241"/>
      <c r="ES3" s="242"/>
      <c r="ET3" s="242"/>
      <c r="EU3" s="242"/>
      <c r="EV3" s="242"/>
      <c r="EW3" s="242"/>
      <c r="EX3" s="243"/>
    </row>
    <row r="4" spans="1:154" s="12" customFormat="1">
      <c r="A4" s="15"/>
      <c r="B4" s="2" t="s">
        <v>21</v>
      </c>
      <c r="C4" s="3"/>
      <c r="D4" s="3"/>
      <c r="E4" s="3"/>
      <c r="F4" s="4" t="s">
        <v>36</v>
      </c>
      <c r="G4" s="2"/>
      <c r="H4" s="5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31" t="s">
        <v>48</v>
      </c>
      <c r="N4" s="20" t="s">
        <v>4</v>
      </c>
      <c r="O4" s="114" t="s">
        <v>125</v>
      </c>
      <c r="P4" s="7" t="s">
        <v>4</v>
      </c>
      <c r="Q4" s="114" t="s">
        <v>125</v>
      </c>
      <c r="R4" s="7" t="s">
        <v>4</v>
      </c>
      <c r="S4" s="114" t="s">
        <v>125</v>
      </c>
      <c r="T4" s="7" t="s">
        <v>4</v>
      </c>
      <c r="U4" s="116" t="s">
        <v>125</v>
      </c>
      <c r="V4" s="108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26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26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26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5"/>
      <c r="AY4" s="27"/>
      <c r="AZ4" s="27"/>
      <c r="BA4" s="27"/>
      <c r="BB4" s="27"/>
      <c r="BC4" s="27"/>
      <c r="BD4" s="28"/>
      <c r="BE4" s="5"/>
      <c r="BF4" s="27"/>
      <c r="BG4" s="27"/>
      <c r="BH4" s="27"/>
      <c r="BI4" s="27"/>
      <c r="BJ4" s="27"/>
      <c r="BK4" s="28"/>
      <c r="BL4" s="5"/>
      <c r="BM4" s="27"/>
      <c r="BN4" s="27"/>
      <c r="BO4" s="27"/>
      <c r="BP4" s="27"/>
      <c r="BQ4" s="27"/>
      <c r="BR4" s="28"/>
      <c r="BS4" s="5"/>
      <c r="BT4" s="27"/>
      <c r="BU4" s="27"/>
      <c r="BV4" s="27"/>
      <c r="BW4" s="27"/>
      <c r="BX4" s="27"/>
      <c r="BY4" s="28"/>
      <c r="BZ4" s="32"/>
      <c r="CA4" s="33"/>
      <c r="CB4" s="33"/>
      <c r="CC4" s="33"/>
      <c r="CD4" s="33"/>
      <c r="CE4" s="33"/>
      <c r="CF4" s="34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4" s="12" customFormat="1">
      <c r="A5" s="15"/>
      <c r="B5" s="35" t="str">
        <f>+$A$1</f>
        <v>MAY 2017</v>
      </c>
      <c r="C5" s="36" t="s">
        <v>23</v>
      </c>
      <c r="D5" s="36" t="s">
        <v>52</v>
      </c>
      <c r="E5" s="36" t="s">
        <v>51</v>
      </c>
      <c r="F5" s="4" t="s">
        <v>66</v>
      </c>
      <c r="G5" s="37" t="s">
        <v>22</v>
      </c>
      <c r="H5" s="5" t="s">
        <v>7</v>
      </c>
      <c r="I5" s="38">
        <v>17.5</v>
      </c>
      <c r="J5" s="30" t="s">
        <v>13</v>
      </c>
      <c r="K5" s="8" t="s">
        <v>13</v>
      </c>
      <c r="L5" s="9" t="s">
        <v>13</v>
      </c>
      <c r="M5" s="39" t="s">
        <v>13</v>
      </c>
      <c r="N5" s="20" t="s">
        <v>2</v>
      </c>
      <c r="O5" s="115" t="s">
        <v>126</v>
      </c>
      <c r="P5" s="7" t="s">
        <v>5</v>
      </c>
      <c r="Q5" s="115" t="s">
        <v>126</v>
      </c>
      <c r="R5" s="7" t="s">
        <v>6</v>
      </c>
      <c r="S5" s="115" t="s">
        <v>126</v>
      </c>
      <c r="T5" s="7" t="s">
        <v>3</v>
      </c>
      <c r="U5" s="117" t="s">
        <v>126</v>
      </c>
      <c r="V5" s="108" t="s">
        <v>15</v>
      </c>
      <c r="W5" s="5" t="s">
        <v>0</v>
      </c>
      <c r="X5" s="27" t="s">
        <v>57</v>
      </c>
      <c r="Y5" s="27" t="s">
        <v>1</v>
      </c>
      <c r="Z5" s="27" t="s">
        <v>58</v>
      </c>
      <c r="AA5" s="27" t="s">
        <v>2</v>
      </c>
      <c r="AB5" s="27" t="s">
        <v>3</v>
      </c>
      <c r="AC5" s="28" t="s">
        <v>59</v>
      </c>
      <c r="AD5" s="5" t="s">
        <v>0</v>
      </c>
      <c r="AE5" s="27" t="s">
        <v>57</v>
      </c>
      <c r="AF5" s="27" t="s">
        <v>1</v>
      </c>
      <c r="AG5" s="27" t="s">
        <v>58</v>
      </c>
      <c r="AH5" s="27" t="s">
        <v>2</v>
      </c>
      <c r="AI5" s="27" t="s">
        <v>3</v>
      </c>
      <c r="AJ5" s="28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5" t="s">
        <v>0</v>
      </c>
      <c r="AY5" s="27" t="s">
        <v>57</v>
      </c>
      <c r="AZ5" s="27" t="s">
        <v>1</v>
      </c>
      <c r="BA5" s="27" t="s">
        <v>58</v>
      </c>
      <c r="BB5" s="27" t="s">
        <v>2</v>
      </c>
      <c r="BC5" s="27" t="s">
        <v>3</v>
      </c>
      <c r="BD5" s="28" t="s">
        <v>59</v>
      </c>
      <c r="BE5" s="5" t="s">
        <v>0</v>
      </c>
      <c r="BF5" s="27" t="s">
        <v>57</v>
      </c>
      <c r="BG5" s="27" t="s">
        <v>1</v>
      </c>
      <c r="BH5" s="27" t="s">
        <v>58</v>
      </c>
      <c r="BI5" s="27" t="s">
        <v>2</v>
      </c>
      <c r="BJ5" s="27" t="s">
        <v>3</v>
      </c>
      <c r="BK5" s="28" t="s">
        <v>59</v>
      </c>
      <c r="BL5" s="5" t="s">
        <v>0</v>
      </c>
      <c r="BM5" s="27" t="s">
        <v>57</v>
      </c>
      <c r="BN5" s="27" t="s">
        <v>1</v>
      </c>
      <c r="BO5" s="27" t="s">
        <v>58</v>
      </c>
      <c r="BP5" s="27" t="s">
        <v>2</v>
      </c>
      <c r="BQ5" s="27" t="s">
        <v>3</v>
      </c>
      <c r="BR5" s="28" t="s">
        <v>59</v>
      </c>
      <c r="BS5" s="5" t="s">
        <v>0</v>
      </c>
      <c r="BT5" s="27" t="s">
        <v>57</v>
      </c>
      <c r="BU5" s="27" t="s">
        <v>1</v>
      </c>
      <c r="BV5" s="27" t="s">
        <v>58</v>
      </c>
      <c r="BW5" s="27" t="s">
        <v>2</v>
      </c>
      <c r="BX5" s="27" t="s">
        <v>3</v>
      </c>
      <c r="BY5" s="28" t="s">
        <v>59</v>
      </c>
      <c r="BZ5" s="5" t="s">
        <v>0</v>
      </c>
      <c r="CA5" s="27" t="s">
        <v>60</v>
      </c>
      <c r="CB5" s="27" t="s">
        <v>1</v>
      </c>
      <c r="CC5" s="27" t="s">
        <v>61</v>
      </c>
      <c r="CD5" s="27" t="s">
        <v>2</v>
      </c>
      <c r="CE5" s="27" t="s">
        <v>3</v>
      </c>
      <c r="CF5" s="28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4" s="12" customFormat="1">
      <c r="A6" s="15"/>
      <c r="B6" s="35"/>
      <c r="C6" s="36"/>
      <c r="D6" s="36"/>
      <c r="E6" s="36"/>
      <c r="F6" s="4"/>
      <c r="G6" s="37"/>
      <c r="H6" s="5"/>
      <c r="I6" s="38"/>
      <c r="J6" s="30"/>
      <c r="K6" s="8"/>
      <c r="L6" s="9"/>
      <c r="M6" s="39"/>
      <c r="N6" s="20"/>
      <c r="O6" s="7"/>
      <c r="P6" s="7"/>
      <c r="Q6" s="7"/>
      <c r="R6" s="7"/>
      <c r="S6" s="7"/>
      <c r="T6" s="7"/>
      <c r="U6" s="21"/>
      <c r="V6" s="108"/>
      <c r="W6" s="5"/>
      <c r="X6" s="27"/>
      <c r="Y6" s="27"/>
      <c r="Z6" s="27"/>
      <c r="AA6" s="27"/>
      <c r="AB6" s="27"/>
      <c r="AC6" s="28"/>
      <c r="AD6" s="5"/>
      <c r="AE6" s="27"/>
      <c r="AF6" s="27"/>
      <c r="AG6" s="27"/>
      <c r="AH6" s="27"/>
      <c r="AI6" s="27"/>
      <c r="AJ6" s="28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5"/>
      <c r="AY6" s="27"/>
      <c r="AZ6" s="27"/>
      <c r="BA6" s="27"/>
      <c r="BB6" s="27"/>
      <c r="BC6" s="27"/>
      <c r="BD6" s="28"/>
      <c r="BE6" s="5"/>
      <c r="BF6" s="27"/>
      <c r="BG6" s="27"/>
      <c r="BH6" s="27"/>
      <c r="BI6" s="27"/>
      <c r="BJ6" s="27"/>
      <c r="BK6" s="28"/>
      <c r="BL6" s="5"/>
      <c r="BM6" s="27"/>
      <c r="BN6" s="27"/>
      <c r="BO6" s="27"/>
      <c r="BP6" s="27"/>
      <c r="BQ6" s="27"/>
      <c r="BR6" s="28"/>
      <c r="BS6" s="5"/>
      <c r="BT6" s="27"/>
      <c r="BU6" s="27"/>
      <c r="BV6" s="27"/>
      <c r="BW6" s="27"/>
      <c r="BX6" s="27"/>
      <c r="BY6" s="28"/>
      <c r="BZ6" s="5"/>
      <c r="CA6" s="27"/>
      <c r="CB6" s="27"/>
      <c r="CC6" s="27"/>
      <c r="CD6" s="27"/>
      <c r="CE6" s="27"/>
      <c r="CF6" s="28"/>
      <c r="CG6" s="5"/>
      <c r="CH6" s="27"/>
      <c r="CI6" s="27"/>
      <c r="CJ6" s="27"/>
      <c r="CK6" s="27"/>
      <c r="CL6" s="27"/>
      <c r="CM6" s="28"/>
      <c r="CN6" s="5"/>
      <c r="CO6" s="27"/>
      <c r="CP6" s="27"/>
      <c r="CQ6" s="27"/>
      <c r="CR6" s="27"/>
      <c r="CS6" s="27"/>
      <c r="CT6" s="28"/>
      <c r="CU6" s="5"/>
      <c r="CV6" s="27"/>
      <c r="CW6" s="27"/>
      <c r="CX6" s="27"/>
      <c r="CY6" s="27"/>
      <c r="CZ6" s="27"/>
      <c r="DA6" s="28"/>
      <c r="DB6" s="5"/>
      <c r="DC6" s="27"/>
      <c r="DD6" s="27"/>
      <c r="DE6" s="27"/>
      <c r="DF6" s="27"/>
      <c r="DG6" s="27"/>
      <c r="DH6" s="28"/>
      <c r="DI6" s="5"/>
      <c r="DJ6" s="27"/>
      <c r="DK6" s="27"/>
      <c r="DL6" s="27"/>
      <c r="DM6" s="27"/>
      <c r="DN6" s="27"/>
      <c r="DO6" s="28"/>
      <c r="DP6" s="5"/>
      <c r="DQ6" s="27"/>
      <c r="DR6" s="27"/>
      <c r="DS6" s="27"/>
      <c r="DT6" s="27"/>
      <c r="DU6" s="27"/>
      <c r="DV6" s="28"/>
      <c r="DW6" s="5"/>
      <c r="DX6" s="27"/>
      <c r="DY6" s="27"/>
      <c r="DZ6" s="27"/>
      <c r="EA6" s="27"/>
      <c r="EB6" s="27"/>
      <c r="EC6" s="28"/>
      <c r="ED6" s="5"/>
      <c r="EE6" s="27"/>
      <c r="EF6" s="27"/>
      <c r="EG6" s="27"/>
      <c r="EH6" s="27"/>
      <c r="EI6" s="27"/>
      <c r="EJ6" s="28"/>
      <c r="EK6" s="5"/>
      <c r="EL6" s="27"/>
      <c r="EM6" s="27"/>
      <c r="EN6" s="27"/>
      <c r="EO6" s="27"/>
      <c r="EP6" s="27"/>
      <c r="EQ6" s="28"/>
      <c r="ER6" s="5"/>
      <c r="ES6" s="27"/>
      <c r="ET6" s="27"/>
      <c r="EU6" s="27"/>
      <c r="EV6" s="27"/>
      <c r="EW6" s="27"/>
      <c r="EX6" s="28"/>
    </row>
    <row r="7" spans="1:154" s="12" customFormat="1">
      <c r="A7" s="15">
        <v>1</v>
      </c>
      <c r="B7" s="40" t="s">
        <v>121</v>
      </c>
      <c r="C7" s="41" t="s">
        <v>27</v>
      </c>
      <c r="D7" s="42" t="s">
        <v>137</v>
      </c>
      <c r="E7" s="43" t="s">
        <v>65</v>
      </c>
      <c r="F7" s="4">
        <v>2015</v>
      </c>
      <c r="G7" s="41">
        <v>2001</v>
      </c>
      <c r="H7" s="44">
        <f>IF(V7="",SUM(N7:T7),SUM(N7:T7)+V7)</f>
        <v>274.60300000000001</v>
      </c>
      <c r="I7" s="45" t="s">
        <v>50</v>
      </c>
      <c r="J7" s="46" t="str">
        <f>IF('TRA-M'!$A$2-F7&lt;=1,IF(AA7&gt;=$W$3,"YES",IF(AH7&gt;=$AD$3,"YES",IF(AO7&gt;=$AK$3,"YES",""))),"")</f>
        <v/>
      </c>
      <c r="K7" s="47" t="str">
        <f>IF(AA7&gt;=$Y$3,IF(I7="YES","YES",""),IF(AH7&gt;=$AF$3,IF(I7="YES","YES",""),IF(AO7&gt;=$AM$3,IF(I7="YES","YES",""),"")))</f>
        <v>YES</v>
      </c>
      <c r="L7" s="48" t="str">
        <f>IF(AA7&gt;=$AA$3,IF(I7="YES","YES",""),IF(AH7&gt;=$AH$3,IF(I7="YES","YES",""),IF(AO7&gt;=$AO$3,IF(I7="YES","YES",""),"")))</f>
        <v>YES</v>
      </c>
      <c r="M7" s="49" t="str">
        <f>IF(AA7&gt;=$AB$3,IF(I7="YES","YES",""),IF(AH7&gt;=$AI$3,IF(I7="YES","YES",""),IF(AO7&gt;=$AP$3,IF(I7="YES","YES",""),"")))</f>
        <v>YES</v>
      </c>
      <c r="N7" s="5">
        <f>MAX($AO7,$AH7,$AA7)</f>
        <v>108.02800000000001</v>
      </c>
      <c r="O7" s="27"/>
      <c r="P7" s="27">
        <f>IF($N7=$AO7,MAX($AD7+$AE7,$W7+$X7),IF($N7=$AH7,MAX($AK7+$AL7,$W7+$X7),MAX($AK7+$AL7,$AD7+$AE7)))</f>
        <v>47.855000000000004</v>
      </c>
      <c r="Q7" s="115">
        <v>3</v>
      </c>
      <c r="R7" s="27">
        <f>IF($N7=$AO7,MAX($AF7+$AG7,$Y7+$Z7),IF($N7=$AH7,MAX($AM7+$AN7,$Y7+$Z7),MAX($AM7+$AN7,$AF7+$AG7)))</f>
        <v>56.82</v>
      </c>
      <c r="S7" s="115">
        <v>1</v>
      </c>
      <c r="T7" s="27">
        <f>MAX($AP7+$AQ7,$AI7+$AJ7,$AB7+$AC7)</f>
        <v>55.885000000000005</v>
      </c>
      <c r="U7" s="117">
        <v>1</v>
      </c>
      <c r="V7" s="109">
        <f>IF(MAX(AR7:AT7)&lt;=0,"",MAX(AR7:AT7))</f>
        <v>2.0150000000000006</v>
      </c>
      <c r="W7" s="50">
        <f>27.3+2.2</f>
        <v>29.5</v>
      </c>
      <c r="X7" s="51">
        <v>17.3</v>
      </c>
      <c r="Y7" s="52">
        <f>25.5+14.4</f>
        <v>39.9</v>
      </c>
      <c r="Z7" s="51">
        <v>16.68</v>
      </c>
      <c r="AA7" s="53">
        <f>SUM(W7:Z7)</f>
        <v>103.38</v>
      </c>
      <c r="AB7" s="54">
        <f>5.6+3.4</f>
        <v>9</v>
      </c>
      <c r="AC7" s="55">
        <v>3.53</v>
      </c>
      <c r="AD7" s="118">
        <f>28.1+2.2</f>
        <v>30.3</v>
      </c>
      <c r="AE7" s="115">
        <v>17.555</v>
      </c>
      <c r="AF7" s="119">
        <f>26.2+13.8</f>
        <v>40</v>
      </c>
      <c r="AG7" s="115">
        <v>16.82</v>
      </c>
      <c r="AH7" s="53">
        <f>SUM(AD7:AG7)</f>
        <v>104.67500000000001</v>
      </c>
      <c r="AI7" s="119">
        <f>25.2+13.8</f>
        <v>39</v>
      </c>
      <c r="AJ7" s="117">
        <v>16.885000000000002</v>
      </c>
      <c r="AK7" s="105">
        <f>29.9+3</f>
        <v>32.9</v>
      </c>
      <c r="AL7" s="57">
        <v>17.428000000000001</v>
      </c>
      <c r="AM7" s="106">
        <f>39.95+1</f>
        <v>40.950000000000003</v>
      </c>
      <c r="AN7" s="57">
        <v>16.75</v>
      </c>
      <c r="AO7" s="58">
        <f>SUM(AK7:AN7)</f>
        <v>108.02800000000001</v>
      </c>
      <c r="AP7" s="106">
        <f>24+0.75</f>
        <v>24.75</v>
      </c>
      <c r="AQ7" s="57">
        <v>10.208</v>
      </c>
      <c r="AR7" s="5">
        <f>IF(AU7="","",AU7-P7)</f>
        <v>-3.6000000000000014</v>
      </c>
      <c r="AS7" s="27">
        <f>IF(AV7="","",AV7-R7)</f>
        <v>0.14500000000000313</v>
      </c>
      <c r="AT7" s="28">
        <f>IF(AW7="","",AW7-T7)</f>
        <v>2.0150000000000006</v>
      </c>
      <c r="AU7" s="5">
        <f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44.255000000000003</v>
      </c>
      <c r="AV7" s="27">
        <f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56.965000000000003</v>
      </c>
      <c r="AW7" s="28">
        <f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>57.900000000000006</v>
      </c>
      <c r="AX7" s="50">
        <v>25.6</v>
      </c>
      <c r="AY7" s="51">
        <v>16.895</v>
      </c>
      <c r="AZ7" s="54">
        <f>14.6+8.6</f>
        <v>23.2</v>
      </c>
      <c r="BA7" s="54">
        <v>10.225</v>
      </c>
      <c r="BB7" s="53">
        <f>IF(AZ7&lt;&gt;"",SUM(AX7:BA7),"")</f>
        <v>75.92</v>
      </c>
      <c r="BC7" s="59"/>
      <c r="BD7" s="56"/>
      <c r="BE7" s="50"/>
      <c r="BF7" s="51"/>
      <c r="BG7" s="51"/>
      <c r="BH7" s="51"/>
      <c r="BI7" s="53" t="str">
        <f>IF(BG7&lt;&gt;"",SUM(BE7:BH7),"")</f>
        <v/>
      </c>
      <c r="BJ7" s="59"/>
      <c r="BK7" s="56"/>
      <c r="BL7" s="50">
        <f>18.1+9.05+0</f>
        <v>27.150000000000002</v>
      </c>
      <c r="BM7" s="51">
        <v>17.105</v>
      </c>
      <c r="BN7" s="51">
        <f>17+8.85+14.4</f>
        <v>40.25</v>
      </c>
      <c r="BO7" s="51">
        <v>16.715</v>
      </c>
      <c r="BP7" s="60">
        <f>IF(BN7&lt;&gt;"",SUM(BL7:BO7),"")</f>
        <v>101.22</v>
      </c>
      <c r="BQ7" s="59">
        <f>18+9+14.2</f>
        <v>41.2</v>
      </c>
      <c r="BR7" s="56">
        <v>16.7</v>
      </c>
      <c r="BS7" s="50"/>
      <c r="BT7" s="51"/>
      <c r="BU7" s="51"/>
      <c r="BV7" s="51"/>
      <c r="BW7" s="53" t="str">
        <f>IF(BU7&lt;&gt;"",SUM(BS7:BV7),"")</f>
        <v/>
      </c>
      <c r="BX7" s="59"/>
      <c r="BY7" s="56"/>
      <c r="BZ7" s="5"/>
      <c r="CA7" s="27"/>
      <c r="CB7" s="27"/>
      <c r="CC7" s="27"/>
      <c r="CD7" s="53" t="str">
        <f>IF(CB7&lt;&gt;"",SUM(BZ7:CC7),"")</f>
        <v/>
      </c>
      <c r="CE7" s="14"/>
      <c r="CF7" s="28"/>
      <c r="CG7" s="5"/>
      <c r="CH7" s="27"/>
      <c r="CI7" s="27"/>
      <c r="CJ7" s="27"/>
      <c r="CK7" s="53" t="str">
        <f>IF(CI7&lt;&gt;"",SUM(CG7:CJ7),"")</f>
        <v/>
      </c>
      <c r="CL7" s="14"/>
      <c r="CM7" s="28"/>
      <c r="CN7" s="5"/>
      <c r="CO7" s="27"/>
      <c r="CP7" s="27"/>
      <c r="CQ7" s="27"/>
      <c r="CR7" s="53" t="str">
        <f>IF(CP7&lt;&gt;"",SUM(CN7:CQ7),"")</f>
        <v/>
      </c>
      <c r="CS7" s="14"/>
      <c r="CT7" s="28"/>
      <c r="CU7" s="5"/>
      <c r="CV7" s="27"/>
      <c r="CW7" s="27"/>
      <c r="CX7" s="27"/>
      <c r="CY7" s="53" t="str">
        <f>IF(CW7&lt;&gt;"",SUM(CU7:CX7),"")</f>
        <v/>
      </c>
      <c r="CZ7" s="14"/>
      <c r="DA7" s="28"/>
      <c r="DB7" s="5"/>
      <c r="DC7" s="27"/>
      <c r="DD7" s="27"/>
      <c r="DE7" s="27"/>
      <c r="DF7" s="53" t="str">
        <f>IF(DD7&lt;&gt;"",SUM(DB7:DE7),"")</f>
        <v/>
      </c>
      <c r="DG7" s="14"/>
      <c r="DH7" s="28"/>
      <c r="DI7" s="5"/>
      <c r="DJ7" s="27"/>
      <c r="DK7" s="27"/>
      <c r="DL7" s="27"/>
      <c r="DM7" s="53" t="str">
        <f>IF(DK7&lt;&gt;"",SUM(DI7:DL7),"")</f>
        <v/>
      </c>
      <c r="DN7" s="14"/>
      <c r="DO7" s="28"/>
      <c r="DP7" s="5"/>
      <c r="DQ7" s="27"/>
      <c r="DR7" s="27"/>
      <c r="DS7" s="27"/>
      <c r="DT7" s="53" t="str">
        <f>IF(DR7&lt;&gt;"",SUM(DP7:DS7),"")</f>
        <v/>
      </c>
      <c r="DU7" s="14"/>
      <c r="DV7" s="28"/>
      <c r="DW7" s="5"/>
      <c r="DX7" s="27"/>
      <c r="DY7" s="27"/>
      <c r="DZ7" s="27"/>
      <c r="EA7" s="53" t="str">
        <f>IF(DY7&lt;&gt;"",SUM(DW7:DZ7),"")</f>
        <v/>
      </c>
      <c r="EB7" s="14"/>
      <c r="EC7" s="28"/>
      <c r="ED7" s="5"/>
      <c r="EE7" s="27"/>
      <c r="EF7" s="27"/>
      <c r="EG7" s="27"/>
      <c r="EH7" s="53" t="str">
        <f>IF(EF7&lt;&gt;"",SUM(ED7:EG7),"")</f>
        <v/>
      </c>
      <c r="EI7" s="14"/>
      <c r="EJ7" s="28"/>
      <c r="EK7" s="5"/>
      <c r="EL7" s="27"/>
      <c r="EM7" s="27"/>
      <c r="EN7" s="27"/>
      <c r="EO7" s="53" t="str">
        <f>IF(EM7&lt;&gt;"",SUM(EK7:EN7),"")</f>
        <v/>
      </c>
      <c r="EP7" s="14"/>
      <c r="EQ7" s="28"/>
      <c r="ER7" s="5"/>
      <c r="ES7" s="27"/>
      <c r="ET7" s="27"/>
      <c r="EU7" s="27"/>
      <c r="EV7" s="53" t="str">
        <f>IF(ET7&lt;&gt;"",SUM(ER7:EU7),"")</f>
        <v/>
      </c>
      <c r="EW7" s="14"/>
      <c r="EX7" s="28"/>
    </row>
    <row r="8" spans="1:154" s="12" customFormat="1">
      <c r="A8" s="15">
        <v>2</v>
      </c>
      <c r="B8" s="61" t="s">
        <v>74</v>
      </c>
      <c r="C8" s="62" t="s">
        <v>25</v>
      </c>
      <c r="D8" s="42" t="s">
        <v>70</v>
      </c>
      <c r="E8" s="43" t="s">
        <v>65</v>
      </c>
      <c r="F8" s="4">
        <v>2015</v>
      </c>
      <c r="G8" s="132">
        <v>1999</v>
      </c>
      <c r="H8" s="44">
        <f>IF(V8="",SUM(N8:T8),SUM(N8:T8)+V8)</f>
        <v>255.26500000000004</v>
      </c>
      <c r="I8" s="45" t="s">
        <v>50</v>
      </c>
      <c r="J8" s="46" t="str">
        <f>IF('TRA-M'!$A$2-F8&lt;=1,IF(AA8&gt;=$W$3,"YES",IF(AH8&gt;=$AD$3,"YES",IF(AO8&gt;=$AK$3,"YES",""))),"")</f>
        <v/>
      </c>
      <c r="K8" s="47" t="str">
        <f>IF(AA8&gt;=$Y$3,IF(I8="YES","YES",""),IF(AH8&gt;=$AF$3,IF(I8="YES","YES",""),IF(AO8&gt;=$AM$3,IF(I8="YES","YES",""),"")))</f>
        <v>YES</v>
      </c>
      <c r="L8" s="48" t="str">
        <f>IF(AA8&gt;=$AA$3,IF(I8="YES","YES",""),IF(AH8&gt;=$AH$3,IF(I8="YES","YES",""),IF(AO8&gt;=$AO$3,IF(I8="YES","YES",""),"")))</f>
        <v/>
      </c>
      <c r="M8" s="49" t="str">
        <f>IF(AA8&gt;=$AB$3,IF(I8="YES","YES",""),IF(AH8&gt;=$AI$3,IF(I8="YES","YES",""),IF(AO8&gt;=$AP$3,IF(I8="YES","YES",""),"")))</f>
        <v/>
      </c>
      <c r="N8" s="5">
        <f>MAX($AO8,$AH8,$AA8)</f>
        <v>100.83000000000001</v>
      </c>
      <c r="O8" s="27"/>
      <c r="P8" s="27">
        <f>IF($N8=$AO8,MAX($AD8+$AE8,$W8+$X8),IF($N8=$AH8,MAX($AK8+$AL8,$W8+$X8),MAX($AK8+$AL8,$AD8+$AE8)))</f>
        <v>44.905000000000001</v>
      </c>
      <c r="Q8" s="115">
        <v>3</v>
      </c>
      <c r="R8" s="27">
        <f>IF($N8=$AO8,MAX($AF8+$AG8,$Y8+$Z8),IF($N8=$AH8,MAX($AM8+$AN8,$Y8+$Z8),MAX($AM8+$AN8,$AF8+$AG8)))</f>
        <v>49.43</v>
      </c>
      <c r="S8" s="115">
        <v>1</v>
      </c>
      <c r="T8" s="27">
        <f>MAX($AP8+$AQ8,$AI8+$AJ8,$AB8+$AC8)</f>
        <v>54.045000000000002</v>
      </c>
      <c r="U8" s="28"/>
      <c r="V8" s="109">
        <f>IF(MAX(AR8:AT8)&lt;=0,"",MAX(AR8:AT8))</f>
        <v>2.0549999999999997</v>
      </c>
      <c r="W8" s="50">
        <f>23.9+2.2</f>
        <v>26.099999999999998</v>
      </c>
      <c r="X8" s="51">
        <v>15.44</v>
      </c>
      <c r="Y8" s="51">
        <f>19.6+11.9</f>
        <v>31.5</v>
      </c>
      <c r="Z8" s="51">
        <v>15.525</v>
      </c>
      <c r="AA8" s="53">
        <f>SUM(W8:Z8)</f>
        <v>88.564999999999998</v>
      </c>
      <c r="AB8" s="54">
        <f>14.7+9.2</f>
        <v>23.9</v>
      </c>
      <c r="AC8" s="55">
        <v>9.1999999999999993</v>
      </c>
      <c r="AD8" s="118">
        <f>25.6+2.7</f>
        <v>28.3</v>
      </c>
      <c r="AE8" s="115">
        <v>16.605</v>
      </c>
      <c r="AF8" s="119">
        <f>20.5+13.1</f>
        <v>33.6</v>
      </c>
      <c r="AG8" s="115">
        <v>15.83</v>
      </c>
      <c r="AH8" s="53">
        <f>SUM(AD8:AG8)</f>
        <v>94.334999999999994</v>
      </c>
      <c r="AI8" s="52">
        <f>21.9+13.1</f>
        <v>35</v>
      </c>
      <c r="AJ8" s="56">
        <v>15.654999999999999</v>
      </c>
      <c r="AK8" s="50">
        <f>16.6+9+5.6</f>
        <v>31.200000000000003</v>
      </c>
      <c r="AL8" s="51">
        <v>15.7</v>
      </c>
      <c r="AM8" s="51">
        <f>14.5+9.2+14.2</f>
        <v>37.9</v>
      </c>
      <c r="AN8" s="51">
        <v>16.03</v>
      </c>
      <c r="AO8" s="60">
        <f>SUM(AK8:AN8)</f>
        <v>100.83000000000001</v>
      </c>
      <c r="AP8" s="51">
        <f>14.9+8.9+14.4</f>
        <v>38.200000000000003</v>
      </c>
      <c r="AQ8" s="56">
        <v>15.845000000000001</v>
      </c>
      <c r="AR8" s="5">
        <f>IF(AU8="","",AU8-P8)</f>
        <v>-5.2049999999999983</v>
      </c>
      <c r="AS8" s="27">
        <f>IF(AV8="","",AV8-R8)</f>
        <v>2.0549999999999997</v>
      </c>
      <c r="AT8" s="28">
        <f>IF(AW8="","",AW8-T8)</f>
        <v>-2.384999999999998</v>
      </c>
      <c r="AU8" s="5">
        <f>IF(MAX($AX8+$AY8,$BE8+$BF8,$BL8+$BM8,$BS8+$BT8,$BZ8+$CA8,$CG8+$CH8,$CN8+$CO8,$CU8+$CV8,$DB8+$DC8,$DI8+$DJ8,$DP8+$DQ8,$DW8+$DX8,$ED8+$EE8,$EK8+$EL8,$ER8+$ES8)=0,"",MAX($AX8+$AY8,$BE8+$BF8,$BL8+$BM8,$BS8+$BT8,$BZ8+$CA8,$CG8+$CH8,$CN8+$CO8,$CU8+$CV8,$DB8+$DC8,$DI8+$DJ8,$DP8+$DQ8,$DW8+$DX8,$ED8+$EE8,$EK8+$EL8,$ER8+$ES8))</f>
        <v>39.700000000000003</v>
      </c>
      <c r="AV8" s="27">
        <f>IF(MAX($AZ8+$BA8,$BG8+$BH8,$BN8+$BO8,$BU8+$BV8,$CB8+$CC8,$CI8+$CJ8,$CP8+$CQ8,$CW8+$CX8,$DD8+$DE8,$DK8+$DL8,$DR8+$DS8,$DY8+$DZ8,$EF8+$EG8,$EM8+$EN8,$ET8+$EU8)=0,"",MAX($AZ8+$BA8,$BG8+$BH8,$BN8+$BO8,$BU8+$BV8,$CB8+$CC8,$CI8+$CJ8,$CP8+$CQ8,$CW8+$CX8,$DD8+$DE8,$DK8+$DL8,$DR8+$DS8,$DY8+$DZ8,$EF8+$EG8,$EM8+$EN8,$ET8+$EU8))</f>
        <v>51.484999999999999</v>
      </c>
      <c r="AW8" s="28">
        <f>IF(MAX($BC8+$BD8,$BJ8+$BK8,$BQ8+$BR8,$BX8+$BY8,$CE8+$CF8,$CL8+$CM8,$CS8+$CT8,$CZ8+$DA8,$DG8+$DH8,$DN8+$DO8,$DU8+$DV8,$EB8+$EC8,$EI8+$EJ8,$EP8+$EQ8,$EW8+$EX8)=0,"",MAX($BC8+$BD8,$BJ8+$BK8,$BQ8+$BR8,$BX8+$BY8,$CE8+$CF8,$CL8+$CM8,$CS8+$CT8,$CZ8+$DA8,$DG8+$DH8,$DN8+$DO8,$DU8+$DV8,$EB8+$EC8,$EI8+$EJ8,$EP8+$EQ8,$EW8+$EX8))</f>
        <v>51.660000000000004</v>
      </c>
      <c r="AX8" s="50"/>
      <c r="AY8" s="51"/>
      <c r="AZ8" s="51"/>
      <c r="BA8" s="51"/>
      <c r="BB8" s="53" t="str">
        <f>IF(AZ8&lt;&gt;"",SUM(AX8:BA8),"")</f>
        <v/>
      </c>
      <c r="BC8" s="59"/>
      <c r="BD8" s="51"/>
      <c r="BE8" s="63">
        <v>23.6</v>
      </c>
      <c r="BF8" s="64">
        <v>16.100000000000001</v>
      </c>
      <c r="BG8" s="65">
        <f>23+12.9</f>
        <v>35.9</v>
      </c>
      <c r="BH8" s="64">
        <v>15.585000000000001</v>
      </c>
      <c r="BI8" s="66">
        <f>IF(BG8&lt;&gt;"",SUM(BE8:BH8),"")</f>
        <v>91.185000000000002</v>
      </c>
      <c r="BJ8" s="67">
        <f>23.2+12.9</f>
        <v>36.1</v>
      </c>
      <c r="BK8" s="64">
        <v>15.56</v>
      </c>
      <c r="BL8" s="50"/>
      <c r="BM8" s="51"/>
      <c r="BN8" s="52"/>
      <c r="BO8" s="51"/>
      <c r="BP8" s="53"/>
      <c r="BQ8" s="68"/>
      <c r="BR8" s="51"/>
      <c r="BS8" s="50"/>
      <c r="BT8" s="51"/>
      <c r="BU8" s="52"/>
      <c r="BV8" s="51"/>
      <c r="BW8" s="53"/>
      <c r="BX8" s="68"/>
      <c r="BY8" s="51"/>
      <c r="BZ8" s="5"/>
      <c r="CA8" s="27"/>
      <c r="CB8" s="27"/>
      <c r="CC8" s="27"/>
      <c r="CD8" s="53" t="str">
        <f>IF(CB8&lt;&gt;"",SUM(BZ8:CC8),"")</f>
        <v/>
      </c>
      <c r="CE8" s="14"/>
      <c r="CF8" s="28"/>
      <c r="CG8" s="5"/>
      <c r="CH8" s="27"/>
      <c r="CI8" s="27"/>
      <c r="CJ8" s="27"/>
      <c r="CK8" s="53" t="str">
        <f>IF(CI8&lt;&gt;"",SUM(CG8:CJ8),"")</f>
        <v/>
      </c>
      <c r="CL8" s="14"/>
      <c r="CM8" s="28"/>
      <c r="CN8" s="5"/>
      <c r="CO8" s="27"/>
      <c r="CP8" s="27"/>
      <c r="CQ8" s="27"/>
      <c r="CR8" s="53" t="str">
        <f>IF(CP8&lt;&gt;"",SUM(CN8:CQ8),"")</f>
        <v/>
      </c>
      <c r="CS8" s="14"/>
      <c r="CT8" s="28"/>
      <c r="CU8" s="5"/>
      <c r="CV8" s="27"/>
      <c r="CW8" s="27"/>
      <c r="CX8" s="27"/>
      <c r="CY8" s="53" t="str">
        <f>IF(CW8&lt;&gt;"",SUM(CU8:CX8),"")</f>
        <v/>
      </c>
      <c r="CZ8" s="14"/>
      <c r="DA8" s="28"/>
      <c r="DB8" s="5"/>
      <c r="DC8" s="27"/>
      <c r="DD8" s="27"/>
      <c r="DE8" s="27"/>
      <c r="DF8" s="53" t="str">
        <f>IF(DD8&lt;&gt;"",SUM(DB8:DE8),"")</f>
        <v/>
      </c>
      <c r="DG8" s="14"/>
      <c r="DH8" s="28"/>
      <c r="DI8" s="5"/>
      <c r="DJ8" s="27"/>
      <c r="DK8" s="27"/>
      <c r="DL8" s="27"/>
      <c r="DM8" s="53" t="str">
        <f>IF(DK8&lt;&gt;"",SUM(DI8:DL8),"")</f>
        <v/>
      </c>
      <c r="DN8" s="14"/>
      <c r="DO8" s="28"/>
      <c r="DP8" s="5"/>
      <c r="DQ8" s="27"/>
      <c r="DR8" s="27"/>
      <c r="DS8" s="27"/>
      <c r="DT8" s="53" t="str">
        <f>IF(DR8&lt;&gt;"",SUM(DP8:DS8),"")</f>
        <v/>
      </c>
      <c r="DU8" s="14"/>
      <c r="DV8" s="28"/>
      <c r="DW8" s="5"/>
      <c r="DX8" s="27"/>
      <c r="DY8" s="27"/>
      <c r="DZ8" s="27"/>
      <c r="EA8" s="53" t="str">
        <f>IF(DY8&lt;&gt;"",SUM(DW8:DZ8),"")</f>
        <v/>
      </c>
      <c r="EB8" s="14"/>
      <c r="EC8" s="28"/>
      <c r="ED8" s="5"/>
      <c r="EE8" s="27"/>
      <c r="EF8" s="27"/>
      <c r="EG8" s="27"/>
      <c r="EH8" s="53" t="str">
        <f>IF(EF8&lt;&gt;"",SUM(ED8:EG8),"")</f>
        <v/>
      </c>
      <c r="EI8" s="14"/>
      <c r="EJ8" s="28"/>
      <c r="EK8" s="5"/>
      <c r="EL8" s="27"/>
      <c r="EM8" s="27"/>
      <c r="EN8" s="27"/>
      <c r="EO8" s="53" t="str">
        <f>IF(EM8&lt;&gt;"",SUM(EK8:EN8),"")</f>
        <v/>
      </c>
      <c r="EP8" s="14"/>
      <c r="EQ8" s="28"/>
      <c r="ER8" s="5"/>
      <c r="ES8" s="27"/>
      <c r="ET8" s="27"/>
      <c r="EU8" s="27"/>
      <c r="EV8" s="53" t="str">
        <f>IF(ET8&lt;&gt;"",SUM(ER8:EU8),"")</f>
        <v/>
      </c>
      <c r="EW8" s="14"/>
      <c r="EX8" s="28"/>
    </row>
    <row r="9" spans="1:154" s="12" customFormat="1">
      <c r="A9" s="15">
        <v>3</v>
      </c>
      <c r="B9" s="61" t="s">
        <v>75</v>
      </c>
      <c r="C9" s="62" t="s">
        <v>27</v>
      </c>
      <c r="D9" s="42" t="s">
        <v>137</v>
      </c>
      <c r="E9" s="43" t="s">
        <v>65</v>
      </c>
      <c r="F9" s="4">
        <v>2015</v>
      </c>
      <c r="G9" s="132">
        <v>1999</v>
      </c>
      <c r="H9" s="44">
        <f>IF(V9="",SUM(N9:T9),SUM(N9:T9)+V9)</f>
        <v>254.875</v>
      </c>
      <c r="I9" s="45" t="s">
        <v>50</v>
      </c>
      <c r="J9" s="46" t="str">
        <f>IF('TRA-M'!$A$2-F9&lt;=1,IF(AA9&gt;=$W$3,"YES",IF(AH9&gt;=$AD$3,"YES",IF(AO9&gt;=$AK$3,"YES",""))),"")</f>
        <v/>
      </c>
      <c r="K9" s="47" t="str">
        <f>IF(AA9&gt;=$Y$3,IF(I9="YES","YES",""),IF(AH9&gt;=$AF$3,IF(I9="YES","YES",""),IF(AO9&gt;=$AM$3,IF(I9="YES","YES",""),"")))</f>
        <v>YES</v>
      </c>
      <c r="L9" s="48" t="str">
        <f>IF(AA9&gt;=$AA$3,IF(I9="YES","YES",""),IF(AH9&gt;=$AH$3,IF(I9="YES","YES",""),IF(AO9&gt;=$AO$3,IF(I9="YES","YES",""),"")))</f>
        <v>YES</v>
      </c>
      <c r="M9" s="49" t="str">
        <f>IF(AA9&gt;=$AB$3,IF(I9="YES","YES",""),IF(AH9&gt;=$AI$3,IF(I9="YES","YES",""),IF(AO9&gt;=$AP$3,IF(I9="YES","YES",""),"")))</f>
        <v/>
      </c>
      <c r="N9" s="5">
        <f>MAX($AO9,$AH9,$AA9)</f>
        <v>104.35</v>
      </c>
      <c r="O9" s="27"/>
      <c r="P9" s="27">
        <f>IF($N9=$AO9,MAX($AD9+$AE9,$W9+$X9),IF($N9=$AH9,MAX($AK9+$AL9,$W9+$X9),MAX($AK9+$AL9,$AD9+$AE9)))</f>
        <v>45.17</v>
      </c>
      <c r="Q9" s="115">
        <v>3</v>
      </c>
      <c r="R9" s="27">
        <f>IF($N9=$AO9,MAX($AF9+$AG9,$Y9+$Z9),IF($N9=$AH9,MAX($AM9+$AN9,$Y9+$Z9),MAX($AM9+$AN9,$AF9+$AG9)))</f>
        <v>51.62</v>
      </c>
      <c r="S9" s="115">
        <v>1</v>
      </c>
      <c r="T9" s="27">
        <f>MAX($AP9+$AQ9,$AI9+$AJ9,$AB9+$AC9)</f>
        <v>49.734999999999999</v>
      </c>
      <c r="U9" s="117">
        <v>1</v>
      </c>
      <c r="V9" s="109" t="str">
        <f>IF(MAX(AR9:AT9)&lt;=0,"",MAX(AR9:AT9))</f>
        <v/>
      </c>
      <c r="W9" s="118">
        <f>26.2+2</f>
        <v>28.2</v>
      </c>
      <c r="X9" s="115">
        <v>16.97</v>
      </c>
      <c r="Y9" s="119">
        <f>23.1+12.9</f>
        <v>36</v>
      </c>
      <c r="Z9" s="115">
        <v>15.62</v>
      </c>
      <c r="AA9" s="53">
        <f>SUM(W9:Z9)</f>
        <v>96.79</v>
      </c>
      <c r="AB9" s="115">
        <f>23.2+11.1</f>
        <v>34.299999999999997</v>
      </c>
      <c r="AC9" s="117">
        <v>15.435</v>
      </c>
      <c r="AD9" s="50">
        <f>24.1+2.2</f>
        <v>26.3</v>
      </c>
      <c r="AE9" s="51">
        <v>17.25</v>
      </c>
      <c r="AF9" s="54">
        <f>14+7.7</f>
        <v>21.7</v>
      </c>
      <c r="AG9" s="54">
        <v>9.8550000000000004</v>
      </c>
      <c r="AH9" s="53">
        <f>SUM(AD9:AG9)</f>
        <v>75.105000000000004</v>
      </c>
      <c r="AI9" s="54">
        <f>13.8+7.9</f>
        <v>21.700000000000003</v>
      </c>
      <c r="AJ9" s="55">
        <v>9.92</v>
      </c>
      <c r="AK9" s="50">
        <f>18.5+9.5+4.1-0.2</f>
        <v>31.900000000000002</v>
      </c>
      <c r="AL9" s="51">
        <v>17.100000000000001</v>
      </c>
      <c r="AM9" s="51">
        <f>16.8+9.4+13</f>
        <v>39.200000000000003</v>
      </c>
      <c r="AN9" s="51">
        <v>16.149999999999999</v>
      </c>
      <c r="AO9" s="53">
        <f>SUM(AK9:AN9)</f>
        <v>104.35</v>
      </c>
      <c r="AP9" s="54">
        <f>5+2.8+4.7-0.2</f>
        <v>12.3</v>
      </c>
      <c r="AQ9" s="55">
        <v>5.05</v>
      </c>
      <c r="AR9" s="5">
        <f>IF(AU9="","",AU9-P9)</f>
        <v>-2.355000000000004</v>
      </c>
      <c r="AS9" s="27">
        <f>IF(AV9="","",AV9-R9)</f>
        <v>-1.4849999999999994</v>
      </c>
      <c r="AT9" s="28">
        <f>IF(AW9="","",AW9-T9)</f>
        <v>-30.06</v>
      </c>
      <c r="AU9" s="5">
        <f>IF(MAX($AX9+$AY9,$BE9+$BF9,$BL9+$BM9,$BS9+$BT9,$BZ9+$CA9,$CG9+$CH9,$CN9+$CO9,$CU9+$CV9,$DB9+$DC9,$DI9+$DJ9,$DP9+$DQ9,$DW9+$DX9,$ED9+$EE9,$EK9+$EL9,$ER9+$ES9)=0,"",MAX($AX9+$AY9,$BE9+$BF9,$BL9+$BM9,$BS9+$BT9,$BZ9+$CA9,$CG9+$CH9,$CN9+$CO9,$CU9+$CV9,$DB9+$DC9,$DI9+$DJ9,$DP9+$DQ9,$DW9+$DX9,$ED9+$EE9,$EK9+$EL9,$ER9+$ES9))</f>
        <v>42.814999999999998</v>
      </c>
      <c r="AV9" s="27">
        <f>IF(MAX($AZ9+$BA9,$BG9+$BH9,$BN9+$BO9,$BU9+$BV9,$CB9+$CC9,$CI9+$CJ9,$CP9+$CQ9,$CW9+$CX9,$DD9+$DE9,$DK9+$DL9,$DR9+$DS9,$DY9+$DZ9,$EF9+$EG9,$EM9+$EN9,$ET9+$EU9)=0,"",MAX($AZ9+$BA9,$BG9+$BH9,$BN9+$BO9,$BU9+$BV9,$CB9+$CC9,$CI9+$CJ9,$CP9+$CQ9,$CW9+$CX9,$DD9+$DE9,$DK9+$DL9,$DR9+$DS9,$DY9+$DZ9,$EF9+$EG9,$EM9+$EN9,$ET9+$EU9))</f>
        <v>50.134999999999998</v>
      </c>
      <c r="AW9" s="28">
        <f>IF(MAX($BC9+$BD9,$BJ9+$BK9,$BQ9+$BR9,$BX9+$BY9,$CE9+$CF9,$CL9+$CM9,$CS9+$CT9,$CZ9+$DA9,$DG9+$DH9,$DN9+$DO9,$DU9+$DV9,$EB9+$EC9,$EI9+$EJ9,$EP9+$EQ9,$EW9+$EX9)=0,"",MAX($BC9+$BD9,$BJ9+$BK9,$BQ9+$BR9,$BX9+$BY9,$CE9+$CF9,$CL9+$CM9,$CS9+$CT9,$CZ9+$DA9,$DG9+$DH9,$DN9+$DO9,$DU9+$DV9,$EB9+$EC9,$EI9+$EJ9,$EP9+$EQ9,$EW9+$EX9))</f>
        <v>19.675000000000001</v>
      </c>
      <c r="AX9" s="50">
        <v>25.9</v>
      </c>
      <c r="AY9" s="51">
        <v>16.914999999999999</v>
      </c>
      <c r="AZ9" s="51">
        <f>22.3+12.2</f>
        <v>34.5</v>
      </c>
      <c r="BA9" s="51">
        <v>15.635</v>
      </c>
      <c r="BB9" s="53">
        <f>IF(AZ9&lt;&gt;"",SUM(AX9:BA9),"")</f>
        <v>92.95</v>
      </c>
      <c r="BC9" s="69">
        <f>8.6+5</f>
        <v>13.6</v>
      </c>
      <c r="BD9" s="54">
        <v>6.0750000000000002</v>
      </c>
      <c r="BE9" s="50"/>
      <c r="BF9" s="51"/>
      <c r="BG9" s="51"/>
      <c r="BH9" s="51"/>
      <c r="BI9" s="53" t="str">
        <f>IF(BG9&lt;&gt;"",SUM(BE9:BH9),"")</f>
        <v/>
      </c>
      <c r="BJ9" s="59"/>
      <c r="BK9" s="51"/>
      <c r="BL9" s="50"/>
      <c r="BM9" s="51"/>
      <c r="BN9" s="51"/>
      <c r="BO9" s="51"/>
      <c r="BP9" s="53" t="str">
        <f>IF(BN9&lt;&gt;"",SUM(BL9:BO9),"")</f>
        <v/>
      </c>
      <c r="BQ9" s="59"/>
      <c r="BR9" s="51"/>
      <c r="BS9" s="50"/>
      <c r="BT9" s="51"/>
      <c r="BU9" s="51"/>
      <c r="BV9" s="51"/>
      <c r="BW9" s="53" t="str">
        <f>IF(BU9&lt;&gt;"",SUM(BS9:BV9),"")</f>
        <v/>
      </c>
      <c r="BX9" s="59"/>
      <c r="BY9" s="51"/>
      <c r="BZ9" s="5"/>
      <c r="CA9" s="27"/>
      <c r="CB9" s="27"/>
      <c r="CC9" s="27"/>
      <c r="CD9" s="53" t="str">
        <f>IF(CB9&lt;&gt;"",SUM(BZ9:CC9),"")</f>
        <v/>
      </c>
      <c r="CE9" s="14"/>
      <c r="CF9" s="28"/>
      <c r="CG9" s="5"/>
      <c r="CH9" s="27"/>
      <c r="CI9" s="27"/>
      <c r="CJ9" s="27"/>
      <c r="CK9" s="53" t="str">
        <f>IF(CI9&lt;&gt;"",SUM(CG9:CJ9),"")</f>
        <v/>
      </c>
      <c r="CL9" s="14"/>
      <c r="CM9" s="28"/>
      <c r="CN9" s="5"/>
      <c r="CO9" s="27"/>
      <c r="CP9" s="27"/>
      <c r="CQ9" s="27"/>
      <c r="CR9" s="53" t="str">
        <f>IF(CP9&lt;&gt;"",SUM(CN9:CQ9),"")</f>
        <v/>
      </c>
      <c r="CS9" s="14"/>
      <c r="CT9" s="28"/>
      <c r="CU9" s="5"/>
      <c r="CV9" s="27"/>
      <c r="CW9" s="27"/>
      <c r="CX9" s="27"/>
      <c r="CY9" s="53" t="str">
        <f>IF(CW9&lt;&gt;"",SUM(CU9:CX9),"")</f>
        <v/>
      </c>
      <c r="CZ9" s="14"/>
      <c r="DA9" s="28"/>
      <c r="DB9" s="5"/>
      <c r="DC9" s="27"/>
      <c r="DD9" s="27"/>
      <c r="DE9" s="27"/>
      <c r="DF9" s="53" t="str">
        <f>IF(DD9&lt;&gt;"",SUM(DB9:DE9),"")</f>
        <v/>
      </c>
      <c r="DG9" s="14"/>
      <c r="DH9" s="28"/>
      <c r="DI9" s="5"/>
      <c r="DJ9" s="27"/>
      <c r="DK9" s="27"/>
      <c r="DL9" s="27"/>
      <c r="DM9" s="53" t="str">
        <f>IF(DK9&lt;&gt;"",SUM(DI9:DL9),"")</f>
        <v/>
      </c>
      <c r="DN9" s="14"/>
      <c r="DO9" s="28"/>
      <c r="DP9" s="5"/>
      <c r="DQ9" s="27"/>
      <c r="DR9" s="27"/>
      <c r="DS9" s="27"/>
      <c r="DT9" s="53" t="str">
        <f>IF(DR9&lt;&gt;"",SUM(DP9:DS9),"")</f>
        <v/>
      </c>
      <c r="DU9" s="14"/>
      <c r="DV9" s="28"/>
      <c r="DW9" s="5"/>
      <c r="DX9" s="27"/>
      <c r="DY9" s="27"/>
      <c r="DZ9" s="27"/>
      <c r="EA9" s="53" t="str">
        <f>IF(DY9&lt;&gt;"",SUM(DW9:DZ9),"")</f>
        <v/>
      </c>
      <c r="EB9" s="14"/>
      <c r="EC9" s="28"/>
      <c r="ED9" s="5"/>
      <c r="EE9" s="27"/>
      <c r="EF9" s="27"/>
      <c r="EG9" s="27"/>
      <c r="EH9" s="53" t="str">
        <f>IF(EF9&lt;&gt;"",SUM(ED9:EG9),"")</f>
        <v/>
      </c>
      <c r="EI9" s="14"/>
      <c r="EJ9" s="28"/>
      <c r="EK9" s="5"/>
      <c r="EL9" s="27"/>
      <c r="EM9" s="27"/>
      <c r="EN9" s="27"/>
      <c r="EO9" s="53" t="str">
        <f>IF(EM9&lt;&gt;"",SUM(EK9:EN9),"")</f>
        <v/>
      </c>
      <c r="EP9" s="14"/>
      <c r="EQ9" s="28"/>
      <c r="ER9" s="5"/>
      <c r="ES9" s="27"/>
      <c r="ET9" s="27"/>
      <c r="EU9" s="27"/>
      <c r="EV9" s="53" t="str">
        <f>IF(ET9&lt;&gt;"",SUM(ER9:EU9),"")</f>
        <v/>
      </c>
      <c r="EW9" s="14"/>
      <c r="EX9" s="28"/>
    </row>
    <row r="10" spans="1:154" s="12" customFormat="1">
      <c r="A10" s="15">
        <v>4</v>
      </c>
      <c r="B10" s="61" t="s">
        <v>122</v>
      </c>
      <c r="C10" s="62" t="s">
        <v>27</v>
      </c>
      <c r="D10" s="42" t="s">
        <v>86</v>
      </c>
      <c r="E10" s="43" t="s">
        <v>65</v>
      </c>
      <c r="F10" s="4">
        <v>2016</v>
      </c>
      <c r="G10" s="43">
        <v>2000</v>
      </c>
      <c r="H10" s="44">
        <f>IF(V10="",SUM(N10:T10),SUM(N10:T10)+V10)</f>
        <v>247.47800000000001</v>
      </c>
      <c r="I10" s="45" t="s">
        <v>50</v>
      </c>
      <c r="J10" s="46" t="str">
        <f>IF('TRA-M'!$A$2-F10&lt;=1,IF(AA10&gt;=$W$3,"YES",IF(AH10&gt;=$AD$3,"YES",IF(AO10&gt;=$AK$3,"YES",""))),"")</f>
        <v>YES</v>
      </c>
      <c r="K10" s="47" t="str">
        <f>IF(AA10&gt;=$Y$3,IF(I10="YES","YES",""),IF(AH10&gt;=$AF$3,IF(I10="YES","YES",""),IF(AO10&gt;=$AM$3,IF(I10="YES","YES",""),"")))</f>
        <v>YES</v>
      </c>
      <c r="L10" s="48" t="str">
        <f>IF(AA10&gt;=$AA$3,IF(I10="YES","YES",""),IF(AH10&gt;=$AH$3,IF(I10="YES","YES",""),IF(AO10&gt;=$AO$3,IF(I10="YES","YES",""),"")))</f>
        <v/>
      </c>
      <c r="M10" s="49" t="str">
        <f>IF(AA10&gt;=$AB$3,IF(I10="YES","YES",""),IF(AH10&gt;=$AI$3,IF(I10="YES","YES",""),IF(AO10&gt;=$AP$3,IF(I10="YES","YES",""),"")))</f>
        <v/>
      </c>
      <c r="N10" s="5">
        <f>MAX($AO10,$AH10,$AA10)</f>
        <v>97.218000000000004</v>
      </c>
      <c r="O10" s="27"/>
      <c r="P10" s="27">
        <f>IF($N10=$AO10,MAX($AD10+$AE10,$W10+$X10),IF($N10=$AH10,MAX($AK10+$AL10,$W10+$X10),MAX($AK10+$AL10,$AD10+$AE10)))</f>
        <v>43.865000000000002</v>
      </c>
      <c r="Q10" s="115">
        <v>3</v>
      </c>
      <c r="R10" s="27">
        <f>IF($N10=$AO10,MAX($AF10+$AG10,$Y10+$Z10),IF($N10=$AH10,MAX($AM10+$AN10,$Y10+$Z10),MAX($AM10+$AN10,$AF10+$AG10)))</f>
        <v>50.48</v>
      </c>
      <c r="S10" s="115">
        <v>1</v>
      </c>
      <c r="T10" s="27">
        <f>MAX($AP10+$AQ10,$AI10+$AJ10,$AB10+$AC10)</f>
        <v>51.915000000000006</v>
      </c>
      <c r="U10" s="117">
        <v>1</v>
      </c>
      <c r="V10" s="109" t="str">
        <f>IF(MAX(AR10:AT10)&lt;=0,"",MAX(AR10:AT10))</f>
        <v/>
      </c>
      <c r="W10" s="50">
        <f>25.3+2.7</f>
        <v>28</v>
      </c>
      <c r="X10" s="51">
        <v>15.715</v>
      </c>
      <c r="Y10" s="51">
        <f>20.9+12.6</f>
        <v>33.5</v>
      </c>
      <c r="Z10" s="51">
        <v>14.875</v>
      </c>
      <c r="AA10" s="53">
        <f>SUM(W10:Z10)</f>
        <v>92.09</v>
      </c>
      <c r="AB10" s="51">
        <f>22.3+11.7</f>
        <v>34</v>
      </c>
      <c r="AC10" s="56">
        <v>14.72</v>
      </c>
      <c r="AD10" s="118">
        <f>25.8+2</f>
        <v>27.8</v>
      </c>
      <c r="AE10" s="115">
        <v>16.065000000000001</v>
      </c>
      <c r="AF10" s="119">
        <f>22.3+13.1</f>
        <v>35.4</v>
      </c>
      <c r="AG10" s="115">
        <v>15.08</v>
      </c>
      <c r="AH10" s="53">
        <f>SUM(AD10:AG10)</f>
        <v>94.344999999999999</v>
      </c>
      <c r="AI10" s="119">
        <f>23.6+13.1</f>
        <v>36.700000000000003</v>
      </c>
      <c r="AJ10" s="117">
        <v>15.215</v>
      </c>
      <c r="AK10" s="105">
        <f>27.9+3</f>
        <v>30.9</v>
      </c>
      <c r="AL10" s="57">
        <v>15.89</v>
      </c>
      <c r="AM10" s="106">
        <f>34.45+1</f>
        <v>35.450000000000003</v>
      </c>
      <c r="AN10" s="57">
        <v>14.978</v>
      </c>
      <c r="AO10" s="58">
        <f>SUM(AK10:AN10)</f>
        <v>97.218000000000004</v>
      </c>
      <c r="AP10" s="106">
        <f>35.35+1</f>
        <v>36.35</v>
      </c>
      <c r="AQ10" s="122">
        <v>14.968</v>
      </c>
      <c r="AR10" s="5">
        <f>IF(AU10="","",AU10-P10)</f>
        <v>-4.5500000000000043</v>
      </c>
      <c r="AS10" s="27">
        <f>IF(AV10="","",AV10-R10)</f>
        <v>-1.9199999999999946</v>
      </c>
      <c r="AT10" s="28" t="str">
        <f>IF(AW10="","",AW10-T10)</f>
        <v/>
      </c>
      <c r="AU10" s="5">
        <f>IF(MAX($AX10+$AY10,$BE10+$BF10,$BL10+$BM10,$BS10+$BT10,$BZ10+$CA10,$CG10+$CH10,$CN10+$CO10,$CU10+$CV10,$DB10+$DC10,$DI10+$DJ10,$DP10+$DQ10,$DW10+$DX10,$ED10+$EE10,$EK10+$EL10,$ER10+$ES10)=0,"",MAX($AX10+$AY10,$BE10+$BF10,$BL10+$BM10,$BS10+$BT10,$BZ10+$CA10,$CG10+$CH10,$CN10+$CO10,$CU10+$CV10,$DB10+$DC10,$DI10+$DJ10,$DP10+$DQ10,$DW10+$DX10,$ED10+$EE10,$EK10+$EL10,$ER10+$ES10))</f>
        <v>39.314999999999998</v>
      </c>
      <c r="AV10" s="27">
        <f>IF(MAX($AZ10+$BA10,$BG10+$BH10,$BN10+$BO10,$BU10+$BV10,$CB10+$CC10,$CI10+$CJ10,$CP10+$CQ10,$CW10+$CX10,$DD10+$DE10,$DK10+$DL10,$DR10+$DS10,$DY10+$DZ10,$EF10+$EG10,$EM10+$EN10,$ET10+$EU10)=0,"",MAX($AZ10+$BA10,$BG10+$BH10,$BN10+$BO10,$BU10+$BV10,$CB10+$CC10,$CI10+$CJ10,$CP10+$CQ10,$CW10+$CX10,$DD10+$DE10,$DK10+$DL10,$DR10+$DS10,$DY10+$DZ10,$EF10+$EG10,$EM10+$EN10,$ET10+$EU10))</f>
        <v>48.56</v>
      </c>
      <c r="AW10" s="28" t="str">
        <f>IF(MAX($BC10+$BD10,$BJ10+$BK10,$BQ10+$BR10,$BX10+$BY10,$CE10+$CF10,$CL10+$CM10,$CS10+$CT10,$CZ10+$DA10,$DG10+$DH10,$DN10+$DO10,$DU10+$DV10,$EB10+$EC10,$EI10+$EJ10,$EP10+$EQ10,$EW10+$EX10)=0,"",MAX($BC10+$BD10,$BJ10+$BK10,$BQ10+$BR10,$BX10+$BY10,$CE10+$CF10,$CL10+$CM10,$CS10+$CT10,$CZ10+$DA10,$DG10+$DH10,$DN10+$DO10,$DU10+$DV10,$EB10+$EC10,$EI10+$EJ10,$EP10+$EQ10,$EW10+$EX10))</f>
        <v/>
      </c>
      <c r="AX10" s="50">
        <v>23.4</v>
      </c>
      <c r="AY10" s="51">
        <v>15.914999999999999</v>
      </c>
      <c r="AZ10" s="51">
        <f>23.2+10.2</f>
        <v>33.4</v>
      </c>
      <c r="BA10" s="51">
        <v>15.16</v>
      </c>
      <c r="BB10" s="53">
        <f>IF(AZ10&lt;&gt;"",SUM(AX10:BA10),"")</f>
        <v>87.875</v>
      </c>
      <c r="BC10" s="59"/>
      <c r="BD10" s="51"/>
      <c r="BE10" s="50"/>
      <c r="BF10" s="51"/>
      <c r="BG10" s="51"/>
      <c r="BH10" s="51"/>
      <c r="BI10" s="53" t="str">
        <f>IF(BG10&lt;&gt;"",SUM(BE10:BH10),"")</f>
        <v/>
      </c>
      <c r="BJ10" s="59"/>
      <c r="BK10" s="51"/>
      <c r="BL10" s="50"/>
      <c r="BM10" s="51"/>
      <c r="BN10" s="51"/>
      <c r="BO10" s="51"/>
      <c r="BP10" s="53" t="str">
        <f>IF(BN10&lt;&gt;"",SUM(BL10:BO10),"")</f>
        <v/>
      </c>
      <c r="BQ10" s="59"/>
      <c r="BR10" s="51"/>
      <c r="BS10" s="50"/>
      <c r="BT10" s="51"/>
      <c r="BU10" s="51"/>
      <c r="BV10" s="51"/>
      <c r="BW10" s="53" t="str">
        <f>IF(BU10&lt;&gt;"",SUM(BS10:BV10),"")</f>
        <v/>
      </c>
      <c r="BX10" s="59"/>
      <c r="BY10" s="51"/>
      <c r="BZ10" s="5"/>
      <c r="CA10" s="27"/>
      <c r="CB10" s="27"/>
      <c r="CC10" s="27"/>
      <c r="CD10" s="53" t="str">
        <f>IF(CB10&lt;&gt;"",SUM(BZ10:CC10),"")</f>
        <v/>
      </c>
      <c r="CE10" s="14"/>
      <c r="CF10" s="28"/>
      <c r="CG10" s="5"/>
      <c r="CH10" s="27"/>
      <c r="CI10" s="27"/>
      <c r="CJ10" s="27"/>
      <c r="CK10" s="53" t="str">
        <f>IF(CI10&lt;&gt;"",SUM(CG10:CJ10),"")</f>
        <v/>
      </c>
      <c r="CL10" s="14"/>
      <c r="CM10" s="28"/>
      <c r="CN10" s="5"/>
      <c r="CO10" s="27"/>
      <c r="CP10" s="27"/>
      <c r="CQ10" s="27"/>
      <c r="CR10" s="53" t="str">
        <f>IF(CP10&lt;&gt;"",SUM(CN10:CQ10),"")</f>
        <v/>
      </c>
      <c r="CS10" s="14"/>
      <c r="CT10" s="28"/>
      <c r="CU10" s="5"/>
      <c r="CV10" s="27"/>
      <c r="CW10" s="27"/>
      <c r="CX10" s="27"/>
      <c r="CY10" s="53" t="str">
        <f>IF(CW10&lt;&gt;"",SUM(CU10:CX10),"")</f>
        <v/>
      </c>
      <c r="CZ10" s="14"/>
      <c r="DA10" s="28"/>
      <c r="DB10" s="5"/>
      <c r="DC10" s="27"/>
      <c r="DD10" s="27"/>
      <c r="DE10" s="27"/>
      <c r="DF10" s="53" t="str">
        <f>IF(DD10&lt;&gt;"",SUM(DB10:DE10),"")</f>
        <v/>
      </c>
      <c r="DG10" s="14"/>
      <c r="DH10" s="28"/>
      <c r="DI10" s="5"/>
      <c r="DJ10" s="27"/>
      <c r="DK10" s="27"/>
      <c r="DL10" s="27"/>
      <c r="DM10" s="53" t="str">
        <f>IF(DK10&lt;&gt;"",SUM(DI10:DL10),"")</f>
        <v/>
      </c>
      <c r="DN10" s="14"/>
      <c r="DO10" s="28"/>
      <c r="DP10" s="5"/>
      <c r="DQ10" s="27"/>
      <c r="DR10" s="27"/>
      <c r="DS10" s="27"/>
      <c r="DT10" s="53" t="str">
        <f>IF(DR10&lt;&gt;"",SUM(DP10:DS10),"")</f>
        <v/>
      </c>
      <c r="DU10" s="14"/>
      <c r="DV10" s="28"/>
      <c r="DW10" s="5"/>
      <c r="DX10" s="27"/>
      <c r="DY10" s="27"/>
      <c r="DZ10" s="27"/>
      <c r="EA10" s="53" t="str">
        <f>IF(DY10&lt;&gt;"",SUM(DW10:DZ10),"")</f>
        <v/>
      </c>
      <c r="EB10" s="14"/>
      <c r="EC10" s="28"/>
      <c r="ED10" s="5"/>
      <c r="EE10" s="27"/>
      <c r="EF10" s="27"/>
      <c r="EG10" s="27"/>
      <c r="EH10" s="53" t="str">
        <f>IF(EF10&lt;&gt;"",SUM(ED10:EG10),"")</f>
        <v/>
      </c>
      <c r="EI10" s="14"/>
      <c r="EJ10" s="28"/>
      <c r="EK10" s="5"/>
      <c r="EL10" s="27"/>
      <c r="EM10" s="27"/>
      <c r="EN10" s="27"/>
      <c r="EO10" s="53" t="str">
        <f>IF(EM10&lt;&gt;"",SUM(EK10:EN10),"")</f>
        <v/>
      </c>
      <c r="EP10" s="14"/>
      <c r="EQ10" s="28"/>
      <c r="ER10" s="5"/>
      <c r="ES10" s="27"/>
      <c r="ET10" s="27"/>
      <c r="EU10" s="27"/>
      <c r="EV10" s="53" t="str">
        <f>IF(ET10&lt;&gt;"",SUM(ER10:EU10),"")</f>
        <v/>
      </c>
      <c r="EW10" s="14"/>
      <c r="EX10" s="28"/>
    </row>
    <row r="11" spans="1:154" s="12" customFormat="1">
      <c r="A11" s="15">
        <v>5</v>
      </c>
      <c r="B11" s="70" t="s">
        <v>157</v>
      </c>
      <c r="C11" s="43" t="s">
        <v>24</v>
      </c>
      <c r="D11" s="42" t="s">
        <v>56</v>
      </c>
      <c r="E11" s="43" t="s">
        <v>65</v>
      </c>
      <c r="F11" s="4">
        <v>2016</v>
      </c>
      <c r="G11" s="132">
        <v>1999</v>
      </c>
      <c r="H11" s="44">
        <f>IF(V11="",SUM(N11:T11),SUM(N11:T11)+V11)</f>
        <v>245.19</v>
      </c>
      <c r="I11" s="45" t="s">
        <v>50</v>
      </c>
      <c r="J11" s="46" t="str">
        <f>IF('TRA-M'!$A$2-F11&lt;=1,IF(AA11&gt;=$W$3,"YES",IF(AH11&gt;=$AD$3,"YES",IF(AO11&gt;=$AK$3,"YES",""))),"")</f>
        <v>YES</v>
      </c>
      <c r="K11" s="47" t="str">
        <f>IF(AA11&gt;=$Y$3,IF(I11="YES","YES",""),IF(AH11&gt;=$AF$3,IF(I11="YES","YES",""),IF(AO11&gt;=$AM$3,IF(I11="YES","YES",""),"")))</f>
        <v>YES</v>
      </c>
      <c r="L11" s="48" t="str">
        <f>IF(AA11&gt;=$AA$3,IF(I11="YES","YES",""),IF(AH11&gt;=$AH$3,IF(I11="YES","YES",""),IF(AO11&gt;=$AO$3,IF(I11="YES","YES",""),"")))</f>
        <v/>
      </c>
      <c r="M11" s="49" t="str">
        <f>IF(AA11&gt;=$AB$3,IF(I11="YES","YES",""),IF(AH11&gt;=$AI$3,IF(I11="YES","YES",""),IF(AO11&gt;=$AP$3,IF(I11="YES","YES",""),"")))</f>
        <v/>
      </c>
      <c r="N11" s="5">
        <f>MAX($AO11,$AH11,$AA11)</f>
        <v>100.355</v>
      </c>
      <c r="O11" s="27"/>
      <c r="P11" s="27">
        <f>IF($N11=$AO11,MAX($AD11+$AE11,$W11+$X11),IF($N11=$AH11,MAX($AK11+$AL11,$W11+$X11),MAX($AK11+$AL11,$AD11+$AE11)))</f>
        <v>41.04</v>
      </c>
      <c r="Q11" s="115">
        <v>3</v>
      </c>
      <c r="R11" s="27">
        <f>IF($N11=$AO11,MAX($AF11+$AG11,$Y11+$Z11),IF($N11=$AH11,MAX($AM11+$AN11,$Y11+$Z11),MAX($AM11+$AN11,$AF11+$AG11)))</f>
        <v>46.795000000000002</v>
      </c>
      <c r="S11" s="115">
        <v>1</v>
      </c>
      <c r="T11" s="27">
        <f>MAX($AP11+$AQ11,$AI11+$AJ11,$AB11+$AC11)</f>
        <v>53</v>
      </c>
      <c r="U11" s="27"/>
      <c r="V11" s="109" t="str">
        <f>IF(MAX(AR11:AT11)&lt;=0,"",MAX(AR11:AT11))</f>
        <v/>
      </c>
      <c r="W11" s="118">
        <f>22.7+2.7</f>
        <v>25.4</v>
      </c>
      <c r="X11" s="115">
        <v>15.64</v>
      </c>
      <c r="Y11" s="51">
        <f>17.1+12.3</f>
        <v>29.400000000000002</v>
      </c>
      <c r="Z11" s="51">
        <v>14.904999999999999</v>
      </c>
      <c r="AA11" s="53">
        <f>SUM(W11:Z11)</f>
        <v>85.344999999999999</v>
      </c>
      <c r="AB11" s="52">
        <f>19.7+13.5</f>
        <v>33.200000000000003</v>
      </c>
      <c r="AC11" s="56">
        <v>15.664999999999999</v>
      </c>
      <c r="AD11" s="50">
        <f>21.9+2.7</f>
        <v>24.599999999999998</v>
      </c>
      <c r="AE11" s="51">
        <v>15.9</v>
      </c>
      <c r="AF11" s="119">
        <f>18.6+13.3</f>
        <v>31.900000000000002</v>
      </c>
      <c r="AG11" s="115">
        <v>14.895</v>
      </c>
      <c r="AH11" s="53">
        <f>SUM(AD11:AG11)</f>
        <v>87.295000000000002</v>
      </c>
      <c r="AI11" s="52">
        <f>21+13.5</f>
        <v>34.5</v>
      </c>
      <c r="AJ11" s="56">
        <v>15.395</v>
      </c>
      <c r="AK11" s="50">
        <f>16.5+9.3+5.2</f>
        <v>31</v>
      </c>
      <c r="AL11" s="51">
        <v>16.405000000000001</v>
      </c>
      <c r="AM11" s="51">
        <f>13.5+9.1+14.4</f>
        <v>37</v>
      </c>
      <c r="AN11" s="51">
        <v>15.95</v>
      </c>
      <c r="AO11" s="60">
        <f>SUM(AK11:AN11)</f>
        <v>100.355</v>
      </c>
      <c r="AP11" s="51">
        <f>13.6+9.1+14.4</f>
        <v>37.1</v>
      </c>
      <c r="AQ11" s="51">
        <v>15.9</v>
      </c>
      <c r="AR11" s="5" t="str">
        <f>IF(AU11="","",AU11-P11)</f>
        <v/>
      </c>
      <c r="AS11" s="27" t="str">
        <f>IF(AV11="","",AV11-R11)</f>
        <v/>
      </c>
      <c r="AT11" s="28" t="str">
        <f>IF(AW11="","",AW11-T11)</f>
        <v/>
      </c>
      <c r="AU11" s="5" t="str">
        <f>IF(MAX($AX11+$AY11,$BE11+$BF11,$BL11+$BM11,$BS11+$BT11,$BZ11+$CA11,$CG11+$CH11,$CN11+$CO11,$CU11+$CV11,$DB11+$DC11,$DI11+$DJ11,$DP11+$DQ11,$DW11+$DX11,$ED11+$EE11,$EK11+$EL11,$ER11+$ES11)=0,"",MAX($AX11+$AY11,$BE11+$BF11,$BL11+$BM11,$BS11+$BT11,$BZ11+$CA11,$CG11+$CH11,$CN11+$CO11,$CU11+$CV11,$DB11+$DC11,$DI11+$DJ11,$DP11+$DQ11,$DW11+$DX11,$ED11+$EE11,$EK11+$EL11,$ER11+$ES11))</f>
        <v/>
      </c>
      <c r="AV11" s="27" t="str">
        <f>IF(MAX($AZ11+$BA11,$BG11+$BH11,$BN11+$BO11,$BU11+$BV11,$CB11+$CC11,$CI11+$CJ11,$CP11+$CQ11,$CW11+$CX11,$DD11+$DE11,$DK11+$DL11,$DR11+$DS11,$DY11+$DZ11,$EF11+$EG11,$EM11+$EN11,$ET11+$EU11)=0,"",MAX($AZ11+$BA11,$BG11+$BH11,$BN11+$BO11,$BU11+$BV11,$CB11+$CC11,$CI11+$CJ11,$CP11+$CQ11,$CW11+$CX11,$DD11+$DE11,$DK11+$DL11,$DR11+$DS11,$DY11+$DZ11,$EF11+$EG11,$EM11+$EN11,$ET11+$EU11))</f>
        <v/>
      </c>
      <c r="AW11" s="28" t="str">
        <f>IF(MAX($BC11+$BD11,$BJ11+$BK11,$BQ11+$BR11,$BX11+$BY11,$CE11+$CF11,$CL11+$CM11,$CS11+$CT11,$CZ11+$DA11,$DG11+$DH11,$DN11+$DO11,$DU11+$DV11,$EB11+$EC11,$EI11+$EJ11,$EP11+$EQ11,$EW11+$EX11)=0,"",MAX($BC11+$BD11,$BJ11+$BK11,$BQ11+$BR11,$BX11+$BY11,$CE11+$CF11,$CL11+$CM11,$CS11+$CT11,$CZ11+$DA11,$DG11+$DH11,$DN11+$DO11,$DU11+$DV11,$EB11+$EC11,$EI11+$EJ11,$EP11+$EQ11,$EW11+$EX11))</f>
        <v/>
      </c>
      <c r="AX11" s="50"/>
      <c r="AY11" s="51"/>
      <c r="AZ11" s="51"/>
      <c r="BA11" s="51"/>
      <c r="BB11" s="53" t="str">
        <f>IF(AZ11&lt;&gt;"",SUM(AX11:BA11),"")</f>
        <v/>
      </c>
      <c r="BC11" s="59"/>
      <c r="BD11" s="51"/>
      <c r="BE11" s="50"/>
      <c r="BF11" s="51"/>
      <c r="BG11" s="51"/>
      <c r="BH11" s="51"/>
      <c r="BI11" s="53" t="str">
        <f>IF(BG11&lt;&gt;"",SUM(BE11:BH11),"")</f>
        <v/>
      </c>
      <c r="BJ11" s="59"/>
      <c r="BK11" s="51"/>
      <c r="BL11" s="50"/>
      <c r="BM11" s="51"/>
      <c r="BN11" s="51"/>
      <c r="BO11" s="51"/>
      <c r="BP11" s="53"/>
      <c r="BQ11" s="59"/>
      <c r="BR11" s="51"/>
      <c r="BS11" s="50"/>
      <c r="BT11" s="51"/>
      <c r="BU11" s="51"/>
      <c r="BV11" s="51"/>
      <c r="BW11" s="53"/>
      <c r="BX11" s="59"/>
      <c r="BY11" s="51"/>
      <c r="BZ11" s="5"/>
      <c r="CA11" s="27"/>
      <c r="CB11" s="27"/>
      <c r="CC11" s="27"/>
      <c r="CD11" s="53" t="str">
        <f>IF(CB11&lt;&gt;"",SUM(BZ11:CC11),"")</f>
        <v/>
      </c>
      <c r="CE11" s="14"/>
      <c r="CF11" s="28"/>
      <c r="CG11" s="5"/>
      <c r="CH11" s="27"/>
      <c r="CI11" s="27"/>
      <c r="CJ11" s="27"/>
      <c r="CK11" s="53" t="str">
        <f>IF(CI11&lt;&gt;"",SUM(CG11:CJ11),"")</f>
        <v/>
      </c>
      <c r="CL11" s="14"/>
      <c r="CM11" s="28"/>
      <c r="CN11" s="5"/>
      <c r="CO11" s="27"/>
      <c r="CP11" s="27"/>
      <c r="CQ11" s="27"/>
      <c r="CR11" s="53" t="str">
        <f>IF(CP11&lt;&gt;"",SUM(CN11:CQ11),"")</f>
        <v/>
      </c>
      <c r="CS11" s="14"/>
      <c r="CT11" s="28"/>
      <c r="CU11" s="5"/>
      <c r="CV11" s="27"/>
      <c r="CW11" s="27"/>
      <c r="CX11" s="27"/>
      <c r="CY11" s="53" t="str">
        <f>IF(CW11&lt;&gt;"",SUM(CU11:CX11),"")</f>
        <v/>
      </c>
      <c r="CZ11" s="14"/>
      <c r="DA11" s="28"/>
      <c r="DB11" s="5"/>
      <c r="DC11" s="27"/>
      <c r="DD11" s="27"/>
      <c r="DE11" s="27"/>
      <c r="DF11" s="53" t="str">
        <f>IF(DD11&lt;&gt;"",SUM(DB11:DE11),"")</f>
        <v/>
      </c>
      <c r="DG11" s="14"/>
      <c r="DH11" s="28"/>
      <c r="DI11" s="5"/>
      <c r="DJ11" s="27"/>
      <c r="DK11" s="27"/>
      <c r="DL11" s="27"/>
      <c r="DM11" s="53" t="str">
        <f>IF(DK11&lt;&gt;"",SUM(DI11:DL11),"")</f>
        <v/>
      </c>
      <c r="DN11" s="14"/>
      <c r="DO11" s="28"/>
      <c r="DP11" s="5"/>
      <c r="DQ11" s="27"/>
      <c r="DR11" s="27"/>
      <c r="DS11" s="27"/>
      <c r="DT11" s="53" t="str">
        <f>IF(DR11&lt;&gt;"",SUM(DP11:DS11),"")</f>
        <v/>
      </c>
      <c r="DU11" s="14"/>
      <c r="DV11" s="28"/>
      <c r="DW11" s="5"/>
      <c r="DX11" s="27"/>
      <c r="DY11" s="27"/>
      <c r="DZ11" s="27"/>
      <c r="EA11" s="53" t="str">
        <f>IF(DY11&lt;&gt;"",SUM(DW11:DZ11),"")</f>
        <v/>
      </c>
      <c r="EB11" s="14"/>
      <c r="EC11" s="28"/>
      <c r="ED11" s="5"/>
      <c r="EE11" s="27"/>
      <c r="EF11" s="27"/>
      <c r="EG11" s="27"/>
      <c r="EH11" s="53" t="str">
        <f>IF(EF11&lt;&gt;"",SUM(ED11:EG11),"")</f>
        <v/>
      </c>
      <c r="EI11" s="14"/>
      <c r="EJ11" s="28"/>
      <c r="EK11" s="5"/>
      <c r="EL11" s="27"/>
      <c r="EM11" s="27"/>
      <c r="EN11" s="27"/>
      <c r="EO11" s="53" t="str">
        <f>IF(EM11&lt;&gt;"",SUM(EK11:EN11),"")</f>
        <v/>
      </c>
      <c r="EP11" s="14"/>
      <c r="EQ11" s="28"/>
      <c r="ER11" s="5"/>
      <c r="ES11" s="27"/>
      <c r="ET11" s="27"/>
      <c r="EU11" s="27"/>
      <c r="EV11" s="53" t="str">
        <f>IF(ET11&lt;&gt;"",SUM(ER11:EU11),"")</f>
        <v/>
      </c>
      <c r="EW11" s="14"/>
      <c r="EX11" s="28"/>
    </row>
    <row r="12" spans="1:154" s="12" customFormat="1">
      <c r="A12" s="197">
        <v>6</v>
      </c>
      <c r="B12" s="70" t="s">
        <v>116</v>
      </c>
      <c r="C12" s="43" t="s">
        <v>26</v>
      </c>
      <c r="D12" s="42" t="s">
        <v>55</v>
      </c>
      <c r="E12" s="43" t="s">
        <v>65</v>
      </c>
      <c r="F12" s="4">
        <v>2017</v>
      </c>
      <c r="G12" s="41">
        <v>2001</v>
      </c>
      <c r="H12" s="44">
        <f>IF(V12="",SUM(N12:T12),SUM(N12:T12)+V12)</f>
        <v>243.50000000000003</v>
      </c>
      <c r="I12" s="45"/>
      <c r="J12" s="46" t="str">
        <f>IF('TRA-M'!$A$2-F12&lt;=1,IF(AA12&gt;=$W$3,"YES",IF(AH12&gt;=$AD$3,"YES",IF(AO12&gt;=$AK$3,"YES",""))),"")</f>
        <v>YES</v>
      </c>
      <c r="K12" s="47" t="str">
        <f>IF(AA12&gt;=$Y$3,IF(I12="YES","YES",""),IF(AH12&gt;=$AF$3,IF(I12="YES","YES",""),IF(AO12&gt;=$AM$3,IF(I12="YES","YES",""),"")))</f>
        <v/>
      </c>
      <c r="L12" s="48" t="str">
        <f>IF(AA12&gt;=$AA$3,IF(I12="YES","YES",""),IF(AH12&gt;=$AH$3,IF(I12="YES","YES",""),IF(AO12&gt;=$AO$3,IF(I12="YES","YES",""),"")))</f>
        <v/>
      </c>
      <c r="M12" s="49" t="str">
        <f>IF(AA12&gt;=$AB$3,IF(I12="YES","YES",""),IF(AH12&gt;=$AI$3,IF(I12="YES","YES",""),IF(AO12&gt;=$AP$3,IF(I12="YES","YES",""),"")))</f>
        <v/>
      </c>
      <c r="N12" s="5">
        <f>MAX($AO12,$AH12,$AA12)</f>
        <v>100.21000000000001</v>
      </c>
      <c r="O12" s="27"/>
      <c r="P12" s="27">
        <f>IF($N12=$AO12,MAX($AD12+$AE12,$W12+$X12),IF($N12=$AH12,MAX($AK12+$AL12,$W12+$X12),MAX($AK12+$AL12,$AD12+$AE12)))</f>
        <v>42.91</v>
      </c>
      <c r="Q12" s="115">
        <v>3</v>
      </c>
      <c r="R12" s="27">
        <f>IF($N12=$AO12,MAX($AF12+$AG12,$Y12+$Z12),IF($N12=$AH12,MAX($AM12+$AN12,$Y12+$Z12),MAX($AM12+$AN12,$AF12+$AG12)))</f>
        <v>47.055</v>
      </c>
      <c r="S12" s="115">
        <v>1</v>
      </c>
      <c r="T12" s="27">
        <f>MAX($AP12+$AQ12,$AI12+$AJ12,$AB12+$AC12)</f>
        <v>44.895000000000003</v>
      </c>
      <c r="U12" s="115">
        <v>1</v>
      </c>
      <c r="V12" s="109">
        <f>IF(MAX(AR12:AT12)&lt;=0,"",MAX(AR12:AT12))</f>
        <v>4.43</v>
      </c>
      <c r="W12" s="118">
        <f>24.9+1.4</f>
        <v>26.299999999999997</v>
      </c>
      <c r="X12" s="115">
        <v>16.364999999999998</v>
      </c>
      <c r="Y12" s="115">
        <f>20.9+10.3</f>
        <v>31.2</v>
      </c>
      <c r="Z12" s="115">
        <v>15.855</v>
      </c>
      <c r="AA12" s="74">
        <f>SUM(W12:Z12)</f>
        <v>89.72</v>
      </c>
      <c r="AB12" s="115">
        <f>19.1+10.3</f>
        <v>29.400000000000002</v>
      </c>
      <c r="AC12" s="117">
        <v>15.494999999999999</v>
      </c>
      <c r="AD12" s="72">
        <f>24.2+2.2</f>
        <v>26.4</v>
      </c>
      <c r="AE12" s="73">
        <v>16.510000000000002</v>
      </c>
      <c r="AF12" s="54">
        <f>11.6+6.1</f>
        <v>17.7</v>
      </c>
      <c r="AG12" s="54">
        <v>9.26</v>
      </c>
      <c r="AH12" s="74">
        <f>SUM(AD12:AG12)</f>
        <v>69.87</v>
      </c>
      <c r="AI12" s="73"/>
      <c r="AJ12" s="75"/>
      <c r="AK12" s="50">
        <f>17.2+9.6+3.8</f>
        <v>30.599999999999998</v>
      </c>
      <c r="AL12" s="51">
        <v>16.895</v>
      </c>
      <c r="AM12" s="51">
        <f>15.5+8.9+12.1</f>
        <v>36.5</v>
      </c>
      <c r="AN12" s="51">
        <v>16.215</v>
      </c>
      <c r="AO12" s="53">
        <f>SUM(AK12:AN12)</f>
        <v>100.21000000000001</v>
      </c>
      <c r="AP12" s="54">
        <f>7+4.5+6.7</f>
        <v>18.2</v>
      </c>
      <c r="AQ12" s="55">
        <v>8.48</v>
      </c>
      <c r="AR12" s="5">
        <f>IF(AU12="","",AU12-P12)</f>
        <v>-1.6599999999999966</v>
      </c>
      <c r="AS12" s="27">
        <f>IF(AV12="","",AV12-R12)</f>
        <v>2.0350000000000037</v>
      </c>
      <c r="AT12" s="28">
        <f>IF(AW12="","",AW12-T12)</f>
        <v>4.43</v>
      </c>
      <c r="AU12" s="5">
        <f>IF(MAX($AX12+$AY12,$BE12+$BF12,$BL12+$BM12,$BS12+$BT12,$BZ12+$CA12,$CG12+$CH12,$CN12+$CO12,$CU12+$CV12,$DB12+$DC12,$DI12+$DJ12,$DP12+$DQ12,$DW12+$DX12,$ED12+$EE12,$EK12+$EL12,$ER12+$ES12)=0,"",MAX($AX12+$AY12,$BE12+$BF12,$BL12+$BM12,$BS12+$BT12,$BZ12+$CA12,$CG12+$CH12,$CN12+$CO12,$CU12+$CV12,$DB12+$DC12,$DI12+$DJ12,$DP12+$DQ12,$DW12+$DX12,$ED12+$EE12,$EK12+$EL12,$ER12+$ES12))</f>
        <v>41.25</v>
      </c>
      <c r="AV12" s="27">
        <f>IF(MAX($AZ12+$BA12,$BG12+$BH12,$BN12+$BO12,$BU12+$BV12,$CB12+$CC12,$CI12+$CJ12,$CP12+$CQ12,$CW12+$CX12,$DD12+$DE12,$DK12+$DL12,$DR12+$DS12,$DY12+$DZ12,$EF12+$EG12,$EM12+$EN12,$ET12+$EU12)=0,"",MAX($AZ12+$BA12,$BG12+$BH12,$BN12+$BO12,$BU12+$BV12,$CB12+$CC12,$CI12+$CJ12,$CP12+$CQ12,$CW12+$CX12,$DD12+$DE12,$DK12+$DL12,$DR12+$DS12,$DY12+$DZ12,$EF12+$EG12,$EM12+$EN12,$ET12+$EU12))</f>
        <v>49.09</v>
      </c>
      <c r="AW12" s="28">
        <f>IF(MAX($BC12+$BD12,$BJ12+$BK12,$BQ12+$BR12,$BX12+$BY12,$CE12+$CF12,$CL12+$CM12,$CS12+$CT12,$CZ12+$DA12,$DG12+$DH12,$DN12+$DO12,$DU12+$DV12,$EB12+$EC12,$EI12+$EJ12,$EP12+$EQ12,$EW12+$EX12)=0,"",MAX($BC12+$BD12,$BJ12+$BK12,$BQ12+$BR12,$BX12+$BY12,$CE12+$CF12,$CL12+$CM12,$CS12+$CT12,$CZ12+$DA12,$DG12+$DH12,$DN12+$DO12,$DU12+$DV12,$EB12+$EC12,$EI12+$EJ12,$EP12+$EQ12,$EW12+$EX12))</f>
        <v>49.325000000000003</v>
      </c>
      <c r="AX12" s="50"/>
      <c r="AY12" s="51"/>
      <c r="AZ12" s="51"/>
      <c r="BA12" s="51"/>
      <c r="BB12" s="53" t="str">
        <f>IF(AZ12&lt;&gt;"",SUM(AX12:BA12),"")</f>
        <v/>
      </c>
      <c r="BC12" s="59"/>
      <c r="BD12" s="51"/>
      <c r="BE12" s="76">
        <v>25</v>
      </c>
      <c r="BF12" s="77">
        <v>16.25</v>
      </c>
      <c r="BG12" s="77">
        <f>23.1+10.3</f>
        <v>33.400000000000006</v>
      </c>
      <c r="BH12" s="77">
        <v>15.69</v>
      </c>
      <c r="BI12" s="78">
        <f>IF(BG12&lt;&gt;"",SUM(BE12:BH12),"")</f>
        <v>90.34</v>
      </c>
      <c r="BJ12" s="79">
        <f>23.3+10.3</f>
        <v>33.6</v>
      </c>
      <c r="BK12" s="77">
        <v>15.725</v>
      </c>
      <c r="BL12" s="50"/>
      <c r="BM12" s="51"/>
      <c r="BN12" s="51"/>
      <c r="BO12" s="51"/>
      <c r="BP12" s="53"/>
      <c r="BQ12" s="59"/>
      <c r="BR12" s="51"/>
      <c r="BS12" s="50"/>
      <c r="BT12" s="51"/>
      <c r="BU12" s="51"/>
      <c r="BV12" s="51"/>
      <c r="BW12" s="53"/>
      <c r="BX12" s="59"/>
      <c r="BY12" s="51"/>
      <c r="BZ12" s="5"/>
      <c r="CA12" s="27"/>
      <c r="CB12" s="27"/>
      <c r="CC12" s="27"/>
      <c r="CD12" s="53" t="str">
        <f>IF(CB12&lt;&gt;"",SUM(BZ12:CC12),"")</f>
        <v/>
      </c>
      <c r="CE12" s="14"/>
      <c r="CF12" s="28"/>
      <c r="CG12" s="5"/>
      <c r="CH12" s="27"/>
      <c r="CI12" s="27"/>
      <c r="CJ12" s="27"/>
      <c r="CK12" s="53" t="str">
        <f>IF(CI12&lt;&gt;"",SUM(CG12:CJ12),"")</f>
        <v/>
      </c>
      <c r="CL12" s="14"/>
      <c r="CM12" s="28"/>
      <c r="CN12" s="5"/>
      <c r="CO12" s="27"/>
      <c r="CP12" s="27"/>
      <c r="CQ12" s="27"/>
      <c r="CR12" s="53" t="str">
        <f>IF(CP12&lt;&gt;"",SUM(CN12:CQ12),"")</f>
        <v/>
      </c>
      <c r="CS12" s="14"/>
      <c r="CT12" s="28"/>
      <c r="CU12" s="5"/>
      <c r="CV12" s="27"/>
      <c r="CW12" s="27"/>
      <c r="CX12" s="27"/>
      <c r="CY12" s="53" t="str">
        <f>IF(CW12&lt;&gt;"",SUM(CU12:CX12),"")</f>
        <v/>
      </c>
      <c r="CZ12" s="14"/>
      <c r="DA12" s="28"/>
      <c r="DB12" s="5"/>
      <c r="DC12" s="27"/>
      <c r="DD12" s="27"/>
      <c r="DE12" s="27"/>
      <c r="DF12" s="53" t="str">
        <f>IF(DD12&lt;&gt;"",SUM(DB12:DE12),"")</f>
        <v/>
      </c>
      <c r="DG12" s="14"/>
      <c r="DH12" s="28"/>
      <c r="DI12" s="5"/>
      <c r="DJ12" s="27"/>
      <c r="DK12" s="27"/>
      <c r="DL12" s="27"/>
      <c r="DM12" s="53" t="str">
        <f>IF(DK12&lt;&gt;"",SUM(DI12:DL12),"")</f>
        <v/>
      </c>
      <c r="DN12" s="14"/>
      <c r="DO12" s="28"/>
      <c r="DP12" s="5"/>
      <c r="DQ12" s="27"/>
      <c r="DR12" s="27"/>
      <c r="DS12" s="27"/>
      <c r="DT12" s="53" t="str">
        <f>IF(DR12&lt;&gt;"",SUM(DP12:DS12),"")</f>
        <v/>
      </c>
      <c r="DU12" s="14"/>
      <c r="DV12" s="28"/>
      <c r="DW12" s="5"/>
      <c r="DX12" s="27"/>
      <c r="DY12" s="27"/>
      <c r="DZ12" s="27"/>
      <c r="EA12" s="53" t="str">
        <f>IF(DY12&lt;&gt;"",SUM(DW12:DZ12),"")</f>
        <v/>
      </c>
      <c r="EB12" s="14"/>
      <c r="EC12" s="28"/>
      <c r="ED12" s="5"/>
      <c r="EE12" s="27"/>
      <c r="EF12" s="27"/>
      <c r="EG12" s="27"/>
      <c r="EH12" s="53" t="str">
        <f>IF(EF12&lt;&gt;"",SUM(ED12:EG12),"")</f>
        <v/>
      </c>
      <c r="EI12" s="14"/>
      <c r="EJ12" s="28"/>
      <c r="EK12" s="5"/>
      <c r="EL12" s="27"/>
      <c r="EM12" s="27"/>
      <c r="EN12" s="27"/>
      <c r="EO12" s="53" t="str">
        <f>IF(EM12&lt;&gt;"",SUM(EK12:EN12),"")</f>
        <v/>
      </c>
      <c r="EP12" s="14"/>
      <c r="EQ12" s="28"/>
      <c r="ER12" s="5"/>
      <c r="ES12" s="27"/>
      <c r="ET12" s="27"/>
      <c r="EU12" s="27"/>
      <c r="EV12" s="53" t="str">
        <f>IF(ET12&lt;&gt;"",SUM(ER12:EU12),"")</f>
        <v/>
      </c>
      <c r="EW12" s="14"/>
      <c r="EX12" s="28"/>
    </row>
    <row r="13" spans="1:154" s="12" customFormat="1">
      <c r="A13" s="71">
        <v>7</v>
      </c>
      <c r="B13" s="70" t="s">
        <v>90</v>
      </c>
      <c r="C13" s="43" t="s">
        <v>91</v>
      </c>
      <c r="D13" s="42" t="s">
        <v>92</v>
      </c>
      <c r="E13" s="43" t="s">
        <v>65</v>
      </c>
      <c r="F13" s="4">
        <v>2016</v>
      </c>
      <c r="G13" s="41">
        <v>2001</v>
      </c>
      <c r="H13" s="44">
        <f>IF(V13="",SUM(N13:T13),SUM(N13:T13)+V13)</f>
        <v>238.435</v>
      </c>
      <c r="I13" s="45"/>
      <c r="J13" s="46" t="str">
        <f>IF('TRA-M'!$A$2-F13&lt;=1,IF(AA13&gt;=$W$3,"YES",IF(AH13&gt;=$AD$3,"YES",IF(AO13&gt;=$AK$3,"YES",""))),"")</f>
        <v>YES</v>
      </c>
      <c r="K13" s="47" t="str">
        <f>IF(AA13&gt;=$Y$3,IF(I13="YES","YES",""),IF(AH13&gt;=$AF$3,IF(I13="YES","YES",""),IF(AO13&gt;=$AM$3,IF(I13="YES","YES",""),"")))</f>
        <v/>
      </c>
      <c r="L13" s="48" t="str">
        <f>IF(AA13&gt;=$AA$3,IF(I13="YES","YES",""),IF(AH13&gt;=$AH$3,IF(I13="YES","YES",""),IF(AO13&gt;=$AO$3,IF(I13="YES","YES",""),"")))</f>
        <v/>
      </c>
      <c r="M13" s="49" t="str">
        <f>IF(AA13&gt;=$AB$3,IF(I13="YES","YES",""),IF(AH13&gt;=$AI$3,IF(I13="YES","YES",""),IF(AO13&gt;=$AP$3,IF(I13="YES","YES",""),"")))</f>
        <v/>
      </c>
      <c r="N13" s="5">
        <f>MAX($AO13,$AH13,$AA13)</f>
        <v>90.44</v>
      </c>
      <c r="O13" s="115">
        <v>4</v>
      </c>
      <c r="P13" s="27">
        <f>IF($N13=$AO13,MAX($AD13+$AE13,$W13+$X13),IF($N13=$AH13,MAX($AK13+$AL13,$W13+$X13),MAX($AK13+$AL13,$AD13+$AE13)))</f>
        <v>46.984999999999999</v>
      </c>
      <c r="Q13" s="27"/>
      <c r="R13" s="27">
        <f>IF($N13=$AO13,MAX($AF13+$AG13,$Y13+$Z13),IF($N13=$AH13,MAX($AM13+$AN13,$Y13+$Z13),MAX($AM13+$AN13,$AF13+$AG13)))</f>
        <v>46.97</v>
      </c>
      <c r="S13" s="115">
        <v>1</v>
      </c>
      <c r="T13" s="27">
        <f>MAX($AP13+$AQ13,$AI13+$AJ13,$AB13+$AC13)</f>
        <v>47.129999999999995</v>
      </c>
      <c r="U13" s="115">
        <v>1</v>
      </c>
      <c r="V13" s="109">
        <f>IF(MAX(AR13:AT13)&lt;=0,"",MAX(AR13:AT13))</f>
        <v>1.9100000000000037</v>
      </c>
      <c r="W13" s="72">
        <f>25+2</f>
        <v>27</v>
      </c>
      <c r="X13" s="73">
        <v>16.25</v>
      </c>
      <c r="Y13" s="73">
        <f>19.8+12.1</f>
        <v>31.9</v>
      </c>
      <c r="Z13" s="73">
        <v>15.29</v>
      </c>
      <c r="AA13" s="120">
        <f>SUM(W13:Z13)</f>
        <v>90.44</v>
      </c>
      <c r="AB13" s="54">
        <f>10.7+8.1</f>
        <v>18.799999999999997</v>
      </c>
      <c r="AC13" s="55">
        <v>9.19</v>
      </c>
      <c r="AD13" s="50">
        <f>23.7+2.2</f>
        <v>25.9</v>
      </c>
      <c r="AE13" s="51">
        <v>16.07</v>
      </c>
      <c r="AF13" s="115">
        <f>19.7+12.1</f>
        <v>31.799999999999997</v>
      </c>
      <c r="AG13" s="115">
        <v>15.17</v>
      </c>
      <c r="AH13" s="53">
        <f>SUM(AD13:AG13)</f>
        <v>88.94</v>
      </c>
      <c r="AI13" s="115">
        <f>20.4+11.4</f>
        <v>31.799999999999997</v>
      </c>
      <c r="AJ13" s="117">
        <v>15.33</v>
      </c>
      <c r="AK13" s="50">
        <f>16.4+9.6+4.8</f>
        <v>30.8</v>
      </c>
      <c r="AL13" s="51">
        <v>16.184999999999999</v>
      </c>
      <c r="AM13" s="54">
        <f>5.4+3.75+5.8</f>
        <v>14.95</v>
      </c>
      <c r="AN13" s="54">
        <v>6.65</v>
      </c>
      <c r="AO13" s="53">
        <f>SUM(AK13:AN13)</f>
        <v>68.585000000000008</v>
      </c>
      <c r="AP13" s="51"/>
      <c r="AQ13" s="56"/>
      <c r="AR13" s="5">
        <f>IF(AU13="","",AU13-P13)</f>
        <v>-5.4399999999999977</v>
      </c>
      <c r="AS13" s="27">
        <f>IF(AV13="","",AV13-R13)</f>
        <v>-3.6000000000000014</v>
      </c>
      <c r="AT13" s="28">
        <f>IF(AW13="","",AW13-T13)</f>
        <v>1.9100000000000037</v>
      </c>
      <c r="AU13" s="5">
        <f>IF(MAX($AX13+$AY13,$BE13+$BF13,$BL13+$BM13,$BS13+$BT13,$BZ13+$CA13,$CG13+$CH13,$CN13+$CO13,$CU13+$CV13,$DB13+$DC13,$DI13+$DJ13,$DP13+$DQ13,$DW13+$DX13,$ED13+$EE13,$EK13+$EL13,$ER13+$ES13)=0,"",MAX($AX13+$AY13,$BE13+$BF13,$BL13+$BM13,$BS13+$BT13,$BZ13+$CA13,$CG13+$CH13,$CN13+$CO13,$CU13+$CV13,$DB13+$DC13,$DI13+$DJ13,$DP13+$DQ13,$DW13+$DX13,$ED13+$EE13,$EK13+$EL13,$ER13+$ES13))</f>
        <v>41.545000000000002</v>
      </c>
      <c r="AV13" s="27">
        <f>IF(MAX($AZ13+$BA13,$BG13+$BH13,$BN13+$BO13,$BU13+$BV13,$CB13+$CC13,$CI13+$CJ13,$CP13+$CQ13,$CW13+$CX13,$DD13+$DE13,$DK13+$DL13,$DR13+$DS13,$DY13+$DZ13,$EF13+$EG13,$EM13+$EN13,$ET13+$EU13)=0,"",MAX($AZ13+$BA13,$BG13+$BH13,$BN13+$BO13,$BU13+$BV13,$CB13+$CC13,$CI13+$CJ13,$CP13+$CQ13,$CW13+$CX13,$DD13+$DE13,$DK13+$DL13,$DR13+$DS13,$DY13+$DZ13,$EF13+$EG13,$EM13+$EN13,$ET13+$EU13))</f>
        <v>43.37</v>
      </c>
      <c r="AW13" s="28">
        <f>IF(MAX($BC13+$BD13,$BJ13+$BK13,$BQ13+$BR13,$BX13+$BY13,$CE13+$CF13,$CL13+$CM13,$CS13+$CT13,$CZ13+$DA13,$DG13+$DH13,$DN13+$DO13,$DU13+$DV13,$EB13+$EC13,$EI13+$EJ13,$EP13+$EQ13,$EW13+$EX13)=0,"",MAX($BC13+$BD13,$BJ13+$BK13,$BQ13+$BR13,$BX13+$BY13,$CE13+$CF13,$CL13+$CM13,$CS13+$CT13,$CZ13+$DA13,$DG13+$DH13,$DN13+$DO13,$DU13+$DV13,$EB13+$EC13,$EI13+$EJ13,$EP13+$EQ13,$EW13+$EX13))</f>
        <v>49.04</v>
      </c>
      <c r="AX13" s="50"/>
      <c r="AY13" s="51"/>
      <c r="AZ13" s="51"/>
      <c r="BA13" s="51"/>
      <c r="BB13" s="53" t="str">
        <f>IF(AZ13&lt;&gt;"",SUM(AX13:BA13),"")</f>
        <v/>
      </c>
      <c r="BC13" s="59"/>
      <c r="BD13" s="51"/>
      <c r="BE13" s="76">
        <v>25.6</v>
      </c>
      <c r="BF13" s="77">
        <v>15.945</v>
      </c>
      <c r="BG13" s="54">
        <f>17+11.5</f>
        <v>28.5</v>
      </c>
      <c r="BH13" s="54">
        <v>14.87</v>
      </c>
      <c r="BI13" s="78">
        <f>IF(BG13&lt;&gt;"",SUM(BE13:BH13),"")</f>
        <v>84.915000000000006</v>
      </c>
      <c r="BJ13" s="79">
        <f>21.3+12</f>
        <v>33.299999999999997</v>
      </c>
      <c r="BK13" s="77">
        <v>15.74</v>
      </c>
      <c r="BL13" s="50"/>
      <c r="BM13" s="51"/>
      <c r="BN13" s="51"/>
      <c r="BO13" s="51"/>
      <c r="BP13" s="53"/>
      <c r="BQ13" s="59"/>
      <c r="BR13" s="51"/>
      <c r="BS13" s="50"/>
      <c r="BT13" s="51"/>
      <c r="BU13" s="51"/>
      <c r="BV13" s="51"/>
      <c r="BW13" s="53"/>
      <c r="BX13" s="59"/>
      <c r="BY13" s="51"/>
      <c r="BZ13" s="5"/>
      <c r="CA13" s="27"/>
      <c r="CB13" s="27"/>
      <c r="CC13" s="27"/>
      <c r="CD13" s="53" t="str">
        <f>IF(CB13&lt;&gt;"",SUM(BZ13:CC13),"")</f>
        <v/>
      </c>
      <c r="CE13" s="14"/>
      <c r="CF13" s="28"/>
      <c r="CG13" s="5"/>
      <c r="CH13" s="27"/>
      <c r="CI13" s="27"/>
      <c r="CJ13" s="27"/>
      <c r="CK13" s="53" t="str">
        <f>IF(CI13&lt;&gt;"",SUM(CG13:CJ13),"")</f>
        <v/>
      </c>
      <c r="CL13" s="14"/>
      <c r="CM13" s="28"/>
      <c r="CN13" s="5"/>
      <c r="CO13" s="27"/>
      <c r="CP13" s="27"/>
      <c r="CQ13" s="27"/>
      <c r="CR13" s="53" t="str">
        <f>IF(CP13&lt;&gt;"",SUM(CN13:CQ13),"")</f>
        <v/>
      </c>
      <c r="CS13" s="14"/>
      <c r="CT13" s="28"/>
      <c r="CU13" s="5"/>
      <c r="CV13" s="27"/>
      <c r="CW13" s="27"/>
      <c r="CX13" s="27"/>
      <c r="CY13" s="53" t="str">
        <f>IF(CW13&lt;&gt;"",SUM(CU13:CX13),"")</f>
        <v/>
      </c>
      <c r="CZ13" s="14"/>
      <c r="DA13" s="28"/>
      <c r="DB13" s="5"/>
      <c r="DC13" s="27"/>
      <c r="DD13" s="27"/>
      <c r="DE13" s="27"/>
      <c r="DF13" s="53" t="str">
        <f>IF(DD13&lt;&gt;"",SUM(DB13:DE13),"")</f>
        <v/>
      </c>
      <c r="DG13" s="14"/>
      <c r="DH13" s="28"/>
      <c r="DI13" s="5"/>
      <c r="DJ13" s="27"/>
      <c r="DK13" s="27"/>
      <c r="DL13" s="27"/>
      <c r="DM13" s="53" t="str">
        <f>IF(DK13&lt;&gt;"",SUM(DI13:DL13),"")</f>
        <v/>
      </c>
      <c r="DN13" s="14"/>
      <c r="DO13" s="28"/>
      <c r="DP13" s="5"/>
      <c r="DQ13" s="27"/>
      <c r="DR13" s="27"/>
      <c r="DS13" s="27"/>
      <c r="DT13" s="53" t="str">
        <f>IF(DR13&lt;&gt;"",SUM(DP13:DS13),"")</f>
        <v/>
      </c>
      <c r="DU13" s="14"/>
      <c r="DV13" s="28"/>
      <c r="DW13" s="5"/>
      <c r="DX13" s="27"/>
      <c r="DY13" s="27"/>
      <c r="DZ13" s="27"/>
      <c r="EA13" s="53" t="str">
        <f>IF(DY13&lt;&gt;"",SUM(DW13:DZ13),"")</f>
        <v/>
      </c>
      <c r="EB13" s="14"/>
      <c r="EC13" s="28"/>
      <c r="ED13" s="5"/>
      <c r="EE13" s="27"/>
      <c r="EF13" s="27"/>
      <c r="EG13" s="27"/>
      <c r="EH13" s="53" t="str">
        <f>IF(EF13&lt;&gt;"",SUM(ED13:EG13),"")</f>
        <v/>
      </c>
      <c r="EI13" s="14"/>
      <c r="EJ13" s="28"/>
      <c r="EK13" s="5"/>
      <c r="EL13" s="27"/>
      <c r="EM13" s="27"/>
      <c r="EN13" s="27"/>
      <c r="EO13" s="53" t="str">
        <f>IF(EM13&lt;&gt;"",SUM(EK13:EN13),"")</f>
        <v/>
      </c>
      <c r="EP13" s="14"/>
      <c r="EQ13" s="28"/>
      <c r="ER13" s="5"/>
      <c r="ES13" s="27"/>
      <c r="ET13" s="27"/>
      <c r="EU13" s="27"/>
      <c r="EV13" s="53" t="str">
        <f>IF(ET13&lt;&gt;"",SUM(ER13:EU13),"")</f>
        <v/>
      </c>
      <c r="EW13" s="14"/>
      <c r="EX13" s="28"/>
    </row>
    <row r="14" spans="1:154" s="12" customFormat="1">
      <c r="A14" s="71">
        <v>8</v>
      </c>
      <c r="B14" s="70" t="s">
        <v>93</v>
      </c>
      <c r="C14" s="43" t="s">
        <v>27</v>
      </c>
      <c r="D14" s="42" t="s">
        <v>54</v>
      </c>
      <c r="E14" s="43" t="s">
        <v>65</v>
      </c>
      <c r="F14" s="4">
        <v>2016</v>
      </c>
      <c r="G14" s="41">
        <v>2001</v>
      </c>
      <c r="H14" s="44">
        <f>IF(V14="",SUM(N14:T14),SUM(N14:T14)+V14)</f>
        <v>238.07499999999999</v>
      </c>
      <c r="I14" s="45"/>
      <c r="J14" s="46" t="str">
        <f>IF('TRA-M'!$A$2-F14&lt;=1,IF(AA14&gt;=$W$3,"YES",IF(AH14&gt;=$AD$3,"YES",IF(AO14&gt;=$AK$3,"YES",""))),"")</f>
        <v>YES</v>
      </c>
      <c r="K14" s="47" t="str">
        <f>IF(AA14&gt;=$Y$3,IF(I14="YES","YES",""),IF(AH14&gt;=$AF$3,IF(I14="YES","YES",""),IF(AO14&gt;=$AM$3,IF(I14="YES","YES",""),"")))</f>
        <v/>
      </c>
      <c r="L14" s="48" t="str">
        <f>IF(AA14&gt;=$AA$3,IF(I14="YES","YES",""),IF(AH14&gt;=$AH$3,IF(I14="YES","YES",""),IF(AO14&gt;=$AO$3,IF(I14="YES","YES",""),"")))</f>
        <v/>
      </c>
      <c r="M14" s="49" t="str">
        <f>IF(AA14&gt;=$AB$3,IF(I14="YES","YES",""),IF(AH14&gt;=$AI$3,IF(I14="YES","YES",""),IF(AO14&gt;=$AP$3,IF(I14="YES","YES",""),"")))</f>
        <v/>
      </c>
      <c r="N14" s="5">
        <f>MAX($AO14,$AH14,$AA14)</f>
        <v>92.114999999999995</v>
      </c>
      <c r="O14" s="115">
        <v>4</v>
      </c>
      <c r="P14" s="27">
        <f>IF($N14=$AO14,MAX($AD14+$AE14,$W14+$X14),IF($N14=$AH14,MAX($AK14+$AL14,$W14+$X14),MAX($AK14+$AL14,$AD14+$AE14)))</f>
        <v>46.074999999999996</v>
      </c>
      <c r="Q14" s="27"/>
      <c r="R14" s="27">
        <f>IF($N14=$AO14,MAX($AF14+$AG14,$Y14+$Z14),IF($N14=$AH14,MAX($AM14+$AN14,$Y14+$Z14),MAX($AM14+$AN14,$AF14+$AG14)))</f>
        <v>45.234999999999999</v>
      </c>
      <c r="S14" s="115">
        <v>1</v>
      </c>
      <c r="T14" s="27">
        <f>MAX($AP14+$AQ14,$AI14+$AJ14,$AB14+$AC14)</f>
        <v>45.914999999999999</v>
      </c>
      <c r="U14" s="115">
        <v>1</v>
      </c>
      <c r="V14" s="109">
        <f>IF(MAX(AR14:AT14)&lt;=0,"",MAX(AR14:AT14))</f>
        <v>3.7349999999999994</v>
      </c>
      <c r="W14" s="72">
        <f>24.6+2.1</f>
        <v>26.700000000000003</v>
      </c>
      <c r="X14" s="73">
        <v>15.895</v>
      </c>
      <c r="Y14" s="73">
        <f>22.1+12</f>
        <v>34.1</v>
      </c>
      <c r="Z14" s="73">
        <v>15.42</v>
      </c>
      <c r="AA14" s="120">
        <f>SUM(W14:Z14)</f>
        <v>92.114999999999995</v>
      </c>
      <c r="AB14" s="115">
        <f>19.2+12</f>
        <v>31.2</v>
      </c>
      <c r="AC14" s="117">
        <v>14.715</v>
      </c>
      <c r="AD14" s="50">
        <f>25.2+2.1</f>
        <v>27.3</v>
      </c>
      <c r="AE14" s="51">
        <v>16.489999999999998</v>
      </c>
      <c r="AF14" s="115">
        <f>19.6+10.4</f>
        <v>30</v>
      </c>
      <c r="AG14" s="115">
        <v>15.234999999999999</v>
      </c>
      <c r="AH14" s="53">
        <f>SUM(AD14:AG14)</f>
        <v>89.024999999999991</v>
      </c>
      <c r="AI14" s="54">
        <f>2.1+1.7</f>
        <v>3.8</v>
      </c>
      <c r="AJ14" s="55">
        <v>1.6950000000000001</v>
      </c>
      <c r="AK14" s="50">
        <f>16.4+9.3+4.1</f>
        <v>29.799999999999997</v>
      </c>
      <c r="AL14" s="51">
        <v>16.274999999999999</v>
      </c>
      <c r="AM14" s="54">
        <f>7.5+5.5+4.9</f>
        <v>17.899999999999999</v>
      </c>
      <c r="AN14" s="54">
        <v>9.11</v>
      </c>
      <c r="AO14" s="53">
        <f>SUM(AK14:AN14)</f>
        <v>73.084999999999994</v>
      </c>
      <c r="AP14" s="51"/>
      <c r="AQ14" s="56"/>
      <c r="AR14" s="5">
        <f>IF(AU14="","",AU14-P14)</f>
        <v>-5.4749999999999943</v>
      </c>
      <c r="AS14" s="27">
        <f>IF(AV14="","",AV14-R14)</f>
        <v>3.7349999999999994</v>
      </c>
      <c r="AT14" s="28">
        <f>IF(AW14="","",AW14-T14)</f>
        <v>2.8549999999999969</v>
      </c>
      <c r="AU14" s="5">
        <f>IF(MAX($AX14+$AY14,$BE14+$BF14,$BL14+$BM14,$BS14+$BT14,$BZ14+$CA14,$CG14+$CH14,$CN14+$CO14,$CU14+$CV14,$DB14+$DC14,$DI14+$DJ14,$DP14+$DQ14,$DW14+$DX14,$ED14+$EE14,$EK14+$EL14,$ER14+$ES14)=0,"",MAX($AX14+$AY14,$BE14+$BF14,$BL14+$BM14,$BS14+$BT14,$BZ14+$CA14,$CG14+$CH14,$CN14+$CO14,$CU14+$CV14,$DB14+$DC14,$DI14+$DJ14,$DP14+$DQ14,$DW14+$DX14,$ED14+$EE14,$EK14+$EL14,$ER14+$ES14))</f>
        <v>40.6</v>
      </c>
      <c r="AV14" s="27">
        <f>IF(MAX($AZ14+$BA14,$BG14+$BH14,$BN14+$BO14,$BU14+$BV14,$CB14+$CC14,$CI14+$CJ14,$CP14+$CQ14,$CW14+$CX14,$DD14+$DE14,$DK14+$DL14,$DR14+$DS14,$DY14+$DZ14,$EF14+$EG14,$EM14+$EN14,$ET14+$EU14)=0,"",MAX($AZ14+$BA14,$BG14+$BH14,$BN14+$BO14,$BU14+$BV14,$CB14+$CC14,$CI14+$CJ14,$CP14+$CQ14,$CW14+$CX14,$DD14+$DE14,$DK14+$DL14,$DR14+$DS14,$DY14+$DZ14,$EF14+$EG14,$EM14+$EN14,$ET14+$EU14))</f>
        <v>48.97</v>
      </c>
      <c r="AW14" s="28">
        <f>IF(MAX($BC14+$BD14,$BJ14+$BK14,$BQ14+$BR14,$BX14+$BY14,$CE14+$CF14,$CL14+$CM14,$CS14+$CT14,$CZ14+$DA14,$DG14+$DH14,$DN14+$DO14,$DU14+$DV14,$EB14+$EC14,$EI14+$EJ14,$EP14+$EQ14,$EW14+$EX14)=0,"",MAX($BC14+$BD14,$BJ14+$BK14,$BQ14+$BR14,$BX14+$BY14,$CE14+$CF14,$CL14+$CM14,$CS14+$CT14,$CZ14+$DA14,$DG14+$DH14,$DN14+$DO14,$DU14+$DV14,$EB14+$EC14,$EI14+$EJ14,$EP14+$EQ14,$EW14+$EX14))</f>
        <v>48.769999999999996</v>
      </c>
      <c r="AX14" s="50">
        <v>24.5</v>
      </c>
      <c r="AY14" s="51">
        <v>16.100000000000001</v>
      </c>
      <c r="AZ14" s="51">
        <f>21.8+11.9</f>
        <v>33.700000000000003</v>
      </c>
      <c r="BA14" s="51">
        <v>15.27</v>
      </c>
      <c r="BB14" s="53">
        <f>IF(AZ14&lt;&gt;"",SUM(AX14:BA14),"")</f>
        <v>89.570000000000007</v>
      </c>
      <c r="BC14" s="59">
        <f>22.2+11.2</f>
        <v>33.4</v>
      </c>
      <c r="BD14" s="51">
        <v>15.37</v>
      </c>
      <c r="BE14" s="50"/>
      <c r="BF14" s="51"/>
      <c r="BG14" s="51"/>
      <c r="BH14" s="51"/>
      <c r="BI14" s="53" t="str">
        <f>IF(BG14&lt;&gt;"",SUM(BE14:BH14),"")</f>
        <v/>
      </c>
      <c r="BJ14" s="59"/>
      <c r="BK14" s="51"/>
      <c r="BL14" s="50"/>
      <c r="BM14" s="51"/>
      <c r="BN14" s="51"/>
      <c r="BO14" s="51"/>
      <c r="BP14" s="53"/>
      <c r="BQ14" s="59"/>
      <c r="BR14" s="51"/>
      <c r="BS14" s="50"/>
      <c r="BT14" s="51"/>
      <c r="BU14" s="51"/>
      <c r="BV14" s="51"/>
      <c r="BW14" s="53"/>
      <c r="BX14" s="59"/>
      <c r="BY14" s="51"/>
      <c r="BZ14" s="5"/>
      <c r="CA14" s="27"/>
      <c r="CB14" s="27"/>
      <c r="CC14" s="27"/>
      <c r="CD14" s="53" t="str">
        <f>IF(CB14&lt;&gt;"",SUM(BZ14:CC14),"")</f>
        <v/>
      </c>
      <c r="CE14" s="14"/>
      <c r="CF14" s="28"/>
      <c r="CG14" s="5"/>
      <c r="CH14" s="27"/>
      <c r="CI14" s="27"/>
      <c r="CJ14" s="27"/>
      <c r="CK14" s="53" t="str">
        <f>IF(CI14&lt;&gt;"",SUM(CG14:CJ14),"")</f>
        <v/>
      </c>
      <c r="CL14" s="14"/>
      <c r="CM14" s="28"/>
      <c r="CN14" s="5"/>
      <c r="CO14" s="27"/>
      <c r="CP14" s="27"/>
      <c r="CQ14" s="27"/>
      <c r="CR14" s="53" t="str">
        <f>IF(CP14&lt;&gt;"",SUM(CN14:CQ14),"")</f>
        <v/>
      </c>
      <c r="CS14" s="14"/>
      <c r="CT14" s="28"/>
      <c r="CU14" s="5"/>
      <c r="CV14" s="27"/>
      <c r="CW14" s="27"/>
      <c r="CX14" s="27"/>
      <c r="CY14" s="53" t="str">
        <f>IF(CW14&lt;&gt;"",SUM(CU14:CX14),"")</f>
        <v/>
      </c>
      <c r="CZ14" s="14"/>
      <c r="DA14" s="28"/>
      <c r="DB14" s="5"/>
      <c r="DC14" s="27"/>
      <c r="DD14" s="27"/>
      <c r="DE14" s="27"/>
      <c r="DF14" s="53" t="str">
        <f>IF(DD14&lt;&gt;"",SUM(DB14:DE14),"")</f>
        <v/>
      </c>
      <c r="DG14" s="14"/>
      <c r="DH14" s="28"/>
      <c r="DI14" s="5"/>
      <c r="DJ14" s="27"/>
      <c r="DK14" s="27"/>
      <c r="DL14" s="27"/>
      <c r="DM14" s="53" t="str">
        <f>IF(DK14&lt;&gt;"",SUM(DI14:DL14),"")</f>
        <v/>
      </c>
      <c r="DN14" s="14"/>
      <c r="DO14" s="28"/>
      <c r="DP14" s="5"/>
      <c r="DQ14" s="27"/>
      <c r="DR14" s="27"/>
      <c r="DS14" s="27"/>
      <c r="DT14" s="53" t="str">
        <f>IF(DR14&lt;&gt;"",SUM(DP14:DS14),"")</f>
        <v/>
      </c>
      <c r="DU14" s="14"/>
      <c r="DV14" s="28"/>
      <c r="DW14" s="5"/>
      <c r="DX14" s="27"/>
      <c r="DY14" s="27"/>
      <c r="DZ14" s="27"/>
      <c r="EA14" s="53" t="str">
        <f>IF(DY14&lt;&gt;"",SUM(DW14:DZ14),"")</f>
        <v/>
      </c>
      <c r="EB14" s="14"/>
      <c r="EC14" s="28"/>
      <c r="ED14" s="5"/>
      <c r="EE14" s="27"/>
      <c r="EF14" s="27"/>
      <c r="EG14" s="27"/>
      <c r="EH14" s="53" t="str">
        <f>IF(EF14&lt;&gt;"",SUM(ED14:EG14),"")</f>
        <v/>
      </c>
      <c r="EI14" s="14"/>
      <c r="EJ14" s="28"/>
      <c r="EK14" s="5"/>
      <c r="EL14" s="27"/>
      <c r="EM14" s="27"/>
      <c r="EN14" s="27"/>
      <c r="EO14" s="53" t="str">
        <f>IF(EM14&lt;&gt;"",SUM(EK14:EN14),"")</f>
        <v/>
      </c>
      <c r="EP14" s="14"/>
      <c r="EQ14" s="28"/>
      <c r="ER14" s="5"/>
      <c r="ES14" s="27"/>
      <c r="ET14" s="27"/>
      <c r="EU14" s="27"/>
      <c r="EV14" s="53" t="str">
        <f>IF(ET14&lt;&gt;"",SUM(ER14:EU14),"")</f>
        <v/>
      </c>
      <c r="EW14" s="14"/>
      <c r="EX14" s="28"/>
    </row>
    <row r="15" spans="1:154" s="12" customFormat="1">
      <c r="A15" s="71"/>
      <c r="B15" s="70" t="s">
        <v>117</v>
      </c>
      <c r="C15" s="43" t="s">
        <v>118</v>
      </c>
      <c r="D15" s="42" t="s">
        <v>119</v>
      </c>
      <c r="E15" s="43" t="s">
        <v>65</v>
      </c>
      <c r="F15" s="4">
        <v>2017</v>
      </c>
      <c r="G15" s="132">
        <v>1999</v>
      </c>
      <c r="H15" s="44">
        <f>IF(V15="",SUM(N15:T15),SUM(N15:T15)+V15)</f>
        <v>236.04</v>
      </c>
      <c r="I15" s="45"/>
      <c r="J15" s="46" t="str">
        <f>IF('TRA-M'!$A$2-F15&lt;=1,IF(AA15&gt;=$W$3,"YES",IF(AH15&gt;=$AD$3,"YES",IF(AO15&gt;=$AK$3,"YES",""))),"")</f>
        <v/>
      </c>
      <c r="K15" s="47" t="str">
        <f>IF(AA15&gt;=$Y$3,IF(I15="YES","YES",""),IF(AH15&gt;=$AF$3,IF(I15="YES","YES",""),IF(AO15&gt;=$AM$3,IF(I15="YES","YES",""),"")))</f>
        <v/>
      </c>
      <c r="L15" s="48" t="str">
        <f>IF(AA15&gt;=$AA$3,IF(I15="YES","YES",""),IF(AH15&gt;=$AH$3,IF(I15="YES","YES",""),IF(AO15&gt;=$AO$3,IF(I15="YES","YES",""),"")))</f>
        <v/>
      </c>
      <c r="M15" s="49" t="str">
        <f>IF(AA15&gt;=$AB$3,IF(I15="YES","YES",""),IF(AH15&gt;=$AI$3,IF(I15="YES","YES",""),IF(AO15&gt;=$AP$3,IF(I15="YES","YES",""),"")))</f>
        <v/>
      </c>
      <c r="N15" s="5">
        <f>MAX($AO15,$AH15,$AA15)</f>
        <v>90.064999999999998</v>
      </c>
      <c r="O15" s="115">
        <v>4</v>
      </c>
      <c r="P15" s="27">
        <f>IF($N15=$AO15,MAX($AD15+$AE15,$W15+$X15),IF($N15=$AH15,MAX($AK15+$AL15,$W15+$X15),MAX($AK15+$AL15,$AD15+$AE15)))</f>
        <v>45.04</v>
      </c>
      <c r="Q15" s="27"/>
      <c r="R15" s="27">
        <f>IF($N15=$AO15,MAX($AF15+$AG15,$Y15+$Z15),IF($N15=$AH15,MAX($AM15+$AN15,$Y15+$Z15),MAX($AM15+$AN15,$AF15+$AG15)))</f>
        <v>45.46</v>
      </c>
      <c r="S15" s="115">
        <v>1</v>
      </c>
      <c r="T15" s="27">
        <f>MAX($AP15+$AQ15,$AI15+$AJ15,$AB15+$AC15)</f>
        <v>50.475000000000001</v>
      </c>
      <c r="U15" s="115">
        <v>1</v>
      </c>
      <c r="V15" s="109" t="str">
        <f>IF(MAX(AR15:AT15)&lt;=0,"",MAX(AR15:AT15))</f>
        <v/>
      </c>
      <c r="W15" s="72">
        <f>25.4+2.3</f>
        <v>27.7</v>
      </c>
      <c r="X15" s="73">
        <v>14.87</v>
      </c>
      <c r="Y15" s="115">
        <f>21.2+10.3</f>
        <v>31.5</v>
      </c>
      <c r="Z15" s="115">
        <v>13.96</v>
      </c>
      <c r="AA15" s="74">
        <f>SUM(W15:Z15)</f>
        <v>88.03</v>
      </c>
      <c r="AB15" s="54">
        <f>19.7+9.1</f>
        <v>28.799999999999997</v>
      </c>
      <c r="AC15" s="55">
        <v>12.68</v>
      </c>
      <c r="AD15" s="72">
        <f>24+2.1</f>
        <v>26.1</v>
      </c>
      <c r="AE15" s="73">
        <v>14.82</v>
      </c>
      <c r="AF15" s="73">
        <f>22.8+12</f>
        <v>34.799999999999997</v>
      </c>
      <c r="AG15" s="73">
        <v>14.345000000000001</v>
      </c>
      <c r="AH15" s="120">
        <f>SUM(AD15:AG15)</f>
        <v>90.064999999999998</v>
      </c>
      <c r="AI15" s="115">
        <f>24.7+11.3</f>
        <v>36</v>
      </c>
      <c r="AJ15" s="117">
        <v>14.475</v>
      </c>
      <c r="AK15" s="50">
        <f>16+8.9+4.4</f>
        <v>29.299999999999997</v>
      </c>
      <c r="AL15" s="51">
        <v>15.74</v>
      </c>
      <c r="AM15" s="54">
        <f>7.6+4.5+5.9</f>
        <v>18</v>
      </c>
      <c r="AN15" s="54">
        <v>7.6550000000000002</v>
      </c>
      <c r="AO15" s="53">
        <f>SUM(AK15:AN15)</f>
        <v>70.694999999999993</v>
      </c>
      <c r="AP15" s="51"/>
      <c r="AQ15" s="56"/>
      <c r="AR15" s="5" t="str">
        <f>IF(AU15="","",AU15-P15)</f>
        <v/>
      </c>
      <c r="AS15" s="27" t="str">
        <f>IF(AV15="","",AV15-R15)</f>
        <v/>
      </c>
      <c r="AT15" s="28" t="str">
        <f>IF(AW15="","",AW15-T15)</f>
        <v/>
      </c>
      <c r="AU15" s="5" t="str">
        <f>IF(MAX($AX15+$AY15,$BE15+$BF15,$BL15+$BM15,$BS15+$BT15,$BZ15+$CA15,$CG15+$CH15,$CN15+$CO15,$CU15+$CV15,$DB15+$DC15,$DI15+$DJ15,$DP15+$DQ15,$DW15+$DX15,$ED15+$EE15,$EK15+$EL15,$ER15+$ES15)=0,"",MAX($AX15+$AY15,$BE15+$BF15,$BL15+$BM15,$BS15+$BT15,$BZ15+$CA15,$CG15+$CH15,$CN15+$CO15,$CU15+$CV15,$DB15+$DC15,$DI15+$DJ15,$DP15+$DQ15,$DW15+$DX15,$ED15+$EE15,$EK15+$EL15,$ER15+$ES15))</f>
        <v/>
      </c>
      <c r="AV15" s="27" t="str">
        <f>IF(MAX($AZ15+$BA15,$BG15+$BH15,$BN15+$BO15,$BU15+$BV15,$CB15+$CC15,$CI15+$CJ15,$CP15+$CQ15,$CW15+$CX15,$DD15+$DE15,$DK15+$DL15,$DR15+$DS15,$DY15+$DZ15,$EF15+$EG15,$EM15+$EN15,$ET15+$EU15)=0,"",MAX($AZ15+$BA15,$BG15+$BH15,$BN15+$BO15,$BU15+$BV15,$CB15+$CC15,$CI15+$CJ15,$CP15+$CQ15,$CW15+$CX15,$DD15+$DE15,$DK15+$DL15,$DR15+$DS15,$DY15+$DZ15,$EF15+$EG15,$EM15+$EN15,$ET15+$EU15))</f>
        <v/>
      </c>
      <c r="AW15" s="28" t="str">
        <f>IF(MAX($BC15+$BD15,$BJ15+$BK15,$BQ15+$BR15,$BX15+$BY15,$CE15+$CF15,$CL15+$CM15,$CS15+$CT15,$CZ15+$DA15,$DG15+$DH15,$DN15+$DO15,$DU15+$DV15,$EB15+$EC15,$EI15+$EJ15,$EP15+$EQ15,$EW15+$EX15)=0,"",MAX($BC15+$BD15,$BJ15+$BK15,$BQ15+$BR15,$BX15+$BY15,$CE15+$CF15,$CL15+$CM15,$CS15+$CT15,$CZ15+$DA15,$DG15+$DH15,$DN15+$DO15,$DU15+$DV15,$EB15+$EC15,$EI15+$EJ15,$EP15+$EQ15,$EW15+$EX15))</f>
        <v/>
      </c>
      <c r="AX15" s="50"/>
      <c r="AY15" s="51"/>
      <c r="AZ15" s="51"/>
      <c r="BA15" s="51"/>
      <c r="BB15" s="53" t="str">
        <f>IF(AZ15&lt;&gt;"",SUM(AX15:BA15),"")</f>
        <v/>
      </c>
      <c r="BC15" s="59"/>
      <c r="BD15" s="51"/>
      <c r="BE15" s="50"/>
      <c r="BF15" s="51"/>
      <c r="BG15" s="51"/>
      <c r="BH15" s="51"/>
      <c r="BI15" s="53" t="str">
        <f>IF(BG15&lt;&gt;"",SUM(BE15:BH15),"")</f>
        <v/>
      </c>
      <c r="BJ15" s="59"/>
      <c r="BK15" s="51"/>
      <c r="BL15" s="50"/>
      <c r="BM15" s="51"/>
      <c r="BN15" s="51"/>
      <c r="BO15" s="51"/>
      <c r="BP15" s="53"/>
      <c r="BQ15" s="59"/>
      <c r="BR15" s="51"/>
      <c r="BS15" s="50"/>
      <c r="BT15" s="51"/>
      <c r="BU15" s="51"/>
      <c r="BV15" s="51"/>
      <c r="BW15" s="53"/>
      <c r="BX15" s="59"/>
      <c r="BY15" s="51"/>
      <c r="BZ15" s="5"/>
      <c r="CA15" s="27"/>
      <c r="CB15" s="27"/>
      <c r="CC15" s="27"/>
      <c r="CD15" s="53" t="str">
        <f>IF(CB15&lt;&gt;"",SUM(BZ15:CC15),"")</f>
        <v/>
      </c>
      <c r="CE15" s="14"/>
      <c r="CF15" s="28"/>
      <c r="CG15" s="5"/>
      <c r="CH15" s="27"/>
      <c r="CI15" s="27"/>
      <c r="CJ15" s="27"/>
      <c r="CK15" s="53" t="str">
        <f>IF(CI15&lt;&gt;"",SUM(CG15:CJ15),"")</f>
        <v/>
      </c>
      <c r="CL15" s="14"/>
      <c r="CM15" s="28"/>
      <c r="CN15" s="5"/>
      <c r="CO15" s="27"/>
      <c r="CP15" s="27"/>
      <c r="CQ15" s="27"/>
      <c r="CR15" s="53" t="str">
        <f>IF(CP15&lt;&gt;"",SUM(CN15:CQ15),"")</f>
        <v/>
      </c>
      <c r="CS15" s="14"/>
      <c r="CT15" s="28"/>
      <c r="CU15" s="5"/>
      <c r="CV15" s="27"/>
      <c r="CW15" s="27"/>
      <c r="CX15" s="27"/>
      <c r="CY15" s="53" t="str">
        <f>IF(CW15&lt;&gt;"",SUM(CU15:CX15),"")</f>
        <v/>
      </c>
      <c r="CZ15" s="14"/>
      <c r="DA15" s="28"/>
      <c r="DB15" s="5"/>
      <c r="DC15" s="27"/>
      <c r="DD15" s="27"/>
      <c r="DE15" s="27"/>
      <c r="DF15" s="53" t="str">
        <f>IF(DD15&lt;&gt;"",SUM(DB15:DE15),"")</f>
        <v/>
      </c>
      <c r="DG15" s="14"/>
      <c r="DH15" s="28"/>
      <c r="DI15" s="5"/>
      <c r="DJ15" s="27"/>
      <c r="DK15" s="27"/>
      <c r="DL15" s="27"/>
      <c r="DM15" s="53" t="str">
        <f>IF(DK15&lt;&gt;"",SUM(DI15:DL15),"")</f>
        <v/>
      </c>
      <c r="DN15" s="14"/>
      <c r="DO15" s="28"/>
      <c r="DP15" s="5"/>
      <c r="DQ15" s="27"/>
      <c r="DR15" s="27"/>
      <c r="DS15" s="27"/>
      <c r="DT15" s="53" t="str">
        <f>IF(DR15&lt;&gt;"",SUM(DP15:DS15),"")</f>
        <v/>
      </c>
      <c r="DU15" s="14"/>
      <c r="DV15" s="28"/>
      <c r="DW15" s="5"/>
      <c r="DX15" s="27"/>
      <c r="DY15" s="27"/>
      <c r="DZ15" s="27"/>
      <c r="EA15" s="53" t="str">
        <f>IF(DY15&lt;&gt;"",SUM(DW15:DZ15),"")</f>
        <v/>
      </c>
      <c r="EB15" s="14"/>
      <c r="EC15" s="28"/>
      <c r="ED15" s="5"/>
      <c r="EE15" s="27"/>
      <c r="EF15" s="27"/>
      <c r="EG15" s="27"/>
      <c r="EH15" s="53" t="str">
        <f>IF(EF15&lt;&gt;"",SUM(ED15:EG15),"")</f>
        <v/>
      </c>
      <c r="EI15" s="14"/>
      <c r="EJ15" s="28"/>
      <c r="EK15" s="5"/>
      <c r="EL15" s="27"/>
      <c r="EM15" s="27"/>
      <c r="EN15" s="27"/>
      <c r="EO15" s="53" t="str">
        <f>IF(EM15&lt;&gt;"",SUM(EK15:EN15),"")</f>
        <v/>
      </c>
      <c r="EP15" s="14"/>
      <c r="EQ15" s="28"/>
      <c r="ER15" s="5"/>
      <c r="ES15" s="27"/>
      <c r="ET15" s="27"/>
      <c r="EU15" s="27"/>
      <c r="EV15" s="53" t="str">
        <f>IF(ET15&lt;&gt;"",SUM(ER15:EU15),"")</f>
        <v/>
      </c>
      <c r="EW15" s="14"/>
      <c r="EX15" s="28"/>
    </row>
    <row r="16" spans="1:154" s="12" customFormat="1">
      <c r="A16" s="71"/>
      <c r="B16" s="70" t="s">
        <v>114</v>
      </c>
      <c r="C16" s="43" t="s">
        <v>26</v>
      </c>
      <c r="D16" s="42" t="s">
        <v>115</v>
      </c>
      <c r="E16" s="43" t="s">
        <v>65</v>
      </c>
      <c r="F16" s="4">
        <v>2017</v>
      </c>
      <c r="G16" s="41">
        <v>2001</v>
      </c>
      <c r="H16" s="44">
        <f>IF(V16="",SUM(N16:T16),SUM(N16:T16)+V16)</f>
        <v>232.67500000000001</v>
      </c>
      <c r="I16" s="45"/>
      <c r="J16" s="46" t="str">
        <f>IF('TRA-M'!$A$2-F16&lt;=1,IF(AA16&gt;=$W$3,"YES",IF(AH16&gt;=$AD$3,"YES",IF(AO16&gt;=$AK$3,"YES",""))),"")</f>
        <v/>
      </c>
      <c r="K16" s="47" t="str">
        <f>IF(AA16&gt;=$Y$3,IF(I16="YES","YES",""),IF(AH16&gt;=$AF$3,IF(I16="YES","YES",""),IF(AO16&gt;=$AM$3,IF(I16="YES","YES",""),"")))</f>
        <v/>
      </c>
      <c r="L16" s="48" t="str">
        <f>IF(AA16&gt;=$AA$3,IF(I16="YES","YES",""),IF(AH16&gt;=$AH$3,IF(I16="YES","YES",""),IF(AO16&gt;=$AO$3,IF(I16="YES","YES",""),"")))</f>
        <v/>
      </c>
      <c r="M16" s="49" t="str">
        <f>IF(AA16&gt;=$AB$3,IF(I16="YES","YES",""),IF(AH16&gt;=$AI$3,IF(I16="YES","YES",""),IF(AO16&gt;=$AP$3,IF(I16="YES","YES",""),"")))</f>
        <v/>
      </c>
      <c r="N16" s="5">
        <f>MAX($AO16,$AH16,$AA16)</f>
        <v>91.05</v>
      </c>
      <c r="O16" s="27"/>
      <c r="P16" s="27">
        <f>IF($N16=$AO16,MAX($AD16+$AE16,$W16+$X16),IF($N16=$AH16,MAX($AK16+$AL16,$W16+$X16),MAX($AK16+$AL16,$AD16+$AE16)))</f>
        <v>40.855000000000004</v>
      </c>
      <c r="Q16" s="115">
        <v>3</v>
      </c>
      <c r="R16" s="27">
        <f>IF($N16=$AO16,MAX($AF16+$AG16,$Y16+$Z16),IF($N16=$AH16,MAX($AM16+$AN16,$Y16+$Z16),MAX($AM16+$AN16,$AF16+$AG16)))</f>
        <v>46.71</v>
      </c>
      <c r="S16" s="115">
        <v>1</v>
      </c>
      <c r="T16" s="27">
        <f>MAX($AP16+$AQ16,$AI16+$AJ16,$AB16+$AC16)</f>
        <v>50.06</v>
      </c>
      <c r="U16" s="28"/>
      <c r="V16" s="109" t="str">
        <f>IF(MAX(AR16:AT16)&lt;=0,"",MAX(AR16:AT16))</f>
        <v/>
      </c>
      <c r="W16" s="72">
        <f>23.6+2.1</f>
        <v>25.700000000000003</v>
      </c>
      <c r="X16" s="73">
        <v>15.12</v>
      </c>
      <c r="Y16" s="73">
        <f>21+10.6</f>
        <v>31.6</v>
      </c>
      <c r="Z16" s="73">
        <v>14.984999999999999</v>
      </c>
      <c r="AA16" s="74">
        <f>SUM(W16:Z16)</f>
        <v>87.405000000000001</v>
      </c>
      <c r="AB16" s="73">
        <f>21+10.4</f>
        <v>31.4</v>
      </c>
      <c r="AC16" s="75">
        <v>14.92</v>
      </c>
      <c r="AD16" s="118">
        <f>23.9+2.1</f>
        <v>26</v>
      </c>
      <c r="AE16" s="115">
        <v>14.855</v>
      </c>
      <c r="AF16" s="115">
        <f>21.7+10.4</f>
        <v>32.1</v>
      </c>
      <c r="AG16" s="115">
        <v>14.61</v>
      </c>
      <c r="AH16" s="74">
        <f>SUM(AD16:AG16)</f>
        <v>87.565000000000012</v>
      </c>
      <c r="AI16" s="73">
        <f>24.5+10.4</f>
        <v>34.9</v>
      </c>
      <c r="AJ16" s="75">
        <v>15.1</v>
      </c>
      <c r="AK16" s="50">
        <f>14.7+8.7+2.7</f>
        <v>26.099999999999998</v>
      </c>
      <c r="AL16" s="51">
        <v>14.225</v>
      </c>
      <c r="AM16" s="51">
        <f>14.3+9.5+12</f>
        <v>35.799999999999997</v>
      </c>
      <c r="AN16" s="51">
        <v>14.925000000000001</v>
      </c>
      <c r="AO16" s="53">
        <f>SUM(AK16:AN16)</f>
        <v>91.05</v>
      </c>
      <c r="AP16" s="51">
        <f>14.1+9+12</f>
        <v>35.1</v>
      </c>
      <c r="AQ16" s="56">
        <v>14.96</v>
      </c>
      <c r="AR16" s="5" t="str">
        <f>IF(AU16="","",AU16-P16)</f>
        <v/>
      </c>
      <c r="AS16" s="27" t="str">
        <f>IF(AV16="","",AV16-R16)</f>
        <v/>
      </c>
      <c r="AT16" s="28" t="str">
        <f>IF(AW16="","",AW16-T16)</f>
        <v/>
      </c>
      <c r="AU16" s="5" t="str">
        <f>IF(MAX($AX16+$AY16,$BE16+$BF16,$BL16+$BM16,$BS16+$BT16,$BZ16+$CA16,$CG16+$CH16,$CN16+$CO16,$CU16+$CV16,$DB16+$DC16,$DI16+$DJ16,$DP16+$DQ16,$DW16+$DX16,$ED16+$EE16,$EK16+$EL16,$ER16+$ES16)=0,"",MAX($AX16+$AY16,$BE16+$BF16,$BL16+$BM16,$BS16+$BT16,$BZ16+$CA16,$CG16+$CH16,$CN16+$CO16,$CU16+$CV16,$DB16+$DC16,$DI16+$DJ16,$DP16+$DQ16,$DW16+$DX16,$ED16+$EE16,$EK16+$EL16,$ER16+$ES16))</f>
        <v/>
      </c>
      <c r="AV16" s="27" t="str">
        <f>IF(MAX($AZ16+$BA16,$BG16+$BH16,$BN16+$BO16,$BU16+$BV16,$CB16+$CC16,$CI16+$CJ16,$CP16+$CQ16,$CW16+$CX16,$DD16+$DE16,$DK16+$DL16,$DR16+$DS16,$DY16+$DZ16,$EF16+$EG16,$EM16+$EN16,$ET16+$EU16)=0,"",MAX($AZ16+$BA16,$BG16+$BH16,$BN16+$BO16,$BU16+$BV16,$CB16+$CC16,$CI16+$CJ16,$CP16+$CQ16,$CW16+$CX16,$DD16+$DE16,$DK16+$DL16,$DR16+$DS16,$DY16+$DZ16,$EF16+$EG16,$EM16+$EN16,$ET16+$EU16))</f>
        <v/>
      </c>
      <c r="AW16" s="28" t="str">
        <f>IF(MAX($BC16+$BD16,$BJ16+$BK16,$BQ16+$BR16,$BX16+$BY16,$CE16+$CF16,$CL16+$CM16,$CS16+$CT16,$CZ16+$DA16,$DG16+$DH16,$DN16+$DO16,$DU16+$DV16,$EB16+$EC16,$EI16+$EJ16,$EP16+$EQ16,$EW16+$EX16)=0,"",MAX($BC16+$BD16,$BJ16+$BK16,$BQ16+$BR16,$BX16+$BY16,$CE16+$CF16,$CL16+$CM16,$CS16+$CT16,$CZ16+$DA16,$DG16+$DH16,$DN16+$DO16,$DU16+$DV16,$EB16+$EC16,$EI16+$EJ16,$EP16+$EQ16,$EW16+$EX16))</f>
        <v/>
      </c>
      <c r="AX16" s="50"/>
      <c r="AY16" s="51"/>
      <c r="AZ16" s="51"/>
      <c r="BA16" s="51"/>
      <c r="BB16" s="53" t="str">
        <f>IF(AZ16&lt;&gt;"",SUM(AX16:BA16),"")</f>
        <v/>
      </c>
      <c r="BC16" s="59"/>
      <c r="BD16" s="51"/>
      <c r="BE16" s="50"/>
      <c r="BF16" s="51"/>
      <c r="BG16" s="51"/>
      <c r="BH16" s="51"/>
      <c r="BI16" s="53" t="str">
        <f>IF(BG16&lt;&gt;"",SUM(BE16:BH16),"")</f>
        <v/>
      </c>
      <c r="BJ16" s="59"/>
      <c r="BK16" s="51"/>
      <c r="BL16" s="50"/>
      <c r="BM16" s="51"/>
      <c r="BN16" s="51"/>
      <c r="BO16" s="51"/>
      <c r="BP16" s="53"/>
      <c r="BQ16" s="59"/>
      <c r="BR16" s="51"/>
      <c r="BS16" s="50"/>
      <c r="BT16" s="51"/>
      <c r="BU16" s="51"/>
      <c r="BV16" s="51"/>
      <c r="BW16" s="53"/>
      <c r="BX16" s="59"/>
      <c r="BY16" s="51"/>
      <c r="BZ16" s="5"/>
      <c r="CA16" s="27"/>
      <c r="CB16" s="27"/>
      <c r="CC16" s="27"/>
      <c r="CD16" s="53" t="str">
        <f>IF(CB16&lt;&gt;"",SUM(BZ16:CC16),"")</f>
        <v/>
      </c>
      <c r="CE16" s="14"/>
      <c r="CF16" s="28"/>
      <c r="CG16" s="5"/>
      <c r="CH16" s="27"/>
      <c r="CI16" s="27"/>
      <c r="CJ16" s="27"/>
      <c r="CK16" s="53" t="str">
        <f>IF(CI16&lt;&gt;"",SUM(CG16:CJ16),"")</f>
        <v/>
      </c>
      <c r="CL16" s="14"/>
      <c r="CM16" s="28"/>
      <c r="CN16" s="5"/>
      <c r="CO16" s="27"/>
      <c r="CP16" s="27"/>
      <c r="CQ16" s="27"/>
      <c r="CR16" s="53" t="str">
        <f>IF(CP16&lt;&gt;"",SUM(CN16:CQ16),"")</f>
        <v/>
      </c>
      <c r="CS16" s="14"/>
      <c r="CT16" s="28"/>
      <c r="CU16" s="5"/>
      <c r="CV16" s="27"/>
      <c r="CW16" s="27"/>
      <c r="CX16" s="27"/>
      <c r="CY16" s="53" t="str">
        <f>IF(CW16&lt;&gt;"",SUM(CU16:CX16),"")</f>
        <v/>
      </c>
      <c r="CZ16" s="14"/>
      <c r="DA16" s="28"/>
      <c r="DB16" s="5"/>
      <c r="DC16" s="27"/>
      <c r="DD16" s="27"/>
      <c r="DE16" s="27"/>
      <c r="DF16" s="53" t="str">
        <f>IF(DD16&lt;&gt;"",SUM(DB16:DE16),"")</f>
        <v/>
      </c>
      <c r="DG16" s="14"/>
      <c r="DH16" s="28"/>
      <c r="DI16" s="5"/>
      <c r="DJ16" s="27"/>
      <c r="DK16" s="27"/>
      <c r="DL16" s="27"/>
      <c r="DM16" s="53" t="str">
        <f>IF(DK16&lt;&gt;"",SUM(DI16:DL16),"")</f>
        <v/>
      </c>
      <c r="DN16" s="14"/>
      <c r="DO16" s="28"/>
      <c r="DP16" s="5"/>
      <c r="DQ16" s="27"/>
      <c r="DR16" s="27"/>
      <c r="DS16" s="27"/>
      <c r="DT16" s="53" t="str">
        <f>IF(DR16&lt;&gt;"",SUM(DP16:DS16),"")</f>
        <v/>
      </c>
      <c r="DU16" s="14"/>
      <c r="DV16" s="28"/>
      <c r="DW16" s="5"/>
      <c r="DX16" s="27"/>
      <c r="DY16" s="27"/>
      <c r="DZ16" s="27"/>
      <c r="EA16" s="53" t="str">
        <f>IF(DY16&lt;&gt;"",SUM(DW16:DZ16),"")</f>
        <v/>
      </c>
      <c r="EB16" s="14"/>
      <c r="EC16" s="28"/>
      <c r="ED16" s="5"/>
      <c r="EE16" s="27"/>
      <c r="EF16" s="27"/>
      <c r="EG16" s="27"/>
      <c r="EH16" s="53" t="str">
        <f>IF(EF16&lt;&gt;"",SUM(ED16:EG16),"")</f>
        <v/>
      </c>
      <c r="EI16" s="14"/>
      <c r="EJ16" s="28"/>
      <c r="EK16" s="5"/>
      <c r="EL16" s="27"/>
      <c r="EM16" s="27"/>
      <c r="EN16" s="27"/>
      <c r="EO16" s="53" t="str">
        <f>IF(EM16&lt;&gt;"",SUM(EK16:EN16),"")</f>
        <v/>
      </c>
      <c r="EP16" s="14"/>
      <c r="EQ16" s="28"/>
      <c r="ER16" s="5"/>
      <c r="ES16" s="27"/>
      <c r="ET16" s="27"/>
      <c r="EU16" s="27"/>
      <c r="EV16" s="53" t="str">
        <f>IF(ET16&lt;&gt;"",SUM(ER16:EU16),"")</f>
        <v/>
      </c>
      <c r="EW16" s="14"/>
      <c r="EX16" s="28"/>
    </row>
    <row r="17" spans="1:154" s="12" customFormat="1">
      <c r="A17" s="71"/>
      <c r="B17" s="80" t="s">
        <v>81</v>
      </c>
      <c r="C17" s="81" t="s">
        <v>27</v>
      </c>
      <c r="D17" s="178" t="s">
        <v>54</v>
      </c>
      <c r="E17" s="43" t="s">
        <v>65</v>
      </c>
      <c r="F17" s="4">
        <v>2016</v>
      </c>
      <c r="G17" s="43">
        <v>2000</v>
      </c>
      <c r="H17" s="44">
        <f>IF(V17="",SUM(N17:T17),SUM(N17:T17)+V17)</f>
        <v>212.935</v>
      </c>
      <c r="I17" s="45"/>
      <c r="J17" s="46" t="str">
        <f>IF('TRA-M'!$A$2-F17&lt;=1,IF(AA17&gt;=$W$3,"YES",IF(AH17&gt;=$AD$3,"YES",IF(AO17&gt;=$AK$3,"YES",""))),"")</f>
        <v>YES</v>
      </c>
      <c r="K17" s="47" t="str">
        <f>IF(AA17&gt;=$Y$3,IF(I17="YES","YES",""),IF(AH17&gt;=$AF$3,IF(I17="YES","YES",""),IF(AO17&gt;=$AM$3,IF(I17="YES","YES",""),"")))</f>
        <v/>
      </c>
      <c r="L17" s="48" t="str">
        <f>IF(AA17&gt;=$AA$3,IF(I17="YES","YES",""),IF(AH17&gt;=$AH$3,IF(I17="YES","YES",""),IF(AO17&gt;=$AO$3,IF(I17="YES","YES",""),"")))</f>
        <v/>
      </c>
      <c r="M17" s="49" t="str">
        <f>IF(AA17&gt;=$AB$3,IF(I17="YES","YES",""),IF(AH17&gt;=$AI$3,IF(I17="YES","YES",""),IF(AO17&gt;=$AP$3,IF(I17="YES","YES",""),"")))</f>
        <v/>
      </c>
      <c r="N17" s="5">
        <f>MAX($AO17,$AH17,$AA17)</f>
        <v>92.344999999999999</v>
      </c>
      <c r="O17" s="115">
        <v>4</v>
      </c>
      <c r="P17" s="27">
        <f>IF($N17=$AO17,MAX($AD17+$AE17,$W17+$X17),IF($N17=$AH17,MAX($AK17+$AL17,$W17+$X17),MAX($AK17+$AL17,$AD17+$AE17)))</f>
        <v>43.125</v>
      </c>
      <c r="Q17" s="115">
        <v>3</v>
      </c>
      <c r="R17" s="27">
        <f>IF($N17=$AO17,MAX($AF17+$AG17,$Y17+$Z17),IF($N17=$AH17,MAX($AM17+$AN17,$Y17+$Z17),MAX($AM17+$AN17,$AF17+$AG17)))</f>
        <v>19.37</v>
      </c>
      <c r="S17" s="121">
        <v>0.4</v>
      </c>
      <c r="T17" s="27">
        <f>MAX($AP17+$AQ17,$AI17+$AJ17,$AB17+$AC17)</f>
        <v>50.695</v>
      </c>
      <c r="U17" s="115">
        <v>1</v>
      </c>
      <c r="V17" s="109" t="str">
        <f>IF(MAX(AR17:AT17)&lt;=0,"",MAX(AR17:AT17))</f>
        <v/>
      </c>
      <c r="W17" s="50">
        <f>24.1+2.1</f>
        <v>26.200000000000003</v>
      </c>
      <c r="X17" s="51">
        <v>16.13</v>
      </c>
      <c r="Y17" s="51">
        <f>21.8+12.7</f>
        <v>34.5</v>
      </c>
      <c r="Z17" s="51">
        <v>15.515000000000001</v>
      </c>
      <c r="AA17" s="120">
        <f>SUM(W17:Z17)</f>
        <v>92.344999999999999</v>
      </c>
      <c r="AB17" s="115">
        <f>22.6+12.4</f>
        <v>35</v>
      </c>
      <c r="AC17" s="117">
        <v>15.695</v>
      </c>
      <c r="AD17" s="118">
        <f>24.8+2.4</f>
        <v>27.2</v>
      </c>
      <c r="AE17" s="115">
        <v>15.925000000000001</v>
      </c>
      <c r="AF17" s="121">
        <f>7.7+5.1</f>
        <v>12.8</v>
      </c>
      <c r="AG17" s="121">
        <v>6.57</v>
      </c>
      <c r="AH17" s="53">
        <f>SUM(AD17:AG17)</f>
        <v>62.494999999999997</v>
      </c>
      <c r="AI17" s="51"/>
      <c r="AJ17" s="56"/>
      <c r="AK17" s="50"/>
      <c r="AL17" s="51"/>
      <c r="AM17" s="51"/>
      <c r="AN17" s="51"/>
      <c r="AO17" s="53">
        <f>SUM(AK17:AN17)</f>
        <v>0</v>
      </c>
      <c r="AP17" s="51"/>
      <c r="AQ17" s="56"/>
      <c r="AR17" s="5" t="str">
        <f>IF(AU17="","",AU17-P17)</f>
        <v/>
      </c>
      <c r="AS17" s="27" t="str">
        <f>IF(AV17="","",AV17-R17)</f>
        <v/>
      </c>
      <c r="AT17" s="28" t="str">
        <f>IF(AW17="","",AW17-T17)</f>
        <v/>
      </c>
      <c r="AU17" s="5" t="str">
        <f>IF(MAX($AX17+$AY17,$BE17+$BF17,$BL17+$BM17,$BS17+$BT17,$BZ17+$CA17,$CG17+$CH17,$CN17+$CO17,$CU17+$CV17,$DB17+$DC17,$DI17+$DJ17,$DP17+$DQ17,$DW17+$DX17,$ED17+$EE17,$EK17+$EL17,$ER17+$ES17)=0,"",MAX($AX17+$AY17,$BE17+$BF17,$BL17+$BM17,$BS17+$BT17,$BZ17+$CA17,$CG17+$CH17,$CN17+$CO17,$CU17+$CV17,$DB17+$DC17,$DI17+$DJ17,$DP17+$DQ17,$DW17+$DX17,$ED17+$EE17,$EK17+$EL17,$ER17+$ES17))</f>
        <v/>
      </c>
      <c r="AV17" s="27" t="str">
        <f>IF(MAX($AZ17+$BA17,$BG17+$BH17,$BN17+$BO17,$BU17+$BV17,$CB17+$CC17,$CI17+$CJ17,$CP17+$CQ17,$CW17+$CX17,$DD17+$DE17,$DK17+$DL17,$DR17+$DS17,$DY17+$DZ17,$EF17+$EG17,$EM17+$EN17,$ET17+$EU17)=0,"",MAX($AZ17+$BA17,$BG17+$BH17,$BN17+$BO17,$BU17+$BV17,$CB17+$CC17,$CI17+$CJ17,$CP17+$CQ17,$CW17+$CX17,$DD17+$DE17,$DK17+$DL17,$DR17+$DS17,$DY17+$DZ17,$EF17+$EG17,$EM17+$EN17,$ET17+$EU17))</f>
        <v/>
      </c>
      <c r="AW17" s="28" t="str">
        <f>IF(MAX($BC17+$BD17,$BJ17+$BK17,$BQ17+$BR17,$BX17+$BY17,$CE17+$CF17,$CL17+$CM17,$CS17+$CT17,$CZ17+$DA17,$DG17+$DH17,$DN17+$DO17,$DU17+$DV17,$EB17+$EC17,$EI17+$EJ17,$EP17+$EQ17,$EW17+$EX17)=0,"",MAX($BC17+$BD17,$BJ17+$BK17,$BQ17+$BR17,$BX17+$BY17,$CE17+$CF17,$CL17+$CM17,$CS17+$CT17,$CZ17+$DA17,$DG17+$DH17,$DN17+$DO17,$DU17+$DV17,$EB17+$EC17,$EI17+$EJ17,$EP17+$EQ17,$EW17+$EX17))</f>
        <v/>
      </c>
      <c r="AX17" s="50"/>
      <c r="AY17" s="51"/>
      <c r="AZ17" s="51"/>
      <c r="BA17" s="51"/>
      <c r="BB17" s="53" t="str">
        <f>IF(AZ17&lt;&gt;"",SUM(AX17:BA17),"")</f>
        <v/>
      </c>
      <c r="BC17" s="59"/>
      <c r="BD17" s="51"/>
      <c r="BE17" s="50"/>
      <c r="BF17" s="51"/>
      <c r="BG17" s="51"/>
      <c r="BH17" s="51"/>
      <c r="BI17" s="53" t="str">
        <f>IF(BG17&lt;&gt;"",SUM(BE17:BH17),"")</f>
        <v/>
      </c>
      <c r="BJ17" s="59"/>
      <c r="BK17" s="51"/>
      <c r="BL17" s="50"/>
      <c r="BM17" s="51"/>
      <c r="BN17" s="51"/>
      <c r="BO17" s="51"/>
      <c r="BP17" s="53"/>
      <c r="BQ17" s="59"/>
      <c r="BR17" s="51"/>
      <c r="BS17" s="50"/>
      <c r="BT17" s="51"/>
      <c r="BU17" s="51"/>
      <c r="BV17" s="51"/>
      <c r="BW17" s="53"/>
      <c r="BX17" s="59"/>
      <c r="BY17" s="51"/>
      <c r="BZ17" s="5"/>
      <c r="CA17" s="27"/>
      <c r="CB17" s="27"/>
      <c r="CC17" s="27"/>
      <c r="CD17" s="53" t="str">
        <f>IF(CB17&lt;&gt;"",SUM(BZ17:CC17),"")</f>
        <v/>
      </c>
      <c r="CE17" s="14"/>
      <c r="CF17" s="28"/>
      <c r="CG17" s="5"/>
      <c r="CH17" s="27"/>
      <c r="CI17" s="27"/>
      <c r="CJ17" s="27"/>
      <c r="CK17" s="53" t="str">
        <f>IF(CI17&lt;&gt;"",SUM(CG17:CJ17),"")</f>
        <v/>
      </c>
      <c r="CL17" s="14"/>
      <c r="CM17" s="28"/>
      <c r="CN17" s="5"/>
      <c r="CO17" s="27"/>
      <c r="CP17" s="27"/>
      <c r="CQ17" s="27"/>
      <c r="CR17" s="53" t="str">
        <f>IF(CP17&lt;&gt;"",SUM(CN17:CQ17),"")</f>
        <v/>
      </c>
      <c r="CS17" s="14"/>
      <c r="CT17" s="28"/>
      <c r="CU17" s="5"/>
      <c r="CV17" s="27"/>
      <c r="CW17" s="27"/>
      <c r="CX17" s="27"/>
      <c r="CY17" s="53" t="str">
        <f>IF(CW17&lt;&gt;"",SUM(CU17:CX17),"")</f>
        <v/>
      </c>
      <c r="CZ17" s="14"/>
      <c r="DA17" s="28"/>
      <c r="DB17" s="5"/>
      <c r="DC17" s="27"/>
      <c r="DD17" s="27"/>
      <c r="DE17" s="27"/>
      <c r="DF17" s="53" t="str">
        <f>IF(DD17&lt;&gt;"",SUM(DB17:DE17),"")</f>
        <v/>
      </c>
      <c r="DG17" s="14"/>
      <c r="DH17" s="28"/>
      <c r="DI17" s="5"/>
      <c r="DJ17" s="27"/>
      <c r="DK17" s="27"/>
      <c r="DL17" s="27"/>
      <c r="DM17" s="53" t="str">
        <f>IF(DK17&lt;&gt;"",SUM(DI17:DL17),"")</f>
        <v/>
      </c>
      <c r="DN17" s="14"/>
      <c r="DO17" s="28"/>
      <c r="DP17" s="5"/>
      <c r="DQ17" s="27"/>
      <c r="DR17" s="27"/>
      <c r="DS17" s="27"/>
      <c r="DT17" s="53" t="str">
        <f>IF(DR17&lt;&gt;"",SUM(DP17:DS17),"")</f>
        <v/>
      </c>
      <c r="DU17" s="14"/>
      <c r="DV17" s="28"/>
      <c r="DW17" s="5"/>
      <c r="DX17" s="27"/>
      <c r="DY17" s="27"/>
      <c r="DZ17" s="27"/>
      <c r="EA17" s="53" t="str">
        <f>IF(DY17&lt;&gt;"",SUM(DW17:DZ17),"")</f>
        <v/>
      </c>
      <c r="EB17" s="14"/>
      <c r="EC17" s="28"/>
      <c r="ED17" s="5"/>
      <c r="EE17" s="27"/>
      <c r="EF17" s="27"/>
      <c r="EG17" s="27"/>
      <c r="EH17" s="53" t="str">
        <f>IF(EF17&lt;&gt;"",SUM(ED17:EG17),"")</f>
        <v/>
      </c>
      <c r="EI17" s="14"/>
      <c r="EJ17" s="28"/>
      <c r="EK17" s="5"/>
      <c r="EL17" s="27"/>
      <c r="EM17" s="27"/>
      <c r="EN17" s="27"/>
      <c r="EO17" s="53" t="str">
        <f>IF(EM17&lt;&gt;"",SUM(EK17:EN17),"")</f>
        <v/>
      </c>
      <c r="EP17" s="14"/>
      <c r="EQ17" s="28"/>
      <c r="ER17" s="5"/>
      <c r="ES17" s="27"/>
      <c r="ET17" s="27"/>
      <c r="EU17" s="27"/>
      <c r="EV17" s="53" t="str">
        <f>IF(ET17&lt;&gt;"",SUM(ER17:EU17),"")</f>
        <v/>
      </c>
      <c r="EW17" s="14"/>
      <c r="EX17" s="28"/>
    </row>
    <row r="18" spans="1:154">
      <c r="B18" s="70"/>
      <c r="C18" s="43"/>
      <c r="D18" s="43"/>
      <c r="E18" s="43"/>
      <c r="F18" s="4"/>
      <c r="H18" s="82"/>
      <c r="J18" s="83"/>
      <c r="K18" s="84"/>
      <c r="L18" s="85"/>
      <c r="N18" s="11"/>
      <c r="O18" s="11"/>
      <c r="P18" s="11"/>
      <c r="Q18" s="11"/>
      <c r="R18" s="11"/>
      <c r="S18" s="11"/>
      <c r="T18" s="11"/>
      <c r="U18" s="11"/>
      <c r="V18" s="11"/>
      <c r="W18" s="51"/>
      <c r="X18" s="51"/>
      <c r="Y18" s="51"/>
      <c r="Z18" s="51"/>
      <c r="AA18" s="53"/>
      <c r="AB18" s="51"/>
      <c r="AC18" s="51"/>
      <c r="AD18" s="51"/>
      <c r="AE18" s="51"/>
      <c r="AF18" s="51"/>
      <c r="AG18" s="51"/>
      <c r="AH18" s="53"/>
      <c r="AI18" s="51"/>
      <c r="AJ18" s="51"/>
      <c r="AK18" s="51"/>
      <c r="AL18" s="51"/>
      <c r="AM18" s="51"/>
      <c r="AN18" s="51"/>
      <c r="AO18" s="53"/>
      <c r="AP18" s="51"/>
      <c r="AQ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27"/>
      <c r="CA18" s="27"/>
      <c r="CB18" s="27"/>
      <c r="CC18" s="27"/>
      <c r="CD18" s="53"/>
      <c r="CE18" s="14"/>
      <c r="CF18" s="27"/>
      <c r="CG18" s="27"/>
      <c r="CH18" s="27"/>
      <c r="CI18" s="27"/>
      <c r="CJ18" s="27"/>
      <c r="CK18" s="53"/>
      <c r="CL18" s="14"/>
      <c r="CM18" s="27"/>
      <c r="CN18" s="27"/>
      <c r="CO18" s="27"/>
      <c r="CP18" s="27"/>
      <c r="CQ18" s="27"/>
      <c r="CR18" s="53"/>
      <c r="CS18" s="14"/>
      <c r="CT18" s="27"/>
      <c r="CU18" s="27"/>
      <c r="CV18" s="27"/>
      <c r="CW18" s="27"/>
      <c r="CX18" s="27"/>
      <c r="CY18" s="53"/>
      <c r="CZ18" s="14"/>
      <c r="DA18" s="27"/>
      <c r="DB18" s="27"/>
      <c r="DC18" s="27"/>
      <c r="DD18" s="27"/>
      <c r="DE18" s="27"/>
      <c r="DF18" s="53"/>
      <c r="DG18" s="14"/>
      <c r="DH18" s="27"/>
      <c r="DI18" s="27"/>
      <c r="DJ18" s="27"/>
      <c r="DK18" s="27"/>
      <c r="DL18" s="27"/>
      <c r="DM18" s="53"/>
      <c r="DN18" s="14"/>
      <c r="DO18" s="27"/>
      <c r="DP18" s="27"/>
      <c r="DQ18" s="27"/>
      <c r="DR18" s="27"/>
      <c r="DS18" s="27"/>
      <c r="DT18" s="53"/>
      <c r="DU18" s="14"/>
      <c r="DV18" s="27"/>
      <c r="DW18" s="27"/>
      <c r="DX18" s="27"/>
      <c r="DY18" s="27"/>
      <c r="DZ18" s="27"/>
      <c r="EA18" s="53"/>
      <c r="EB18" s="14"/>
      <c r="EC18" s="27"/>
      <c r="ED18" s="27"/>
      <c r="EE18" s="27"/>
      <c r="EF18" s="27"/>
      <c r="EG18" s="27"/>
      <c r="EH18" s="53"/>
      <c r="EI18" s="14"/>
      <c r="EJ18" s="27"/>
      <c r="EK18" s="27"/>
      <c r="EL18" s="27"/>
      <c r="EM18" s="27"/>
      <c r="EN18" s="27"/>
      <c r="EO18" s="53"/>
      <c r="EP18" s="14"/>
      <c r="EQ18" s="27"/>
      <c r="ER18" s="27"/>
      <c r="ES18" s="27"/>
      <c r="ET18" s="27"/>
      <c r="EU18" s="27"/>
      <c r="EV18" s="53"/>
      <c r="EW18" s="14"/>
      <c r="EX18" s="27"/>
    </row>
    <row r="19" spans="1:154">
      <c r="B19" s="70"/>
      <c r="C19" s="43"/>
      <c r="D19" s="43"/>
      <c r="E19" s="43"/>
      <c r="F19" s="4"/>
      <c r="H19" s="82"/>
      <c r="J19" s="83"/>
      <c r="K19" s="84"/>
      <c r="L19" s="85"/>
      <c r="N19" s="11"/>
      <c r="O19" s="11"/>
      <c r="P19" s="11"/>
      <c r="Q19" s="11"/>
      <c r="R19" s="11"/>
      <c r="S19" s="11"/>
      <c r="T19" s="11"/>
      <c r="U19" s="11"/>
      <c r="V19" s="11"/>
      <c r="W19" s="51"/>
      <c r="X19" s="51"/>
      <c r="Y19" s="51"/>
      <c r="Z19" s="51"/>
      <c r="AA19" s="53"/>
      <c r="AB19" s="51"/>
      <c r="AC19" s="51"/>
      <c r="AD19" s="51"/>
      <c r="AE19" s="51"/>
      <c r="AF19" s="51"/>
      <c r="AG19" s="51"/>
      <c r="AH19" s="53"/>
      <c r="AI19" s="51"/>
      <c r="AJ19" s="51"/>
      <c r="AK19" s="51"/>
      <c r="AL19" s="51"/>
      <c r="AM19" s="51"/>
      <c r="AN19" s="51"/>
      <c r="AO19" s="53"/>
      <c r="AP19" s="51"/>
      <c r="AQ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27"/>
      <c r="CA19" s="27"/>
      <c r="CB19" s="27"/>
      <c r="CC19" s="27"/>
      <c r="CD19" s="53"/>
      <c r="CE19" s="14"/>
      <c r="CF19" s="27"/>
      <c r="CG19" s="27"/>
      <c r="CH19" s="27"/>
      <c r="CI19" s="27"/>
      <c r="CJ19" s="27"/>
      <c r="CK19" s="53"/>
      <c r="CL19" s="14"/>
      <c r="CM19" s="27"/>
      <c r="CN19" s="27"/>
      <c r="CO19" s="27"/>
      <c r="CP19" s="27"/>
      <c r="CQ19" s="27"/>
      <c r="CR19" s="53"/>
      <c r="CS19" s="14"/>
      <c r="CT19" s="27"/>
      <c r="CU19" s="27"/>
      <c r="CV19" s="27"/>
      <c r="CW19" s="27"/>
      <c r="CX19" s="27"/>
      <c r="CY19" s="53"/>
      <c r="CZ19" s="14"/>
      <c r="DA19" s="27"/>
      <c r="DB19" s="27"/>
      <c r="DC19" s="27"/>
      <c r="DD19" s="27"/>
      <c r="DE19" s="27"/>
      <c r="DF19" s="53"/>
      <c r="DG19" s="14"/>
      <c r="DH19" s="27"/>
      <c r="DI19" s="27"/>
      <c r="DJ19" s="27"/>
      <c r="DK19" s="27"/>
      <c r="DL19" s="27"/>
      <c r="DM19" s="53"/>
      <c r="DN19" s="14"/>
      <c r="DO19" s="27"/>
      <c r="DP19" s="27"/>
      <c r="DQ19" s="27"/>
      <c r="DR19" s="27"/>
      <c r="DS19" s="27"/>
      <c r="DT19" s="53"/>
      <c r="DU19" s="14"/>
      <c r="DV19" s="27"/>
      <c r="DW19" s="27"/>
      <c r="DX19" s="27"/>
      <c r="DY19" s="27"/>
      <c r="DZ19" s="27"/>
      <c r="EA19" s="53"/>
      <c r="EB19" s="14"/>
      <c r="EC19" s="27"/>
      <c r="ED19" s="27"/>
      <c r="EE19" s="27"/>
      <c r="EF19" s="27"/>
      <c r="EG19" s="27"/>
      <c r="EH19" s="53"/>
      <c r="EI19" s="14"/>
      <c r="EJ19" s="27"/>
      <c r="EK19" s="27"/>
      <c r="EL19" s="27"/>
      <c r="EM19" s="27"/>
      <c r="EN19" s="27"/>
      <c r="EO19" s="53"/>
      <c r="EP19" s="14"/>
      <c r="EQ19" s="27"/>
      <c r="ER19" s="27"/>
      <c r="ES19" s="27"/>
      <c r="ET19" s="27"/>
      <c r="EU19" s="27"/>
      <c r="EV19" s="53"/>
      <c r="EW19" s="14"/>
      <c r="EX19" s="27"/>
    </row>
    <row r="20" spans="1:154">
      <c r="B20" s="88" t="s">
        <v>45</v>
      </c>
      <c r="C20" s="43"/>
      <c r="D20" s="43"/>
      <c r="E20" s="43"/>
      <c r="F20" s="4"/>
      <c r="H20" s="82"/>
      <c r="J20" s="83"/>
      <c r="K20" s="84"/>
      <c r="L20" s="85"/>
      <c r="N20" s="11"/>
      <c r="O20" s="11"/>
      <c r="P20" s="11"/>
      <c r="Q20" s="11"/>
      <c r="R20" s="11"/>
      <c r="S20" s="11"/>
      <c r="T20" s="11"/>
      <c r="U20" s="11"/>
      <c r="V20" s="11"/>
      <c r="W20" s="51"/>
      <c r="X20" s="51"/>
      <c r="Y20" s="51"/>
      <c r="Z20" s="51"/>
      <c r="AA20" s="53"/>
      <c r="AB20" s="51"/>
      <c r="AC20" s="51"/>
      <c r="AD20" s="51"/>
      <c r="AE20" s="51"/>
      <c r="AF20" s="51"/>
      <c r="AG20" s="51"/>
      <c r="AH20" s="53"/>
      <c r="AI20" s="51"/>
      <c r="AJ20" s="51"/>
      <c r="AK20" s="51"/>
      <c r="AL20" s="51"/>
      <c r="AM20" s="51"/>
      <c r="AN20" s="51"/>
      <c r="AO20" s="53"/>
      <c r="AP20" s="51"/>
      <c r="AQ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27"/>
      <c r="CA20" s="27"/>
      <c r="CB20" s="27"/>
      <c r="CC20" s="27"/>
      <c r="CD20" s="53"/>
      <c r="CE20" s="14"/>
      <c r="CF20" s="27"/>
      <c r="CG20" s="27"/>
      <c r="CH20" s="27"/>
      <c r="CI20" s="27"/>
      <c r="CJ20" s="27"/>
      <c r="CK20" s="53"/>
      <c r="CL20" s="14"/>
      <c r="CM20" s="27"/>
      <c r="CN20" s="27"/>
      <c r="CO20" s="27"/>
      <c r="CP20" s="27"/>
      <c r="CQ20" s="27"/>
      <c r="CR20" s="53"/>
      <c r="CS20" s="14"/>
      <c r="CT20" s="27"/>
      <c r="CU20" s="27"/>
      <c r="CV20" s="27"/>
      <c r="CW20" s="27"/>
      <c r="CX20" s="27"/>
      <c r="CY20" s="53"/>
      <c r="CZ20" s="14"/>
      <c r="DA20" s="27"/>
      <c r="DB20" s="27"/>
      <c r="DC20" s="27"/>
      <c r="DD20" s="27"/>
      <c r="DE20" s="27"/>
      <c r="DF20" s="53"/>
      <c r="DG20" s="14"/>
      <c r="DH20" s="27"/>
      <c r="DI20" s="27"/>
      <c r="DJ20" s="27"/>
      <c r="DK20" s="27"/>
      <c r="DL20" s="27"/>
      <c r="DM20" s="53"/>
      <c r="DN20" s="14"/>
      <c r="DO20" s="27"/>
      <c r="DP20" s="27"/>
      <c r="DQ20" s="27"/>
      <c r="DR20" s="27"/>
      <c r="DS20" s="27"/>
      <c r="DT20" s="53"/>
      <c r="DU20" s="14"/>
      <c r="DV20" s="27"/>
      <c r="DW20" s="27"/>
      <c r="DX20" s="27"/>
      <c r="DY20" s="27"/>
      <c r="DZ20" s="27"/>
      <c r="EA20" s="53"/>
      <c r="EB20" s="14"/>
      <c r="EC20" s="27"/>
      <c r="ED20" s="27"/>
      <c r="EE20" s="27"/>
      <c r="EF20" s="27"/>
      <c r="EG20" s="27"/>
      <c r="EH20" s="53"/>
      <c r="EI20" s="14"/>
      <c r="EJ20" s="27"/>
      <c r="EK20" s="27"/>
      <c r="EL20" s="27"/>
      <c r="EM20" s="27"/>
      <c r="EN20" s="27"/>
      <c r="EO20" s="53"/>
      <c r="EP20" s="14"/>
      <c r="EQ20" s="27"/>
      <c r="ER20" s="27"/>
      <c r="ES20" s="27"/>
      <c r="ET20" s="27"/>
      <c r="EU20" s="27"/>
      <c r="EV20" s="53"/>
      <c r="EW20" s="14"/>
      <c r="EX20" s="27"/>
    </row>
    <row r="21" spans="1:154" s="12" customFormat="1">
      <c r="A21" s="15"/>
      <c r="B21" s="90" t="s">
        <v>68</v>
      </c>
      <c r="C21" s="43"/>
      <c r="D21" s="43"/>
      <c r="E21" s="43"/>
      <c r="F21" s="4"/>
      <c r="G21" s="7"/>
      <c r="H21" s="82"/>
      <c r="I21" s="7"/>
      <c r="J21" s="46"/>
      <c r="K21" s="47"/>
      <c r="L21" s="48"/>
      <c r="M21" s="86"/>
      <c r="N21" s="11"/>
      <c r="O21" s="11"/>
      <c r="P21" s="11"/>
      <c r="Q21" s="11"/>
      <c r="R21" s="11"/>
      <c r="S21" s="11"/>
      <c r="T21" s="11"/>
      <c r="U21" s="11"/>
      <c r="V21" s="89"/>
      <c r="W21" s="51"/>
      <c r="X21" s="51"/>
      <c r="Y21" s="51"/>
      <c r="Z21" s="51"/>
      <c r="AA21" s="53"/>
      <c r="AB21" s="51"/>
      <c r="AC21" s="51"/>
      <c r="AD21" s="51"/>
      <c r="AE21" s="51"/>
      <c r="AF21" s="51"/>
      <c r="AG21" s="51"/>
      <c r="AH21" s="53"/>
      <c r="AI21" s="51"/>
      <c r="AJ21" s="51"/>
      <c r="AK21" s="51"/>
      <c r="AL21" s="51"/>
      <c r="AM21" s="51"/>
      <c r="AN21" s="51"/>
      <c r="AO21" s="53"/>
      <c r="AP21" s="51"/>
      <c r="AQ21" s="51"/>
      <c r="AR21" s="27"/>
      <c r="AS21" s="27"/>
      <c r="AT21" s="27"/>
      <c r="AU21" s="27"/>
      <c r="AV21" s="27"/>
      <c r="AW21" s="27"/>
      <c r="AX21" s="51"/>
      <c r="AY21" s="51"/>
      <c r="AZ21" s="59"/>
      <c r="BA21" s="59"/>
      <c r="BB21" s="59"/>
      <c r="BC21" s="59"/>
      <c r="BD21" s="51"/>
      <c r="BE21" s="51"/>
      <c r="BF21" s="51"/>
      <c r="BG21" s="59"/>
      <c r="BH21" s="59"/>
      <c r="BI21" s="59"/>
      <c r="BJ21" s="59"/>
      <c r="BK21" s="51"/>
      <c r="BL21" s="51"/>
      <c r="BM21" s="51"/>
      <c r="BN21" s="59"/>
      <c r="BO21" s="59"/>
      <c r="BP21" s="59"/>
      <c r="BQ21" s="59"/>
      <c r="BR21" s="51"/>
      <c r="BS21" s="51"/>
      <c r="BT21" s="51"/>
      <c r="BU21" s="59"/>
      <c r="BV21" s="59"/>
      <c r="BW21" s="59"/>
      <c r="BX21" s="59"/>
      <c r="BY21" s="51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</row>
    <row r="22" spans="1:154" s="12" customFormat="1">
      <c r="A22" s="15"/>
      <c r="B22" s="176" t="s">
        <v>123</v>
      </c>
      <c r="C22" s="101"/>
      <c r="D22" s="101"/>
      <c r="E22" s="101"/>
      <c r="F22" s="4"/>
      <c r="G22" s="7"/>
      <c r="H22" s="82"/>
      <c r="I22" s="7"/>
      <c r="J22" s="46"/>
      <c r="K22" s="47"/>
      <c r="L22" s="48"/>
      <c r="M22" s="86"/>
      <c r="N22" s="11"/>
      <c r="O22" s="11"/>
      <c r="P22" s="11"/>
      <c r="Q22" s="11"/>
      <c r="R22" s="11"/>
      <c r="S22" s="11"/>
      <c r="T22" s="11"/>
      <c r="U22" s="11"/>
      <c r="V22" s="89"/>
      <c r="W22" s="51"/>
      <c r="X22" s="51"/>
      <c r="Y22" s="51"/>
      <c r="Z22" s="51"/>
      <c r="AA22" s="53"/>
      <c r="AB22" s="51"/>
      <c r="AC22" s="51"/>
      <c r="AD22" s="51"/>
      <c r="AE22" s="51"/>
      <c r="AF22" s="51"/>
      <c r="AG22" s="51"/>
      <c r="AH22" s="53"/>
      <c r="AI22" s="51"/>
      <c r="AJ22" s="51"/>
      <c r="AK22" s="51"/>
      <c r="AL22" s="51"/>
      <c r="AM22" s="51"/>
      <c r="AN22" s="51"/>
      <c r="AO22" s="53"/>
      <c r="AP22" s="51"/>
      <c r="AQ22" s="51"/>
      <c r="AR22" s="27"/>
      <c r="AS22" s="27"/>
      <c r="AT22" s="27"/>
      <c r="AU22" s="27"/>
      <c r="AV22" s="27"/>
      <c r="AW22" s="27"/>
      <c r="AX22" s="51"/>
      <c r="AY22" s="51"/>
      <c r="AZ22" s="59"/>
      <c r="BA22" s="59"/>
      <c r="BB22" s="59"/>
      <c r="BC22" s="59"/>
      <c r="BD22" s="51"/>
      <c r="BE22" s="51"/>
      <c r="BF22" s="51"/>
      <c r="BG22" s="59"/>
      <c r="BH22" s="59"/>
      <c r="BI22" s="59"/>
      <c r="BJ22" s="59"/>
      <c r="BK22" s="51"/>
      <c r="BL22" s="51"/>
      <c r="BM22" s="51"/>
      <c r="BN22" s="59"/>
      <c r="BO22" s="59"/>
      <c r="BP22" s="59"/>
      <c r="BQ22" s="59"/>
      <c r="BR22" s="51"/>
      <c r="BS22" s="51"/>
      <c r="BT22" s="51"/>
      <c r="BU22" s="59"/>
      <c r="BV22" s="59"/>
      <c r="BW22" s="59"/>
      <c r="BX22" s="59"/>
      <c r="BY22" s="51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</row>
    <row r="23" spans="1:154" s="12" customFormat="1">
      <c r="A23" s="15"/>
      <c r="B23" s="175" t="s">
        <v>124</v>
      </c>
      <c r="C23" s="102"/>
      <c r="D23" s="102"/>
      <c r="E23" s="102"/>
      <c r="F23" s="103"/>
      <c r="G23" s="43"/>
      <c r="H23" s="82"/>
      <c r="I23" s="7"/>
      <c r="J23" s="46"/>
      <c r="K23" s="47"/>
      <c r="L23" s="48"/>
      <c r="M23" s="86"/>
      <c r="N23" s="11"/>
      <c r="O23" s="11"/>
      <c r="P23" s="11"/>
      <c r="Q23" s="11"/>
      <c r="R23" s="11"/>
      <c r="S23" s="11"/>
      <c r="T23" s="11"/>
      <c r="U23" s="11"/>
      <c r="V23" s="89"/>
      <c r="W23" s="51"/>
      <c r="X23" s="51"/>
      <c r="Y23" s="51"/>
      <c r="Z23" s="51"/>
      <c r="AA23" s="14"/>
      <c r="AB23" s="27"/>
      <c r="AC23" s="27"/>
      <c r="AD23" s="51"/>
      <c r="AE23" s="51"/>
      <c r="AF23" s="51"/>
      <c r="AG23" s="51"/>
      <c r="AH23" s="14"/>
      <c r="AI23" s="27"/>
      <c r="AJ23" s="27"/>
      <c r="AK23" s="51"/>
      <c r="AL23" s="51"/>
      <c r="AM23" s="51"/>
      <c r="AN23" s="51"/>
      <c r="AO23" s="14"/>
      <c r="AP23" s="51"/>
      <c r="AQ23" s="51"/>
      <c r="AR23" s="27"/>
      <c r="AS23" s="27"/>
      <c r="AT23" s="27"/>
      <c r="AU23" s="27"/>
      <c r="AV23" s="27"/>
      <c r="AW23" s="27"/>
      <c r="AX23" s="51"/>
      <c r="AY23" s="51"/>
      <c r="AZ23" s="59"/>
      <c r="BA23" s="59"/>
      <c r="BB23" s="59"/>
      <c r="BC23" s="59"/>
      <c r="BD23" s="51"/>
      <c r="BE23" s="51"/>
      <c r="BF23" s="51"/>
      <c r="BG23" s="59"/>
      <c r="BH23" s="59"/>
      <c r="BI23" s="59"/>
      <c r="BJ23" s="59"/>
      <c r="BK23" s="51"/>
      <c r="BL23" s="51"/>
      <c r="BM23" s="51"/>
      <c r="BN23" s="59"/>
      <c r="BO23" s="59"/>
      <c r="BP23" s="59"/>
      <c r="BQ23" s="59"/>
      <c r="BR23" s="51"/>
      <c r="BS23" s="51"/>
      <c r="BT23" s="51"/>
      <c r="BU23" s="59"/>
      <c r="BV23" s="59"/>
      <c r="BW23" s="59"/>
      <c r="BX23" s="59"/>
      <c r="BY23" s="51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</row>
    <row r="24" spans="1:154" s="12" customFormat="1">
      <c r="A24" s="15"/>
      <c r="B24" s="177" t="s">
        <v>128</v>
      </c>
      <c r="C24" s="104"/>
      <c r="D24" s="104"/>
      <c r="E24" s="104"/>
      <c r="F24" s="4"/>
      <c r="G24" s="7"/>
      <c r="H24" s="82"/>
      <c r="I24" s="7"/>
      <c r="J24" s="46"/>
      <c r="K24" s="47"/>
      <c r="L24" s="48"/>
      <c r="M24" s="86"/>
      <c r="N24" s="11"/>
      <c r="O24" s="11"/>
      <c r="P24" s="11"/>
      <c r="Q24" s="11"/>
      <c r="R24" s="11"/>
      <c r="S24" s="11"/>
      <c r="T24" s="11"/>
      <c r="U24" s="11"/>
      <c r="V24" s="89"/>
      <c r="W24" s="51"/>
      <c r="X24" s="51"/>
      <c r="Y24" s="51"/>
      <c r="Z24" s="51"/>
      <c r="AA24" s="14"/>
      <c r="AB24" s="27"/>
      <c r="AC24" s="27"/>
      <c r="AD24" s="51"/>
      <c r="AE24" s="51"/>
      <c r="AF24" s="51"/>
      <c r="AG24" s="51"/>
      <c r="AH24" s="14"/>
      <c r="AI24" s="27"/>
      <c r="AJ24" s="27"/>
      <c r="AK24" s="51"/>
      <c r="AL24" s="51"/>
      <c r="AM24" s="51"/>
      <c r="AN24" s="51"/>
      <c r="AO24" s="14"/>
      <c r="AP24" s="51"/>
      <c r="AQ24" s="51"/>
      <c r="AR24" s="27"/>
      <c r="AS24" s="27"/>
      <c r="AT24" s="27"/>
      <c r="AU24" s="27"/>
      <c r="AV24" s="27"/>
      <c r="AW24" s="27"/>
      <c r="AX24" s="51"/>
      <c r="AY24" s="51"/>
      <c r="AZ24" s="59"/>
      <c r="BA24" s="59"/>
      <c r="BB24" s="59"/>
      <c r="BC24" s="59"/>
      <c r="BD24" s="51"/>
      <c r="BE24" s="51"/>
      <c r="BF24" s="51"/>
      <c r="BG24" s="59"/>
      <c r="BH24" s="59"/>
      <c r="BI24" s="59"/>
      <c r="BJ24" s="59"/>
      <c r="BK24" s="51"/>
      <c r="BL24" s="51"/>
      <c r="BM24" s="51"/>
      <c r="BN24" s="59"/>
      <c r="BO24" s="59"/>
      <c r="BP24" s="59"/>
      <c r="BQ24" s="59"/>
      <c r="BR24" s="51"/>
      <c r="BS24" s="51"/>
      <c r="BT24" s="51"/>
      <c r="BU24" s="59"/>
      <c r="BV24" s="59"/>
      <c r="BW24" s="59"/>
      <c r="BX24" s="59"/>
      <c r="BY24" s="51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</row>
    <row r="25" spans="1:154">
      <c r="B25" s="87" t="s">
        <v>139</v>
      </c>
      <c r="C25" s="43"/>
      <c r="D25" s="43"/>
      <c r="E25" s="43"/>
      <c r="F25" s="4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</row>
    <row r="26" spans="1:154">
      <c r="B26" s="87" t="s">
        <v>120</v>
      </c>
      <c r="C26" s="43"/>
      <c r="D26" s="43"/>
      <c r="E26" s="43"/>
      <c r="F26" s="4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</row>
    <row r="27" spans="1:154">
      <c r="B27" s="87" t="s">
        <v>152</v>
      </c>
      <c r="C27" s="43"/>
      <c r="D27" s="43"/>
      <c r="E27" s="43"/>
      <c r="F27" s="4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</row>
    <row r="28" spans="1:154" ht="13.5" thickBot="1">
      <c r="B28" s="70"/>
      <c r="C28" s="43"/>
      <c r="D28" s="43"/>
      <c r="E28" s="43"/>
      <c r="F28" s="4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</row>
    <row r="29" spans="1:154">
      <c r="B29" s="93" t="s">
        <v>31</v>
      </c>
      <c r="C29" s="94">
        <v>2004</v>
      </c>
      <c r="D29" s="43"/>
      <c r="E29" s="43"/>
      <c r="F29" s="4"/>
      <c r="AX29" s="51"/>
      <c r="AY29" s="51"/>
      <c r="AZ29" s="51"/>
      <c r="BA29" s="51"/>
      <c r="BB29" s="51"/>
      <c r="BC29" s="51"/>
      <c r="BD29" s="51"/>
      <c r="BE29" s="51"/>
      <c r="BF29" s="51"/>
      <c r="BG29" s="64" t="s">
        <v>107</v>
      </c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</row>
    <row r="30" spans="1:154">
      <c r="B30" s="95" t="s">
        <v>32</v>
      </c>
      <c r="C30" s="96">
        <v>2003</v>
      </c>
      <c r="D30" s="43"/>
      <c r="E30" s="43"/>
      <c r="F30" s="4"/>
      <c r="AX30" s="51"/>
      <c r="AY30" s="51"/>
      <c r="AZ30" s="51"/>
      <c r="BA30" s="51"/>
      <c r="BB30" s="51"/>
      <c r="BC30" s="51"/>
      <c r="BD30" s="51"/>
      <c r="BE30" s="51"/>
      <c r="BF30" s="51"/>
      <c r="BG30" s="77" t="s">
        <v>46</v>
      </c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</row>
    <row r="31" spans="1:154">
      <c r="B31" s="95" t="s">
        <v>33</v>
      </c>
      <c r="C31" s="96">
        <v>2002</v>
      </c>
      <c r="D31" s="43"/>
      <c r="E31" s="43"/>
      <c r="F31" s="4"/>
      <c r="AX31" s="51"/>
      <c r="AY31" s="51"/>
      <c r="AZ31" s="51"/>
      <c r="BA31" s="51"/>
      <c r="BB31" s="51"/>
      <c r="BC31" s="51"/>
      <c r="BD31" s="51"/>
      <c r="BE31" s="51"/>
      <c r="BF31" s="51"/>
      <c r="BG31" s="97" t="s">
        <v>47</v>
      </c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</row>
    <row r="32" spans="1:154">
      <c r="B32" s="95" t="s">
        <v>34</v>
      </c>
      <c r="C32" s="96">
        <v>2001</v>
      </c>
      <c r="D32" s="43"/>
      <c r="E32" s="43"/>
      <c r="F32" s="4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</row>
    <row r="33" spans="2:77">
      <c r="B33" s="95" t="s">
        <v>35</v>
      </c>
      <c r="C33" s="96">
        <v>2000</v>
      </c>
      <c r="D33" s="43"/>
      <c r="E33" s="43"/>
      <c r="F33" s="4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</row>
    <row r="34" spans="2:77" ht="13.5" thickBot="1">
      <c r="B34" s="98" t="s">
        <v>64</v>
      </c>
      <c r="C34" s="99">
        <v>1999</v>
      </c>
      <c r="D34" s="43"/>
      <c r="E34" s="43"/>
      <c r="F34" s="4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</row>
  </sheetData>
  <sortState ref="A7:EX17">
    <sortCondition descending="1" ref="I7:I17"/>
    <sortCondition descending="1" ref="K7:K17"/>
    <sortCondition descending="1" ref="H7:H17"/>
  </sortState>
  <mergeCells count="57">
    <mergeCell ref="ER3:EX3"/>
    <mergeCell ref="CG3:CM3"/>
    <mergeCell ref="CN3:CT3"/>
    <mergeCell ref="CU3:DA3"/>
    <mergeCell ref="DB3:DH3"/>
    <mergeCell ref="DI3:DO3"/>
    <mergeCell ref="DP3:DV3"/>
    <mergeCell ref="AU1:AW1"/>
    <mergeCell ref="AU2:AW2"/>
    <mergeCell ref="DW3:EC3"/>
    <mergeCell ref="ED3:EJ3"/>
    <mergeCell ref="EK3:EQ3"/>
    <mergeCell ref="CG2:CM2"/>
    <mergeCell ref="BE2:BK2"/>
    <mergeCell ref="BE1:BK1"/>
    <mergeCell ref="BL2:BR2"/>
    <mergeCell ref="BL1:BR1"/>
    <mergeCell ref="BS1:BY1"/>
    <mergeCell ref="BS2:BY2"/>
    <mergeCell ref="BZ3:CF3"/>
    <mergeCell ref="ED1:EJ1"/>
    <mergeCell ref="EK1:EQ1"/>
    <mergeCell ref="CN2:CT2"/>
    <mergeCell ref="CU2:DA2"/>
    <mergeCell ref="DB2:DH2"/>
    <mergeCell ref="DI2:DO2"/>
    <mergeCell ref="DB1:DH1"/>
    <mergeCell ref="DI1:DO1"/>
    <mergeCell ref="DP1:DV1"/>
    <mergeCell ref="DW1:EC1"/>
    <mergeCell ref="CN1:CT1"/>
    <mergeCell ref="CU1:DA1"/>
    <mergeCell ref="BZ1:CF1"/>
    <mergeCell ref="CG1:CM1"/>
    <mergeCell ref="BZ2:CF2"/>
    <mergeCell ref="ER1:EX1"/>
    <mergeCell ref="DP2:DV2"/>
    <mergeCell ref="DW2:EC2"/>
    <mergeCell ref="ED2:EJ2"/>
    <mergeCell ref="EK2:EQ2"/>
    <mergeCell ref="ER2:EX2"/>
    <mergeCell ref="N1:U1"/>
    <mergeCell ref="N2:U2"/>
    <mergeCell ref="BS3:BY3"/>
    <mergeCell ref="BL3:BR3"/>
    <mergeCell ref="BE3:BK3"/>
    <mergeCell ref="AR1:AT1"/>
    <mergeCell ref="AR2:AT2"/>
    <mergeCell ref="W1:AC1"/>
    <mergeCell ref="W2:AC2"/>
    <mergeCell ref="AD1:AJ1"/>
    <mergeCell ref="AD2:AJ2"/>
    <mergeCell ref="AX3:BD3"/>
    <mergeCell ref="AX2:BD2"/>
    <mergeCell ref="AX1:BD1"/>
    <mergeCell ref="AK1:AQ1"/>
    <mergeCell ref="AK2:AQ2"/>
  </mergeCells>
  <phoneticPr fontId="0" type="noConversion"/>
  <pageMargins left="0.59055118110236227" right="0.59055118110236227" top="0.78740157480314965" bottom="0.78740157480314965" header="0.51181102362204722" footer="0.51181102362204722"/>
  <pageSetup scale="43" orientation="landscape" horizontalDpi="4294967293" verticalDpi="4294967293" r:id="rId1"/>
  <headerFooter alignWithMargins="0">
    <oddHeader>&amp;F</oddHeader>
  </headerFooter>
  <colBreaks count="2" manualBreakCount="2">
    <brk id="29" max="29" man="1"/>
    <brk id="56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EY30"/>
  <sheetViews>
    <sheetView view="pageBreakPreview" zoomScale="80" zoomScaleNormal="80" zoomScaleSheet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7109375" style="87" customWidth="1"/>
    <col min="3" max="3" width="7.7109375" style="7" customWidth="1"/>
    <col min="4" max="4" width="35.7109375" style="7" customWidth="1"/>
    <col min="5" max="5" width="7.7109375" style="7" customWidth="1"/>
    <col min="6" max="6" width="8.7109375" style="100" customWidth="1"/>
    <col min="7" max="7" width="8.7109375" style="7" customWidth="1"/>
    <col min="8" max="8" width="8.7109375" style="27" customWidth="1"/>
    <col min="9" max="9" width="10.28515625" style="7" bestFit="1" customWidth="1"/>
    <col min="10" max="10" width="8.7109375" style="7" customWidth="1"/>
    <col min="11" max="11" width="8.7109375" style="23" customWidth="1"/>
    <col min="12" max="12" width="8.7109375" style="24" customWidth="1"/>
    <col min="13" max="13" width="8.7109375" style="139" customWidth="1"/>
    <col min="14" max="56" width="8.7109375" style="27" customWidth="1"/>
    <col min="57" max="63" width="9.140625" style="33"/>
    <col min="64" max="70" width="9.140625" style="141"/>
    <col min="71" max="77" width="8.7109375" style="27" customWidth="1"/>
    <col min="78" max="84" width="9.140625" style="141"/>
    <col min="85" max="154" width="9.140625" style="33"/>
    <col min="155" max="16384" width="9.140625" style="87"/>
  </cols>
  <sheetData>
    <row r="1" spans="1:155" s="12" customFormat="1">
      <c r="A1" s="1"/>
      <c r="B1" s="2" t="s">
        <v>63</v>
      </c>
      <c r="C1" s="2"/>
      <c r="D1" s="2"/>
      <c r="E1" s="2"/>
      <c r="F1" s="4"/>
      <c r="G1" s="15"/>
      <c r="H1" s="5"/>
      <c r="I1" s="6"/>
      <c r="J1" s="7"/>
      <c r="K1" s="123"/>
      <c r="L1" s="124"/>
      <c r="M1" s="125"/>
      <c r="N1" s="244" t="s">
        <v>12</v>
      </c>
      <c r="O1" s="245"/>
      <c r="P1" s="245"/>
      <c r="Q1" s="245"/>
      <c r="R1" s="245"/>
      <c r="S1" s="245"/>
      <c r="T1" s="245"/>
      <c r="U1" s="246"/>
      <c r="V1" s="109" t="s">
        <v>133</v>
      </c>
      <c r="W1" s="244" t="s">
        <v>77</v>
      </c>
      <c r="X1" s="245"/>
      <c r="Y1" s="245"/>
      <c r="Z1" s="245"/>
      <c r="AA1" s="245"/>
      <c r="AB1" s="245"/>
      <c r="AC1" s="246"/>
      <c r="AD1" s="244" t="s">
        <v>88</v>
      </c>
      <c r="AE1" s="245"/>
      <c r="AF1" s="245"/>
      <c r="AG1" s="245"/>
      <c r="AH1" s="245"/>
      <c r="AI1" s="245"/>
      <c r="AJ1" s="246"/>
      <c r="AK1" s="244" t="s">
        <v>109</v>
      </c>
      <c r="AL1" s="245"/>
      <c r="AM1" s="245"/>
      <c r="AN1" s="245"/>
      <c r="AO1" s="245"/>
      <c r="AP1" s="245"/>
      <c r="AQ1" s="246"/>
      <c r="AR1" s="244" t="s">
        <v>16</v>
      </c>
      <c r="AS1" s="245"/>
      <c r="AT1" s="245"/>
      <c r="AU1" s="244" t="s">
        <v>10</v>
      </c>
      <c r="AV1" s="245"/>
      <c r="AW1" s="245"/>
      <c r="AX1" s="244" t="s">
        <v>103</v>
      </c>
      <c r="AY1" s="245"/>
      <c r="AZ1" s="245"/>
      <c r="BA1" s="245"/>
      <c r="BB1" s="245"/>
      <c r="BC1" s="245"/>
      <c r="BD1" s="246"/>
      <c r="BE1" s="244" t="s">
        <v>106</v>
      </c>
      <c r="BF1" s="245"/>
      <c r="BG1" s="245"/>
      <c r="BH1" s="245"/>
      <c r="BI1" s="245"/>
      <c r="BJ1" s="245"/>
      <c r="BK1" s="246"/>
      <c r="BL1" s="244"/>
      <c r="BM1" s="245"/>
      <c r="BN1" s="245"/>
      <c r="BO1" s="245"/>
      <c r="BP1" s="245"/>
      <c r="BQ1" s="245"/>
      <c r="BR1" s="246"/>
      <c r="BS1" s="244"/>
      <c r="BT1" s="245"/>
      <c r="BU1" s="245"/>
      <c r="BV1" s="245"/>
      <c r="BW1" s="245"/>
      <c r="BX1" s="245"/>
      <c r="BY1" s="246"/>
      <c r="BZ1" s="244"/>
      <c r="CA1" s="245"/>
      <c r="CB1" s="245"/>
      <c r="CC1" s="245"/>
      <c r="CD1" s="245"/>
      <c r="CE1" s="245"/>
      <c r="CF1" s="246"/>
      <c r="CG1" s="244"/>
      <c r="CH1" s="245"/>
      <c r="CI1" s="245"/>
      <c r="CJ1" s="245"/>
      <c r="CK1" s="245"/>
      <c r="CL1" s="245"/>
      <c r="CM1" s="246"/>
      <c r="CN1" s="244"/>
      <c r="CO1" s="245"/>
      <c r="CP1" s="245"/>
      <c r="CQ1" s="245"/>
      <c r="CR1" s="245"/>
      <c r="CS1" s="245"/>
      <c r="CT1" s="246"/>
      <c r="CU1" s="244"/>
      <c r="CV1" s="245"/>
      <c r="CW1" s="245"/>
      <c r="CX1" s="245"/>
      <c r="CY1" s="245"/>
      <c r="CZ1" s="245"/>
      <c r="DA1" s="246"/>
      <c r="DB1" s="244"/>
      <c r="DC1" s="245"/>
      <c r="DD1" s="245"/>
      <c r="DE1" s="245"/>
      <c r="DF1" s="245"/>
      <c r="DG1" s="245"/>
      <c r="DH1" s="246"/>
      <c r="DI1" s="244"/>
      <c r="DJ1" s="245"/>
      <c r="DK1" s="245"/>
      <c r="DL1" s="245"/>
      <c r="DM1" s="245"/>
      <c r="DN1" s="245"/>
      <c r="DO1" s="246"/>
      <c r="DP1" s="244"/>
      <c r="DQ1" s="245"/>
      <c r="DR1" s="245"/>
      <c r="DS1" s="245"/>
      <c r="DT1" s="245"/>
      <c r="DU1" s="245"/>
      <c r="DV1" s="246"/>
      <c r="DW1" s="244"/>
      <c r="DX1" s="245"/>
      <c r="DY1" s="245"/>
      <c r="DZ1" s="245"/>
      <c r="EA1" s="245"/>
      <c r="EB1" s="245"/>
      <c r="EC1" s="246"/>
      <c r="ED1" s="244"/>
      <c r="EE1" s="245"/>
      <c r="EF1" s="245"/>
      <c r="EG1" s="245"/>
      <c r="EH1" s="245"/>
      <c r="EI1" s="245"/>
      <c r="EJ1" s="246"/>
      <c r="EK1" s="244"/>
      <c r="EL1" s="245"/>
      <c r="EM1" s="245"/>
      <c r="EN1" s="245"/>
      <c r="EO1" s="245"/>
      <c r="EP1" s="245"/>
      <c r="EQ1" s="246"/>
      <c r="ER1" s="244"/>
      <c r="ES1" s="245"/>
      <c r="ET1" s="245"/>
      <c r="EU1" s="245"/>
      <c r="EV1" s="245"/>
      <c r="EW1" s="245"/>
      <c r="EX1" s="246"/>
    </row>
    <row r="2" spans="1:155" s="12" customFormat="1">
      <c r="A2" s="15"/>
      <c r="B2" s="6" t="s">
        <v>20</v>
      </c>
      <c r="C2" s="6"/>
      <c r="D2" s="6"/>
      <c r="E2" s="6"/>
      <c r="F2" s="4"/>
      <c r="G2" s="7"/>
      <c r="H2" s="5"/>
      <c r="I2" s="6"/>
      <c r="J2" s="6"/>
      <c r="K2" s="14">
        <v>232.9</v>
      </c>
      <c r="L2" s="14">
        <v>241.9</v>
      </c>
      <c r="M2" s="14">
        <v>250.7</v>
      </c>
      <c r="N2" s="244" t="s">
        <v>11</v>
      </c>
      <c r="O2" s="245"/>
      <c r="P2" s="245"/>
      <c r="Q2" s="245"/>
      <c r="R2" s="245"/>
      <c r="S2" s="245"/>
      <c r="T2" s="245"/>
      <c r="U2" s="246"/>
      <c r="V2" s="109" t="s">
        <v>11</v>
      </c>
      <c r="W2" s="244" t="s">
        <v>78</v>
      </c>
      <c r="X2" s="245"/>
      <c r="Y2" s="245"/>
      <c r="Z2" s="245"/>
      <c r="AA2" s="245"/>
      <c r="AB2" s="245"/>
      <c r="AC2" s="246"/>
      <c r="AD2" s="244" t="s">
        <v>89</v>
      </c>
      <c r="AE2" s="245"/>
      <c r="AF2" s="245"/>
      <c r="AG2" s="245"/>
      <c r="AH2" s="245"/>
      <c r="AI2" s="245"/>
      <c r="AJ2" s="246"/>
      <c r="AK2" s="244" t="s">
        <v>110</v>
      </c>
      <c r="AL2" s="245"/>
      <c r="AM2" s="245"/>
      <c r="AN2" s="245"/>
      <c r="AO2" s="245"/>
      <c r="AP2" s="245"/>
      <c r="AQ2" s="246"/>
      <c r="AR2" s="244" t="s">
        <v>17</v>
      </c>
      <c r="AS2" s="245"/>
      <c r="AT2" s="246"/>
      <c r="AU2" s="244" t="s">
        <v>11</v>
      </c>
      <c r="AV2" s="245"/>
      <c r="AW2" s="246"/>
      <c r="AX2" s="244" t="s">
        <v>104</v>
      </c>
      <c r="AY2" s="245"/>
      <c r="AZ2" s="245"/>
      <c r="BA2" s="245"/>
      <c r="BB2" s="245"/>
      <c r="BC2" s="245"/>
      <c r="BD2" s="246"/>
      <c r="BE2" s="244" t="s">
        <v>108</v>
      </c>
      <c r="BF2" s="245"/>
      <c r="BG2" s="245"/>
      <c r="BH2" s="245"/>
      <c r="BI2" s="245"/>
      <c r="BJ2" s="245"/>
      <c r="BK2" s="246"/>
      <c r="BL2" s="244"/>
      <c r="BM2" s="245"/>
      <c r="BN2" s="245"/>
      <c r="BO2" s="245"/>
      <c r="BP2" s="245"/>
      <c r="BQ2" s="245"/>
      <c r="BR2" s="246"/>
      <c r="BS2" s="244"/>
      <c r="BT2" s="245"/>
      <c r="BU2" s="245"/>
      <c r="BV2" s="245"/>
      <c r="BW2" s="245"/>
      <c r="BX2" s="245"/>
      <c r="BY2" s="246"/>
      <c r="BZ2" s="244"/>
      <c r="CA2" s="245"/>
      <c r="CB2" s="245"/>
      <c r="CC2" s="245"/>
      <c r="CD2" s="245"/>
      <c r="CE2" s="245"/>
      <c r="CF2" s="246"/>
      <c r="CG2" s="244"/>
      <c r="CH2" s="245"/>
      <c r="CI2" s="245"/>
      <c r="CJ2" s="245"/>
      <c r="CK2" s="245"/>
      <c r="CL2" s="245"/>
      <c r="CM2" s="246"/>
      <c r="CN2" s="244"/>
      <c r="CO2" s="245"/>
      <c r="CP2" s="245"/>
      <c r="CQ2" s="245"/>
      <c r="CR2" s="245"/>
      <c r="CS2" s="245"/>
      <c r="CT2" s="246"/>
      <c r="CU2" s="244"/>
      <c r="CV2" s="245"/>
      <c r="CW2" s="245"/>
      <c r="CX2" s="245"/>
      <c r="CY2" s="245"/>
      <c r="CZ2" s="245"/>
      <c r="DA2" s="246"/>
      <c r="DB2" s="244"/>
      <c r="DC2" s="245"/>
      <c r="DD2" s="245"/>
      <c r="DE2" s="245"/>
      <c r="DF2" s="245"/>
      <c r="DG2" s="245"/>
      <c r="DH2" s="246"/>
      <c r="DI2" s="244"/>
      <c r="DJ2" s="245"/>
      <c r="DK2" s="245"/>
      <c r="DL2" s="245"/>
      <c r="DM2" s="245"/>
      <c r="DN2" s="245"/>
      <c r="DO2" s="246"/>
      <c r="DP2" s="244"/>
      <c r="DQ2" s="245"/>
      <c r="DR2" s="245"/>
      <c r="DS2" s="245"/>
      <c r="DT2" s="245"/>
      <c r="DU2" s="245"/>
      <c r="DV2" s="246"/>
      <c r="DW2" s="244"/>
      <c r="DX2" s="245"/>
      <c r="DY2" s="245"/>
      <c r="DZ2" s="245"/>
      <c r="EA2" s="245"/>
      <c r="EB2" s="245"/>
      <c r="EC2" s="246"/>
      <c r="ED2" s="244"/>
      <c r="EE2" s="245"/>
      <c r="EF2" s="245"/>
      <c r="EG2" s="245"/>
      <c r="EH2" s="245"/>
      <c r="EI2" s="245"/>
      <c r="EJ2" s="246"/>
      <c r="EK2" s="244"/>
      <c r="EL2" s="245"/>
      <c r="EM2" s="245"/>
      <c r="EN2" s="245"/>
      <c r="EO2" s="245"/>
      <c r="EP2" s="245"/>
      <c r="EQ2" s="246"/>
      <c r="ER2" s="244"/>
      <c r="ES2" s="245"/>
      <c r="ET2" s="245"/>
      <c r="EU2" s="245"/>
      <c r="EV2" s="245"/>
      <c r="EW2" s="245"/>
      <c r="EX2" s="246"/>
    </row>
    <row r="3" spans="1:155" s="12" customFormat="1">
      <c r="A3" s="15"/>
      <c r="B3" s="2" t="s">
        <v>18</v>
      </c>
      <c r="C3" s="2"/>
      <c r="D3" s="2"/>
      <c r="E3" s="2"/>
      <c r="F3" s="4"/>
      <c r="G3" s="15"/>
      <c r="H3" s="5"/>
      <c r="I3" s="6"/>
      <c r="J3" s="7"/>
      <c r="K3" s="123"/>
      <c r="L3" s="124"/>
      <c r="M3" s="125"/>
      <c r="N3" s="5"/>
      <c r="O3" s="27"/>
      <c r="P3" s="27"/>
      <c r="Q3" s="27"/>
      <c r="R3" s="27"/>
      <c r="S3" s="27"/>
      <c r="T3" s="27"/>
      <c r="U3" s="28"/>
      <c r="V3" s="109"/>
      <c r="W3" s="16">
        <v>85.9</v>
      </c>
      <c r="X3" s="22"/>
      <c r="Y3" s="23">
        <v>87.9</v>
      </c>
      <c r="Z3" s="23"/>
      <c r="AA3" s="24">
        <v>91.4</v>
      </c>
      <c r="AB3" s="25">
        <v>95.1</v>
      </c>
      <c r="AC3" s="126"/>
      <c r="AD3" s="16">
        <v>85.9</v>
      </c>
      <c r="AE3" s="22"/>
      <c r="AF3" s="23">
        <v>87.9</v>
      </c>
      <c r="AG3" s="23"/>
      <c r="AH3" s="24">
        <v>91.4</v>
      </c>
      <c r="AI3" s="25">
        <v>95.1</v>
      </c>
      <c r="AJ3" s="126"/>
      <c r="AK3" s="16">
        <v>90.5</v>
      </c>
      <c r="AL3" s="22"/>
      <c r="AM3" s="23">
        <v>92.3</v>
      </c>
      <c r="AN3" s="23"/>
      <c r="AO3" s="24">
        <v>95.7</v>
      </c>
      <c r="AP3" s="25">
        <v>99.1</v>
      </c>
      <c r="AQ3" s="126"/>
      <c r="AR3" s="5"/>
      <c r="AS3" s="27"/>
      <c r="AT3" s="28"/>
      <c r="AU3" s="5"/>
      <c r="AV3" s="27"/>
      <c r="AW3" s="28"/>
      <c r="AX3" s="247"/>
      <c r="AY3" s="248"/>
      <c r="AZ3" s="248"/>
      <c r="BA3" s="248"/>
      <c r="BB3" s="248"/>
      <c r="BC3" s="248"/>
      <c r="BD3" s="249"/>
      <c r="BE3" s="241"/>
      <c r="BF3" s="242"/>
      <c r="BG3" s="242"/>
      <c r="BH3" s="242"/>
      <c r="BI3" s="242"/>
      <c r="BJ3" s="242"/>
      <c r="BK3" s="243"/>
      <c r="BL3" s="241"/>
      <c r="BM3" s="242"/>
      <c r="BN3" s="242"/>
      <c r="BO3" s="242"/>
      <c r="BP3" s="242"/>
      <c r="BQ3" s="242"/>
      <c r="BR3" s="243"/>
      <c r="BS3" s="241"/>
      <c r="BT3" s="242"/>
      <c r="BU3" s="242"/>
      <c r="BV3" s="242"/>
      <c r="BW3" s="242"/>
      <c r="BX3" s="242"/>
      <c r="BY3" s="243"/>
      <c r="BZ3" s="247"/>
      <c r="CA3" s="248"/>
      <c r="CB3" s="248"/>
      <c r="CC3" s="248"/>
      <c r="CD3" s="248"/>
      <c r="CE3" s="248"/>
      <c r="CF3" s="249"/>
      <c r="CG3" s="241"/>
      <c r="CH3" s="242"/>
      <c r="CI3" s="242"/>
      <c r="CJ3" s="242"/>
      <c r="CK3" s="242"/>
      <c r="CL3" s="242"/>
      <c r="CM3" s="243"/>
      <c r="CN3" s="241"/>
      <c r="CO3" s="242"/>
      <c r="CP3" s="242"/>
      <c r="CQ3" s="242"/>
      <c r="CR3" s="242"/>
      <c r="CS3" s="242"/>
      <c r="CT3" s="243"/>
      <c r="CU3" s="241"/>
      <c r="CV3" s="242"/>
      <c r="CW3" s="242"/>
      <c r="CX3" s="242"/>
      <c r="CY3" s="242"/>
      <c r="CZ3" s="242"/>
      <c r="DA3" s="243"/>
      <c r="DB3" s="241"/>
      <c r="DC3" s="242"/>
      <c r="DD3" s="242"/>
      <c r="DE3" s="242"/>
      <c r="DF3" s="242"/>
      <c r="DG3" s="242"/>
      <c r="DH3" s="243"/>
      <c r="DI3" s="241"/>
      <c r="DJ3" s="242"/>
      <c r="DK3" s="242"/>
      <c r="DL3" s="242"/>
      <c r="DM3" s="242"/>
      <c r="DN3" s="242"/>
      <c r="DO3" s="243"/>
      <c r="DP3" s="241"/>
      <c r="DQ3" s="242"/>
      <c r="DR3" s="242"/>
      <c r="DS3" s="242"/>
      <c r="DT3" s="242"/>
      <c r="DU3" s="242"/>
      <c r="DV3" s="243"/>
      <c r="DW3" s="241"/>
      <c r="DX3" s="242"/>
      <c r="DY3" s="242"/>
      <c r="DZ3" s="242"/>
      <c r="EA3" s="242"/>
      <c r="EB3" s="242"/>
      <c r="EC3" s="243"/>
      <c r="ED3" s="241"/>
      <c r="EE3" s="242"/>
      <c r="EF3" s="242"/>
      <c r="EG3" s="242"/>
      <c r="EH3" s="242"/>
      <c r="EI3" s="242"/>
      <c r="EJ3" s="243"/>
      <c r="EK3" s="241"/>
      <c r="EL3" s="242"/>
      <c r="EM3" s="242"/>
      <c r="EN3" s="242"/>
      <c r="EO3" s="242"/>
      <c r="EP3" s="242"/>
      <c r="EQ3" s="243"/>
      <c r="ER3" s="241"/>
      <c r="ES3" s="242"/>
      <c r="ET3" s="242"/>
      <c r="EU3" s="242"/>
      <c r="EV3" s="242"/>
      <c r="EW3" s="242"/>
      <c r="EX3" s="243"/>
    </row>
    <row r="4" spans="1:155" s="12" customFormat="1">
      <c r="A4" s="15"/>
      <c r="B4" s="2" t="s">
        <v>19</v>
      </c>
      <c r="C4" s="2"/>
      <c r="D4" s="2"/>
      <c r="E4" s="2"/>
      <c r="F4" s="4" t="s">
        <v>36</v>
      </c>
      <c r="G4" s="15"/>
      <c r="H4" s="5" t="s">
        <v>8</v>
      </c>
      <c r="I4" s="29" t="s">
        <v>49</v>
      </c>
      <c r="J4" s="30" t="s">
        <v>30</v>
      </c>
      <c r="K4" s="123" t="s">
        <v>9</v>
      </c>
      <c r="L4" s="124" t="s">
        <v>14</v>
      </c>
      <c r="M4" s="127" t="s">
        <v>48</v>
      </c>
      <c r="N4" s="5" t="s">
        <v>4</v>
      </c>
      <c r="O4" s="114" t="s">
        <v>125</v>
      </c>
      <c r="P4" s="27" t="s">
        <v>4</v>
      </c>
      <c r="Q4" s="114" t="s">
        <v>125</v>
      </c>
      <c r="R4" s="27" t="s">
        <v>4</v>
      </c>
      <c r="S4" s="114" t="s">
        <v>125</v>
      </c>
      <c r="T4" s="27" t="s">
        <v>4</v>
      </c>
      <c r="U4" s="114" t="s">
        <v>125</v>
      </c>
      <c r="V4" s="109" t="s">
        <v>4</v>
      </c>
      <c r="W4" s="16" t="s">
        <v>30</v>
      </c>
      <c r="X4" s="22"/>
      <c r="Y4" s="23" t="s">
        <v>9</v>
      </c>
      <c r="Z4" s="23"/>
      <c r="AA4" s="24" t="s">
        <v>14</v>
      </c>
      <c r="AB4" s="25" t="s">
        <v>48</v>
      </c>
      <c r="AC4" s="126"/>
      <c r="AD4" s="16" t="s">
        <v>30</v>
      </c>
      <c r="AE4" s="22"/>
      <c r="AF4" s="23" t="s">
        <v>9</v>
      </c>
      <c r="AG4" s="23"/>
      <c r="AH4" s="24" t="s">
        <v>14</v>
      </c>
      <c r="AI4" s="25" t="s">
        <v>48</v>
      </c>
      <c r="AJ4" s="126"/>
      <c r="AK4" s="16" t="s">
        <v>30</v>
      </c>
      <c r="AL4" s="22"/>
      <c r="AM4" s="23" t="s">
        <v>9</v>
      </c>
      <c r="AN4" s="23"/>
      <c r="AO4" s="24" t="s">
        <v>14</v>
      </c>
      <c r="AP4" s="25" t="s">
        <v>48</v>
      </c>
      <c r="AQ4" s="126"/>
      <c r="AR4" s="5" t="s">
        <v>4</v>
      </c>
      <c r="AS4" s="27" t="s">
        <v>4</v>
      </c>
      <c r="AT4" s="28" t="s">
        <v>4</v>
      </c>
      <c r="AU4" s="5" t="s">
        <v>4</v>
      </c>
      <c r="AV4" s="27" t="s">
        <v>4</v>
      </c>
      <c r="AW4" s="28" t="s">
        <v>4</v>
      </c>
      <c r="AX4" s="50"/>
      <c r="AY4" s="51"/>
      <c r="AZ4" s="51"/>
      <c r="BA4" s="51"/>
      <c r="BB4" s="51"/>
      <c r="BC4" s="51"/>
      <c r="BD4" s="56"/>
      <c r="BE4" s="50"/>
      <c r="BF4" s="51"/>
      <c r="BG4" s="27"/>
      <c r="BH4" s="27"/>
      <c r="BI4" s="27"/>
      <c r="BJ4" s="27"/>
      <c r="BK4" s="28"/>
      <c r="BL4" s="50"/>
      <c r="BM4" s="51"/>
      <c r="BN4" s="27"/>
      <c r="BO4" s="27"/>
      <c r="BP4" s="27"/>
      <c r="BQ4" s="27"/>
      <c r="BR4" s="28"/>
      <c r="BS4" s="50"/>
      <c r="BT4" s="51"/>
      <c r="BU4" s="27"/>
      <c r="BV4" s="27"/>
      <c r="BW4" s="27"/>
      <c r="BX4" s="27"/>
      <c r="BY4" s="28"/>
      <c r="BZ4" s="50"/>
      <c r="CA4" s="51"/>
      <c r="CB4" s="51"/>
      <c r="CC4" s="51"/>
      <c r="CD4" s="51"/>
      <c r="CE4" s="51"/>
      <c r="CF4" s="56"/>
      <c r="CG4" s="32"/>
      <c r="CH4" s="33"/>
      <c r="CI4" s="33"/>
      <c r="CJ4" s="33"/>
      <c r="CK4" s="33"/>
      <c r="CL4" s="33"/>
      <c r="CM4" s="34"/>
      <c r="CN4" s="32"/>
      <c r="CO4" s="33"/>
      <c r="CP4" s="33"/>
      <c r="CQ4" s="33"/>
      <c r="CR4" s="33"/>
      <c r="CS4" s="33"/>
      <c r="CT4" s="34"/>
      <c r="CU4" s="32"/>
      <c r="CV4" s="33"/>
      <c r="CW4" s="33"/>
      <c r="CX4" s="33"/>
      <c r="CY4" s="33"/>
      <c r="CZ4" s="33"/>
      <c r="DA4" s="34"/>
      <c r="DB4" s="32"/>
      <c r="DC4" s="33"/>
      <c r="DD4" s="33"/>
      <c r="DE4" s="33"/>
      <c r="DF4" s="33"/>
      <c r="DG4" s="33"/>
      <c r="DH4" s="34"/>
      <c r="DI4" s="32"/>
      <c r="DJ4" s="33"/>
      <c r="DK4" s="33"/>
      <c r="DL4" s="33"/>
      <c r="DM4" s="33"/>
      <c r="DN4" s="33"/>
      <c r="DO4" s="34"/>
      <c r="DP4" s="32"/>
      <c r="DQ4" s="33"/>
      <c r="DR4" s="33"/>
      <c r="DS4" s="33"/>
      <c r="DT4" s="33"/>
      <c r="DU4" s="33"/>
      <c r="DV4" s="34"/>
      <c r="DW4" s="32"/>
      <c r="DX4" s="33"/>
      <c r="DY4" s="33"/>
      <c r="DZ4" s="33"/>
      <c r="EA4" s="33"/>
      <c r="EB4" s="33"/>
      <c r="EC4" s="34"/>
      <c r="ED4" s="32"/>
      <c r="EE4" s="33"/>
      <c r="EF4" s="33"/>
      <c r="EG4" s="33"/>
      <c r="EH4" s="33"/>
      <c r="EI4" s="33"/>
      <c r="EJ4" s="34"/>
      <c r="EK4" s="32"/>
      <c r="EL4" s="33"/>
      <c r="EM4" s="33"/>
      <c r="EN4" s="33"/>
      <c r="EO4" s="33"/>
      <c r="EP4" s="33"/>
      <c r="EQ4" s="34"/>
      <c r="ER4" s="32"/>
      <c r="ES4" s="33"/>
      <c r="ET4" s="33"/>
      <c r="EU4" s="33"/>
      <c r="EV4" s="33"/>
      <c r="EW4" s="33"/>
      <c r="EX4" s="34"/>
    </row>
    <row r="5" spans="1:155" s="12" customFormat="1">
      <c r="A5" s="15"/>
      <c r="B5" s="35" t="str">
        <f>+'TRA-M'!A1</f>
        <v>MAY 2017</v>
      </c>
      <c r="C5" s="37" t="s">
        <v>23</v>
      </c>
      <c r="D5" s="37" t="s">
        <v>52</v>
      </c>
      <c r="E5" s="37" t="s">
        <v>51</v>
      </c>
      <c r="F5" s="4" t="s">
        <v>66</v>
      </c>
      <c r="G5" s="37" t="s">
        <v>22</v>
      </c>
      <c r="H5" s="5" t="s">
        <v>7</v>
      </c>
      <c r="I5" s="142">
        <v>14</v>
      </c>
      <c r="J5" s="30" t="s">
        <v>13</v>
      </c>
      <c r="K5" s="123" t="s">
        <v>13</v>
      </c>
      <c r="L5" s="124" t="s">
        <v>13</v>
      </c>
      <c r="M5" s="128" t="s">
        <v>13</v>
      </c>
      <c r="N5" s="5" t="s">
        <v>2</v>
      </c>
      <c r="O5" s="115" t="s">
        <v>126</v>
      </c>
      <c r="P5" s="27" t="s">
        <v>5</v>
      </c>
      <c r="Q5" s="115" t="s">
        <v>126</v>
      </c>
      <c r="R5" s="27" t="s">
        <v>6</v>
      </c>
      <c r="S5" s="115" t="s">
        <v>126</v>
      </c>
      <c r="T5" s="27" t="s">
        <v>3</v>
      </c>
      <c r="U5" s="115" t="s">
        <v>126</v>
      </c>
      <c r="V5" s="109" t="s">
        <v>15</v>
      </c>
      <c r="W5" s="5" t="s">
        <v>0</v>
      </c>
      <c r="X5" s="27" t="s">
        <v>57</v>
      </c>
      <c r="Y5" s="27" t="s">
        <v>1</v>
      </c>
      <c r="Z5" s="27" t="s">
        <v>58</v>
      </c>
      <c r="AA5" s="27" t="s">
        <v>2</v>
      </c>
      <c r="AB5" s="27" t="s">
        <v>3</v>
      </c>
      <c r="AC5" s="28" t="s">
        <v>59</v>
      </c>
      <c r="AD5" s="5" t="s">
        <v>0</v>
      </c>
      <c r="AE5" s="27" t="s">
        <v>57</v>
      </c>
      <c r="AF5" s="27" t="s">
        <v>1</v>
      </c>
      <c r="AG5" s="27" t="s">
        <v>58</v>
      </c>
      <c r="AH5" s="27" t="s">
        <v>2</v>
      </c>
      <c r="AI5" s="27" t="s">
        <v>3</v>
      </c>
      <c r="AJ5" s="28" t="s">
        <v>59</v>
      </c>
      <c r="AK5" s="5" t="s">
        <v>0</v>
      </c>
      <c r="AL5" s="27" t="s">
        <v>57</v>
      </c>
      <c r="AM5" s="27" t="s">
        <v>1</v>
      </c>
      <c r="AN5" s="27" t="s">
        <v>58</v>
      </c>
      <c r="AO5" s="27" t="s">
        <v>2</v>
      </c>
      <c r="AP5" s="27" t="s">
        <v>3</v>
      </c>
      <c r="AQ5" s="28" t="s">
        <v>59</v>
      </c>
      <c r="AR5" s="5" t="s">
        <v>5</v>
      </c>
      <c r="AS5" s="27" t="s">
        <v>6</v>
      </c>
      <c r="AT5" s="28" t="s">
        <v>3</v>
      </c>
      <c r="AU5" s="5" t="s">
        <v>5</v>
      </c>
      <c r="AV5" s="27" t="s">
        <v>6</v>
      </c>
      <c r="AW5" s="28" t="s">
        <v>3</v>
      </c>
      <c r="AX5" s="50" t="s">
        <v>0</v>
      </c>
      <c r="AY5" s="51" t="s">
        <v>60</v>
      </c>
      <c r="AZ5" s="51" t="s">
        <v>1</v>
      </c>
      <c r="BA5" s="51" t="s">
        <v>61</v>
      </c>
      <c r="BB5" s="51" t="s">
        <v>2</v>
      </c>
      <c r="BC5" s="51" t="s">
        <v>3</v>
      </c>
      <c r="BD5" s="56" t="s">
        <v>62</v>
      </c>
      <c r="BE5" s="5" t="s">
        <v>0</v>
      </c>
      <c r="BF5" s="27" t="s">
        <v>60</v>
      </c>
      <c r="BG5" s="27" t="s">
        <v>1</v>
      </c>
      <c r="BH5" s="27" t="s">
        <v>61</v>
      </c>
      <c r="BI5" s="27" t="s">
        <v>2</v>
      </c>
      <c r="BJ5" s="27" t="s">
        <v>3</v>
      </c>
      <c r="BK5" s="28" t="s">
        <v>62</v>
      </c>
      <c r="BL5" s="5" t="s">
        <v>0</v>
      </c>
      <c r="BM5" s="27" t="s">
        <v>60</v>
      </c>
      <c r="BN5" s="27" t="s">
        <v>1</v>
      </c>
      <c r="BO5" s="27" t="s">
        <v>61</v>
      </c>
      <c r="BP5" s="27" t="s">
        <v>2</v>
      </c>
      <c r="BQ5" s="27" t="s">
        <v>3</v>
      </c>
      <c r="BR5" s="28" t="s">
        <v>62</v>
      </c>
      <c r="BS5" s="5" t="s">
        <v>0</v>
      </c>
      <c r="BT5" s="27" t="s">
        <v>60</v>
      </c>
      <c r="BU5" s="27" t="s">
        <v>1</v>
      </c>
      <c r="BV5" s="27" t="s">
        <v>61</v>
      </c>
      <c r="BW5" s="27" t="s">
        <v>2</v>
      </c>
      <c r="BX5" s="27" t="s">
        <v>3</v>
      </c>
      <c r="BY5" s="28" t="s">
        <v>62</v>
      </c>
      <c r="BZ5" s="50" t="s">
        <v>0</v>
      </c>
      <c r="CA5" s="51" t="s">
        <v>60</v>
      </c>
      <c r="CB5" s="51" t="s">
        <v>1</v>
      </c>
      <c r="CC5" s="51" t="s">
        <v>61</v>
      </c>
      <c r="CD5" s="51" t="s">
        <v>2</v>
      </c>
      <c r="CE5" s="51" t="s">
        <v>3</v>
      </c>
      <c r="CF5" s="56" t="s">
        <v>62</v>
      </c>
      <c r="CG5" s="5" t="s">
        <v>0</v>
      </c>
      <c r="CH5" s="27" t="s">
        <v>60</v>
      </c>
      <c r="CI5" s="27" t="s">
        <v>1</v>
      </c>
      <c r="CJ5" s="27" t="s">
        <v>61</v>
      </c>
      <c r="CK5" s="27" t="s">
        <v>2</v>
      </c>
      <c r="CL5" s="27" t="s">
        <v>3</v>
      </c>
      <c r="CM5" s="28" t="s">
        <v>62</v>
      </c>
      <c r="CN5" s="5" t="s">
        <v>0</v>
      </c>
      <c r="CO5" s="27" t="s">
        <v>60</v>
      </c>
      <c r="CP5" s="27" t="s">
        <v>1</v>
      </c>
      <c r="CQ5" s="27" t="s">
        <v>61</v>
      </c>
      <c r="CR5" s="27" t="s">
        <v>2</v>
      </c>
      <c r="CS5" s="27" t="s">
        <v>3</v>
      </c>
      <c r="CT5" s="28" t="s">
        <v>62</v>
      </c>
      <c r="CU5" s="5" t="s">
        <v>0</v>
      </c>
      <c r="CV5" s="27" t="s">
        <v>60</v>
      </c>
      <c r="CW5" s="27" t="s">
        <v>1</v>
      </c>
      <c r="CX5" s="27" t="s">
        <v>61</v>
      </c>
      <c r="CY5" s="27" t="s">
        <v>2</v>
      </c>
      <c r="CZ5" s="27" t="s">
        <v>3</v>
      </c>
      <c r="DA5" s="28" t="s">
        <v>62</v>
      </c>
      <c r="DB5" s="5" t="s">
        <v>0</v>
      </c>
      <c r="DC5" s="27" t="s">
        <v>60</v>
      </c>
      <c r="DD5" s="27" t="s">
        <v>1</v>
      </c>
      <c r="DE5" s="27" t="s">
        <v>61</v>
      </c>
      <c r="DF5" s="27" t="s">
        <v>2</v>
      </c>
      <c r="DG5" s="27" t="s">
        <v>3</v>
      </c>
      <c r="DH5" s="28" t="s">
        <v>62</v>
      </c>
      <c r="DI5" s="5" t="s">
        <v>0</v>
      </c>
      <c r="DJ5" s="27" t="s">
        <v>60</v>
      </c>
      <c r="DK5" s="27" t="s">
        <v>1</v>
      </c>
      <c r="DL5" s="27" t="s">
        <v>61</v>
      </c>
      <c r="DM5" s="27" t="s">
        <v>2</v>
      </c>
      <c r="DN5" s="27" t="s">
        <v>3</v>
      </c>
      <c r="DO5" s="28" t="s">
        <v>62</v>
      </c>
      <c r="DP5" s="5" t="s">
        <v>0</v>
      </c>
      <c r="DQ5" s="27" t="s">
        <v>60</v>
      </c>
      <c r="DR5" s="27" t="s">
        <v>1</v>
      </c>
      <c r="DS5" s="27" t="s">
        <v>61</v>
      </c>
      <c r="DT5" s="27" t="s">
        <v>2</v>
      </c>
      <c r="DU5" s="27" t="s">
        <v>3</v>
      </c>
      <c r="DV5" s="28" t="s">
        <v>62</v>
      </c>
      <c r="DW5" s="5" t="s">
        <v>0</v>
      </c>
      <c r="DX5" s="27" t="s">
        <v>60</v>
      </c>
      <c r="DY5" s="27" t="s">
        <v>1</v>
      </c>
      <c r="DZ5" s="27" t="s">
        <v>61</v>
      </c>
      <c r="EA5" s="27" t="s">
        <v>2</v>
      </c>
      <c r="EB5" s="27" t="s">
        <v>3</v>
      </c>
      <c r="EC5" s="28" t="s">
        <v>62</v>
      </c>
      <c r="ED5" s="5" t="s">
        <v>0</v>
      </c>
      <c r="EE5" s="27" t="s">
        <v>60</v>
      </c>
      <c r="EF5" s="27" t="s">
        <v>1</v>
      </c>
      <c r="EG5" s="27" t="s">
        <v>61</v>
      </c>
      <c r="EH5" s="27" t="s">
        <v>2</v>
      </c>
      <c r="EI5" s="27" t="s">
        <v>3</v>
      </c>
      <c r="EJ5" s="28" t="s">
        <v>62</v>
      </c>
      <c r="EK5" s="5" t="s">
        <v>0</v>
      </c>
      <c r="EL5" s="27" t="s">
        <v>60</v>
      </c>
      <c r="EM5" s="27" t="s">
        <v>1</v>
      </c>
      <c r="EN5" s="27" t="s">
        <v>61</v>
      </c>
      <c r="EO5" s="27" t="s">
        <v>2</v>
      </c>
      <c r="EP5" s="27" t="s">
        <v>3</v>
      </c>
      <c r="EQ5" s="28" t="s">
        <v>62</v>
      </c>
      <c r="ER5" s="5" t="s">
        <v>0</v>
      </c>
      <c r="ES5" s="27" t="s">
        <v>60</v>
      </c>
      <c r="ET5" s="27" t="s">
        <v>1</v>
      </c>
      <c r="EU5" s="27" t="s">
        <v>61</v>
      </c>
      <c r="EV5" s="27" t="s">
        <v>2</v>
      </c>
      <c r="EW5" s="27" t="s">
        <v>3</v>
      </c>
      <c r="EX5" s="28" t="s">
        <v>62</v>
      </c>
    </row>
    <row r="6" spans="1:155" s="12" customFormat="1">
      <c r="A6" s="15"/>
      <c r="B6" s="129"/>
      <c r="C6" s="130"/>
      <c r="D6" s="130"/>
      <c r="E6" s="130"/>
      <c r="F6" s="4"/>
      <c r="G6" s="130"/>
      <c r="H6" s="5"/>
      <c r="I6" s="7"/>
      <c r="J6" s="30"/>
      <c r="K6" s="123"/>
      <c r="L6" s="124"/>
      <c r="M6" s="128"/>
      <c r="N6" s="5"/>
      <c r="O6" s="27"/>
      <c r="P6" s="27"/>
      <c r="Q6" s="27"/>
      <c r="R6" s="27"/>
      <c r="S6" s="27"/>
      <c r="T6" s="27"/>
      <c r="U6" s="28"/>
      <c r="V6" s="109"/>
      <c r="W6" s="5"/>
      <c r="X6" s="27"/>
      <c r="Y6" s="27"/>
      <c r="Z6" s="27"/>
      <c r="AA6" s="27"/>
      <c r="AB6" s="27"/>
      <c r="AC6" s="28"/>
      <c r="AD6" s="5"/>
      <c r="AE6" s="27"/>
      <c r="AF6" s="27"/>
      <c r="AG6" s="27"/>
      <c r="AH6" s="27"/>
      <c r="AI6" s="27"/>
      <c r="AJ6" s="28"/>
      <c r="AK6" s="5"/>
      <c r="AL6" s="27"/>
      <c r="AM6" s="27"/>
      <c r="AN6" s="27"/>
      <c r="AO6" s="27"/>
      <c r="AP6" s="27"/>
      <c r="AQ6" s="28"/>
      <c r="AR6" s="5"/>
      <c r="AS6" s="27"/>
      <c r="AT6" s="28"/>
      <c r="AU6" s="5"/>
      <c r="AV6" s="27"/>
      <c r="AW6" s="28"/>
      <c r="AX6" s="50"/>
      <c r="AY6" s="51"/>
      <c r="AZ6" s="51"/>
      <c r="BA6" s="51"/>
      <c r="BB6" s="51"/>
      <c r="BC6" s="51"/>
      <c r="BD6" s="56"/>
      <c r="BE6" s="50"/>
      <c r="BF6" s="51"/>
      <c r="BG6" s="51"/>
      <c r="BH6" s="51"/>
      <c r="BI6" s="51"/>
      <c r="BJ6" s="51"/>
      <c r="BK6" s="56"/>
      <c r="BL6" s="50"/>
      <c r="BM6" s="51"/>
      <c r="BN6" s="51"/>
      <c r="BO6" s="51"/>
      <c r="BP6" s="51"/>
      <c r="BQ6" s="51"/>
      <c r="BR6" s="56"/>
      <c r="BS6" s="50"/>
      <c r="BT6" s="51"/>
      <c r="BU6" s="51"/>
      <c r="BV6" s="51"/>
      <c r="BW6" s="51"/>
      <c r="BX6" s="51"/>
      <c r="BY6" s="56"/>
      <c r="BZ6" s="50"/>
      <c r="CA6" s="51"/>
      <c r="CB6" s="51"/>
      <c r="CC6" s="51"/>
      <c r="CD6" s="51"/>
      <c r="CE6" s="51"/>
      <c r="CF6" s="56"/>
      <c r="CG6" s="32"/>
      <c r="CH6" s="33"/>
      <c r="CI6" s="33"/>
      <c r="CJ6" s="33"/>
      <c r="CK6" s="33"/>
      <c r="CL6" s="33"/>
      <c r="CM6" s="56"/>
      <c r="CN6" s="32"/>
      <c r="CO6" s="33"/>
      <c r="CP6" s="33"/>
      <c r="CQ6" s="33"/>
      <c r="CR6" s="33"/>
      <c r="CS6" s="33"/>
      <c r="CT6" s="56"/>
      <c r="CU6" s="32"/>
      <c r="CV6" s="33"/>
      <c r="CW6" s="33"/>
      <c r="CX6" s="33"/>
      <c r="CY6" s="33"/>
      <c r="CZ6" s="33"/>
      <c r="DA6" s="56"/>
      <c r="DB6" s="32"/>
      <c r="DC6" s="33"/>
      <c r="DD6" s="33"/>
      <c r="DE6" s="33"/>
      <c r="DF6" s="33"/>
      <c r="DG6" s="33"/>
      <c r="DH6" s="56"/>
      <c r="DI6" s="32"/>
      <c r="DJ6" s="33"/>
      <c r="DK6" s="33"/>
      <c r="DL6" s="33"/>
      <c r="DM6" s="33"/>
      <c r="DN6" s="33"/>
      <c r="DO6" s="56"/>
      <c r="DP6" s="32"/>
      <c r="DQ6" s="33"/>
      <c r="DR6" s="33"/>
      <c r="DS6" s="33"/>
      <c r="DT6" s="33"/>
      <c r="DU6" s="33"/>
      <c r="DV6" s="56"/>
      <c r="DW6" s="32"/>
      <c r="DX6" s="33"/>
      <c r="DY6" s="33"/>
      <c r="DZ6" s="33"/>
      <c r="EA6" s="33"/>
      <c r="EB6" s="33"/>
      <c r="EC6" s="56"/>
      <c r="ED6" s="32"/>
      <c r="EE6" s="33"/>
      <c r="EF6" s="33"/>
      <c r="EG6" s="33"/>
      <c r="EH6" s="33"/>
      <c r="EI6" s="33"/>
      <c r="EJ6" s="56"/>
      <c r="EK6" s="32"/>
      <c r="EL6" s="33"/>
      <c r="EM6" s="33"/>
      <c r="EN6" s="33"/>
      <c r="EO6" s="33"/>
      <c r="EP6" s="33"/>
      <c r="EQ6" s="56"/>
      <c r="ER6" s="32"/>
      <c r="ES6" s="33"/>
      <c r="ET6" s="33"/>
      <c r="EU6" s="33"/>
      <c r="EV6" s="33"/>
      <c r="EW6" s="33"/>
      <c r="EX6" s="56"/>
      <c r="EY6" s="32"/>
    </row>
    <row r="7" spans="1:155">
      <c r="A7" s="7">
        <v>1</v>
      </c>
      <c r="B7" s="136" t="s">
        <v>69</v>
      </c>
      <c r="C7" s="132" t="s">
        <v>25</v>
      </c>
      <c r="D7" s="131" t="s">
        <v>70</v>
      </c>
      <c r="E7" s="7" t="s">
        <v>65</v>
      </c>
      <c r="F7" s="4">
        <v>2014</v>
      </c>
      <c r="G7" s="132">
        <v>1999</v>
      </c>
      <c r="H7" s="44">
        <f>IF(V7="",SUM(N7:T7),SUM(N7:T7)+V7)</f>
        <v>242.17500000000004</v>
      </c>
      <c r="I7" s="45" t="s">
        <v>50</v>
      </c>
      <c r="J7" s="46" t="str">
        <f>IF('TRA-M'!$A$2-F7&lt;=1,IF(AA7&gt;=$W$3,"YES",IF(AH7&gt;=$AD$3,"YES",IF(AO7&gt;=$AK$3,"YES",""))),"")</f>
        <v/>
      </c>
      <c r="K7" s="133" t="str">
        <f>IF(AA7&gt;=$Y$3,IF(I7="YES","YES",""),IF(AH7&gt;=$AF$3,IF(I7="YES","YES",""),IF(AO7&gt;=$AM$3,IF(I7="YES","YES",""),"")))</f>
        <v>YES</v>
      </c>
      <c r="L7" s="134" t="str">
        <f>IF(AA7&gt;=$AA$3,IF(I7="YES","YES",""),IF(AH7&gt;=$AH$3,IF(I7="YES","YES",""),IF(AO7&gt;=$AO$3,IF(I7="YES","YES",""),"")))</f>
        <v/>
      </c>
      <c r="M7" s="135" t="str">
        <f>IF(AA7&gt;=$AB$3,IF(I7="YES","YES",""),IF(AH7&gt;=$AI$3,IF(I7="YES","YES",""),IF(AO7&gt;=$AP$3,IF(I7="YES","YES",""),"")))</f>
        <v/>
      </c>
      <c r="N7" s="5">
        <f>MAX($AO7,$AH7,$AA7)</f>
        <v>95.250000000000014</v>
      </c>
      <c r="P7" s="27">
        <f>IF($N7=$AO7,MAX($AD7+$AE7,$W7+$X7),IF($N7=$AH7,MAX($AK7+$AL7,$W7+$X7),MAX($AK7+$AL7,$AD7+$AE7)))</f>
        <v>42.215000000000003</v>
      </c>
      <c r="Q7" s="115">
        <v>2</v>
      </c>
      <c r="R7" s="27">
        <f>IF($N7=$AO7,MAX($AF7+$AG7,$Y7+$Z7),IF($N7=$AH7,MAX($AM7+$AN7,$Y7+$Z7),MAX($AM7+$AN7,$AF7+$AG7)))</f>
        <v>49.12</v>
      </c>
      <c r="S7" s="115">
        <v>1</v>
      </c>
      <c r="T7" s="27">
        <f>MAX($AP7+$AQ7,$AI7+$AJ7,$AB7+$AC7)</f>
        <v>52.374999999999993</v>
      </c>
      <c r="U7" s="28"/>
      <c r="V7" s="109">
        <f>IF(MAX(AR7:AT7)&lt;=0,"",MAX(AR7:AT7))</f>
        <v>0.21500000000000341</v>
      </c>
      <c r="W7" s="118">
        <f>25.5+1.5</f>
        <v>27</v>
      </c>
      <c r="X7" s="115">
        <v>15.215</v>
      </c>
      <c r="Y7" s="52">
        <f>22.1+11.8</f>
        <v>33.900000000000006</v>
      </c>
      <c r="Z7" s="51">
        <v>14.62</v>
      </c>
      <c r="AA7" s="53">
        <f>SUM(W7:Z7)</f>
        <v>90.735000000000014</v>
      </c>
      <c r="AB7" s="52">
        <f>23.4+11.8</f>
        <v>35.200000000000003</v>
      </c>
      <c r="AC7" s="56">
        <v>14.715</v>
      </c>
      <c r="AD7" s="50">
        <f>23.3+1.6</f>
        <v>24.900000000000002</v>
      </c>
      <c r="AE7" s="51">
        <v>15.42</v>
      </c>
      <c r="AF7" s="119">
        <f>22.2+11.8</f>
        <v>34</v>
      </c>
      <c r="AG7" s="115">
        <v>15.12</v>
      </c>
      <c r="AH7" s="53">
        <f>SUM(AD7:AG7)</f>
        <v>89.44</v>
      </c>
      <c r="AI7" s="52">
        <f>22.9+11.8</f>
        <v>34.700000000000003</v>
      </c>
      <c r="AJ7" s="56">
        <v>15.05</v>
      </c>
      <c r="AK7" s="50">
        <f>16.7+9.4+2.9</f>
        <v>29</v>
      </c>
      <c r="AL7" s="51">
        <v>14.84</v>
      </c>
      <c r="AM7" s="51">
        <f>15.8+9.3+11.8</f>
        <v>36.900000000000006</v>
      </c>
      <c r="AN7" s="51">
        <v>14.51</v>
      </c>
      <c r="AO7" s="60">
        <f>SUM(AK7:AN7)</f>
        <v>95.250000000000014</v>
      </c>
      <c r="AP7" s="51">
        <f>16.4+9.4+11.8</f>
        <v>37.599999999999994</v>
      </c>
      <c r="AQ7" s="56">
        <v>14.775</v>
      </c>
      <c r="AR7" s="5">
        <f>IF(AU7="","",AU7-P7)</f>
        <v>-0.77000000000000313</v>
      </c>
      <c r="AS7" s="27">
        <f>IF(AV7="","",AV7-R7)</f>
        <v>0.21500000000000341</v>
      </c>
      <c r="AT7" s="28">
        <f>IF(AW7="","",AW7-T7)</f>
        <v>-42.624999999999993</v>
      </c>
      <c r="AU7" s="5">
        <f>IF(MAX($AX7+$AY7,$BE7+$BF7,$BL7+$BM7,$BS7+$BT7,$BZ7+$CA7,$CG7+$CH7,$CN7+$CO7,$CU7+$CV7,$DB7+$DC7,$DI7+$DJ7,$DP7+$DQ7,$DW7+$DX7,$ED7+$EE7,$EK7+$EL7,$ER7+$ES7)=0,"",MAX($AX7+$AY7,$BE7+$BF7,$BL7+$BM7,$BS7+$BT7,$BZ7+$CA7,$CG7+$CH7,$CN7+$CO7,$CU7+$CV7,$DB7+$DC7,$DI7+$DJ7,$DP7+$DQ7,$DW7+$DX7,$ED7+$EE7,$EK7+$EL7,$ER7+$ES7))</f>
        <v>41.445</v>
      </c>
      <c r="AV7" s="27">
        <f>IF(MAX($AZ7+$BA7,$BG7+$BH7,$BN7+$BO7,$BU7+$BV7,$CB7+$CC7,$CI7+$CJ7,$CP7+$CQ7,$CW7+$CX7,$DD7+$DE7,$DK7+$DL7,$DR7+$DS7,$DY7+$DZ7,$EF7+$EG7,$EM7+$EN7,$ET7+$EU7)=0,"",MAX($AZ7+$BA7,$BG7+$BH7,$BN7+$BO7,$BU7+$BV7,$CB7+$CC7,$CI7+$CJ7,$CP7+$CQ7,$CW7+$CX7,$DD7+$DE7,$DK7+$DL7,$DR7+$DS7,$DY7+$DZ7,$EF7+$EG7,$EM7+$EN7,$ET7+$EU7))</f>
        <v>49.335000000000001</v>
      </c>
      <c r="AW7" s="28">
        <f>IF(MAX($BC7+$BD7,$BJ7+$BK7,$BQ7+$BR7,$BX7+$BY7,$CE7+$CF7,$CL7+$CM7,$CS7+$CT7,$CZ7+$DA7,$DG7+$DH7,$DN7+$DO7,$DU7+$DV7,$EB7+$EC7,$EI7+$EJ7,$EP7+$EQ7,$EW7+$EX7)=0,"",MAX($BC7+$BD7,$BJ7+$BK7,$BQ7+$BR7,$BX7+$BY7,$CE7+$CF7,$CL7+$CM7,$CS7+$CT7,$CZ7+$DA7,$DG7+$DH7,$DN7+$DO7,$DU7+$DV7,$EB7+$EC7,$EI7+$EJ7,$EP7+$EQ7,$EW7+$EX7))</f>
        <v>9.75</v>
      </c>
      <c r="AX7" s="50"/>
      <c r="AY7" s="51"/>
      <c r="AZ7" s="51"/>
      <c r="BA7" s="51"/>
      <c r="BB7" s="53" t="str">
        <f>IF(AZ7&lt;&gt;"",SUM(AX7:BA7),"")</f>
        <v/>
      </c>
      <c r="BC7" s="59"/>
      <c r="BD7" s="51"/>
      <c r="BE7" s="63">
        <v>25.9</v>
      </c>
      <c r="BF7" s="64">
        <v>15.545</v>
      </c>
      <c r="BG7" s="64">
        <f>22.9+11.8</f>
        <v>34.700000000000003</v>
      </c>
      <c r="BH7" s="64">
        <v>14.635</v>
      </c>
      <c r="BI7" s="66">
        <f>IF(BG7&lt;&gt;"",SUM(BE7:BH7),"")</f>
        <v>90.780000000000015</v>
      </c>
      <c r="BJ7" s="69">
        <f>4.1+2.5</f>
        <v>6.6</v>
      </c>
      <c r="BK7" s="54">
        <v>3.15</v>
      </c>
      <c r="BL7" s="50"/>
      <c r="BM7" s="51"/>
      <c r="BN7" s="51"/>
      <c r="BO7" s="51"/>
      <c r="BP7" s="53" t="str">
        <f>IF(BN7&lt;&gt;"",SUM(BL7:BO7),"")</f>
        <v/>
      </c>
      <c r="BQ7" s="59"/>
      <c r="BR7" s="51"/>
      <c r="BS7" s="50"/>
      <c r="BT7" s="51"/>
      <c r="BU7" s="51"/>
      <c r="BV7" s="51"/>
      <c r="BW7" s="53"/>
      <c r="BX7" s="59"/>
      <c r="BY7" s="51"/>
      <c r="BZ7" s="50"/>
      <c r="CA7" s="51"/>
      <c r="CB7" s="51"/>
      <c r="CC7" s="51"/>
      <c r="CD7" s="53" t="str">
        <f>IF(CB7&lt;&gt;"",SUM(BZ7:CC7),"")</f>
        <v/>
      </c>
      <c r="CE7" s="59"/>
      <c r="CF7" s="51"/>
      <c r="CG7" s="5"/>
      <c r="CH7" s="27"/>
      <c r="CI7" s="27"/>
      <c r="CJ7" s="27"/>
      <c r="CK7" s="53" t="str">
        <f>IF(CI7&lt;&gt;"",SUM(CG7:CJ7),"")</f>
        <v/>
      </c>
      <c r="CL7" s="14"/>
      <c r="CM7" s="51"/>
      <c r="CN7" s="5"/>
      <c r="CO7" s="27"/>
      <c r="CP7" s="27"/>
      <c r="CQ7" s="27"/>
      <c r="CR7" s="53" t="str">
        <f>IF(CP7&lt;&gt;"",SUM(CN7:CQ7),"")</f>
        <v/>
      </c>
      <c r="CS7" s="14"/>
      <c r="CT7" s="51"/>
      <c r="CU7" s="5"/>
      <c r="CV7" s="27"/>
      <c r="CW7" s="27"/>
      <c r="CX7" s="27"/>
      <c r="CY7" s="53" t="str">
        <f>IF(CW7&lt;&gt;"",SUM(CU7:CX7),"")</f>
        <v/>
      </c>
      <c r="CZ7" s="14"/>
      <c r="DA7" s="51"/>
      <c r="DB7" s="5"/>
      <c r="DC7" s="27"/>
      <c r="DD7" s="27"/>
      <c r="DE7" s="27"/>
      <c r="DF7" s="53" t="str">
        <f>IF(DD7&lt;&gt;"",SUM(DB7:DE7),"")</f>
        <v/>
      </c>
      <c r="DG7" s="14"/>
      <c r="DH7" s="51"/>
      <c r="DI7" s="5"/>
      <c r="DJ7" s="27"/>
      <c r="DK7" s="27"/>
      <c r="DL7" s="27"/>
      <c r="DM7" s="53" t="str">
        <f>IF(DK7&lt;&gt;"",SUM(DI7:DL7),"")</f>
        <v/>
      </c>
      <c r="DN7" s="14"/>
      <c r="DO7" s="51"/>
      <c r="DP7" s="5"/>
      <c r="DQ7" s="27"/>
      <c r="DR7" s="27"/>
      <c r="DS7" s="27"/>
      <c r="DT7" s="53" t="str">
        <f>IF(DR7&lt;&gt;"",SUM(DP7:DS7),"")</f>
        <v/>
      </c>
      <c r="DU7" s="14"/>
      <c r="DV7" s="51"/>
      <c r="DW7" s="5"/>
      <c r="DX7" s="27"/>
      <c r="DY7" s="27"/>
      <c r="DZ7" s="27"/>
      <c r="EA7" s="53" t="str">
        <f>IF(DY7&lt;&gt;"",SUM(DW7:DZ7),"")</f>
        <v/>
      </c>
      <c r="EB7" s="14"/>
      <c r="EC7" s="51"/>
      <c r="ED7" s="5"/>
      <c r="EE7" s="27"/>
      <c r="EF7" s="27"/>
      <c r="EG7" s="27"/>
      <c r="EH7" s="53" t="str">
        <f>IF(EF7&lt;&gt;"",SUM(ED7:EG7),"")</f>
        <v/>
      </c>
      <c r="EI7" s="14"/>
      <c r="EJ7" s="51"/>
      <c r="EK7" s="5"/>
      <c r="EL7" s="27"/>
      <c r="EM7" s="27"/>
      <c r="EN7" s="27"/>
      <c r="EO7" s="53"/>
      <c r="EP7" s="14"/>
      <c r="EQ7" s="51"/>
      <c r="ER7" s="5"/>
      <c r="ES7" s="27"/>
      <c r="ET7" s="27"/>
      <c r="EU7" s="27"/>
      <c r="EV7" s="53" t="str">
        <f>IF(ET7&lt;&gt;"",SUM(ER7:EU7),"")</f>
        <v/>
      </c>
      <c r="EW7" s="14"/>
      <c r="EX7" s="51"/>
      <c r="EY7" s="5"/>
    </row>
    <row r="8" spans="1:155">
      <c r="A8" s="71"/>
      <c r="B8" s="138" t="s">
        <v>94</v>
      </c>
      <c r="C8" s="43" t="s">
        <v>27</v>
      </c>
      <c r="D8" s="131" t="s">
        <v>137</v>
      </c>
      <c r="E8" s="7" t="s">
        <v>65</v>
      </c>
      <c r="F8" s="4">
        <v>2016</v>
      </c>
      <c r="G8" s="41">
        <v>2002</v>
      </c>
      <c r="H8" s="44">
        <f>IF(V8="",SUM(N8:T8),SUM(N8:T8)+V8)</f>
        <v>221.505</v>
      </c>
      <c r="I8" s="137"/>
      <c r="J8" s="46" t="str">
        <f>IF('TRA-M'!$A$2-F8&lt;=1,IF(AA8&gt;=$W$3,"YES",IF(AH8&gt;=$AD$3,"YES",IF(AO8&gt;=$AK$3,"YES",""))),"")</f>
        <v/>
      </c>
      <c r="K8" s="133" t="str">
        <f>IF(AA8&gt;=$Y$3,IF(I8="YES","YES",""),IF(AH8&gt;=$AF$3,IF(I8="YES","YES",""),IF(AO8&gt;=$AM$3,IF(I8="YES","YES",""),"")))</f>
        <v/>
      </c>
      <c r="L8" s="134" t="str">
        <f>IF(AA8&gt;=$AA$3,IF(I8="YES","YES",""),IF(AH8&gt;=$AH$3,IF(I8="YES","YES",""),IF(AO8&gt;=$AO$3,IF(I8="YES","YES",""),"")))</f>
        <v/>
      </c>
      <c r="M8" s="135" t="str">
        <f>IF(AA8&gt;=$AB$3,IF(I8="YES","YES",""),IF(AH8&gt;=$AI$3,IF(I8="YES","YES",""),IF(AO8&gt;=$AP$3,IF(I8="YES","YES",""),"")))</f>
        <v/>
      </c>
      <c r="N8" s="5">
        <f>MAX($AO8,$AH8,$AA8)</f>
        <v>83.54</v>
      </c>
      <c r="O8" s="115">
        <v>3</v>
      </c>
      <c r="P8" s="27">
        <f>IF($N8=$AO8,MAX($AD8+$AE8,$W8+$X8),IF($N8=$AH8,MAX($AK8+$AL8,$W8+$X8),MAX($AK8+$AL8,$AD8+$AE8)))</f>
        <v>43.225000000000001</v>
      </c>
      <c r="R8" s="27">
        <f>IF($N8=$AO8,MAX($AF8+$AG8,$Y8+$Z8),IF($N8=$AH8,MAX($AM8+$AN8,$Y8+$Z8),MAX($AM8+$AN8,$AF8+$AG8)))</f>
        <v>10.625</v>
      </c>
      <c r="T8" s="27">
        <f>MAX($AP8+$AQ8,$AI8+$AJ8,$AB8+$AC8)</f>
        <v>45.755000000000003</v>
      </c>
      <c r="U8" s="117">
        <v>1</v>
      </c>
      <c r="V8" s="109">
        <f>IF(MAX(AR8:AT8)&lt;=0,"",MAX(AR8:AT8))</f>
        <v>35.36</v>
      </c>
      <c r="W8" s="50"/>
      <c r="X8" s="51"/>
      <c r="Y8" s="51"/>
      <c r="Z8" s="51"/>
      <c r="AA8" s="53">
        <f>SUM(W8:Z8)</f>
        <v>0</v>
      </c>
      <c r="AB8" s="51"/>
      <c r="AC8" s="56"/>
      <c r="AD8" s="50">
        <f>19.7+1.9</f>
        <v>21.599999999999998</v>
      </c>
      <c r="AE8" s="51">
        <v>13.255000000000001</v>
      </c>
      <c r="AF8" s="51">
        <f>23.9+10.4</f>
        <v>34.299999999999997</v>
      </c>
      <c r="AG8" s="51">
        <v>14.385</v>
      </c>
      <c r="AH8" s="120">
        <f>SUM(AD8:AG8)</f>
        <v>83.54</v>
      </c>
      <c r="AI8" s="115">
        <f>21.2+10.4</f>
        <v>31.6</v>
      </c>
      <c r="AJ8" s="117">
        <v>14.154999999999999</v>
      </c>
      <c r="AK8" s="50">
        <f>17+9.05+3.2</f>
        <v>29.25</v>
      </c>
      <c r="AL8" s="51">
        <v>13.975</v>
      </c>
      <c r="AM8" s="54">
        <f>3.4+1.9+2.3</f>
        <v>7.6</v>
      </c>
      <c r="AN8" s="54">
        <v>3.0249999999999999</v>
      </c>
      <c r="AO8" s="53">
        <f>SUM(AK8:AN8)</f>
        <v>53.85</v>
      </c>
      <c r="AP8" s="51"/>
      <c r="AQ8" s="56"/>
      <c r="AR8" s="5">
        <f>IF(AU8="","",AU8-P8)</f>
        <v>-4.6550000000000011</v>
      </c>
      <c r="AS8" s="27">
        <f>IF(AV8="","",AV8-R8)</f>
        <v>35.36</v>
      </c>
      <c r="AT8" s="28">
        <f>IF(AW8="","",AW8-T8)</f>
        <v>-0.66000000000000369</v>
      </c>
      <c r="AU8" s="5">
        <f>IF(MAX($AX8+$AY8,$BE8+$BF8,$BL8+$BM8,$BS8+$BT8,$BZ8+$CA8,$CG8+$CH8,$CN8+$CO8,$CU8+$CV8,$DB8+$DC8,$DI8+$DJ8,$DP8+$DQ8,$DW8+$DX8,$ED8+$EE8,$EK8+$EL8,$ER8+$ES8)=0,"",MAX($AX8+$AY8,$BE8+$BF8,$BL8+$BM8,$BS8+$BT8,$BZ8+$CA8,$CG8+$CH8,$CN8+$CO8,$CU8+$CV8,$DB8+$DC8,$DI8+$DJ8,$DP8+$DQ8,$DW8+$DX8,$ED8+$EE8,$EK8+$EL8,$ER8+$ES8))</f>
        <v>38.57</v>
      </c>
      <c r="AV8" s="27">
        <f>IF(MAX($AZ8+$BA8,$BG8+$BH8,$BN8+$BO8,$BU8+$BV8,$CB8+$CC8,$CI8+$CJ8,$CP8+$CQ8,$CW8+$CX8,$DD8+$DE8,$DK8+$DL8,$DR8+$DS8,$DY8+$DZ8,$EF8+$EG8,$EM8+$EN8,$ET8+$EU8)=0,"",MAX($AZ8+$BA8,$BG8+$BH8,$BN8+$BO8,$BU8+$BV8,$CB8+$CC8,$CI8+$CJ8,$CP8+$CQ8,$CW8+$CX8,$DD8+$DE8,$DK8+$DL8,$DR8+$DS8,$DY8+$DZ8,$EF8+$EG8,$EM8+$EN8,$ET8+$EU8))</f>
        <v>45.984999999999999</v>
      </c>
      <c r="AW8" s="28">
        <f>IF(MAX($BC8+$BD8,$BJ8+$BK8,$BQ8+$BR8,$BX8+$BY8,$CE8+$CF8,$CL8+$CM8,$CS8+$CT8,$CZ8+$DA8,$DG8+$DH8,$DN8+$DO8,$DU8+$DV8,$EB8+$EC8,$EI8+$EJ8,$EP8+$EQ8,$EW8+$EX8)=0,"",MAX($BC8+$BD8,$BJ8+$BK8,$BQ8+$BR8,$BX8+$BY8,$CE8+$CF8,$CL8+$CM8,$CS8+$CT8,$CZ8+$DA8,$DG8+$DH8,$DN8+$DO8,$DU8+$DV8,$EB8+$EC8,$EI8+$EJ8,$EP8+$EQ8,$EW8+$EX8))</f>
        <v>45.094999999999999</v>
      </c>
      <c r="AX8" s="50">
        <v>24.3</v>
      </c>
      <c r="AY8" s="51">
        <v>14.27</v>
      </c>
      <c r="AZ8" s="51">
        <f>24.2+7.8</f>
        <v>32</v>
      </c>
      <c r="BA8" s="51">
        <v>13.984999999999999</v>
      </c>
      <c r="BB8" s="53">
        <f>IF(AZ8&lt;&gt;"",SUM(AX8:BA8),"")</f>
        <v>84.554999999999993</v>
      </c>
      <c r="BC8" s="59">
        <f>23.2+7.8</f>
        <v>31</v>
      </c>
      <c r="BD8" s="51">
        <v>14.095000000000001</v>
      </c>
      <c r="BE8" s="50"/>
      <c r="BF8" s="51"/>
      <c r="BG8" s="51"/>
      <c r="BH8" s="51"/>
      <c r="BI8" s="53" t="str">
        <f>IF(BG8&lt;&gt;"",SUM(BE8:BH8),"")</f>
        <v/>
      </c>
      <c r="BJ8" s="59"/>
      <c r="BK8" s="51"/>
      <c r="BL8" s="50"/>
      <c r="BM8" s="51"/>
      <c r="BN8" s="51"/>
      <c r="BO8" s="51"/>
      <c r="BP8" s="53" t="str">
        <f>IF(BN8&lt;&gt;"",SUM(BL8:BO8),"")</f>
        <v/>
      </c>
      <c r="BQ8" s="59"/>
      <c r="BR8" s="51"/>
      <c r="BS8" s="50"/>
      <c r="BT8" s="51"/>
      <c r="BU8" s="51"/>
      <c r="BV8" s="51"/>
      <c r="BW8" s="53"/>
      <c r="BX8" s="59"/>
      <c r="BY8" s="51"/>
      <c r="BZ8" s="50"/>
      <c r="CA8" s="51"/>
      <c r="CB8" s="51"/>
      <c r="CC8" s="51"/>
      <c r="CD8" s="53" t="str">
        <f>IF(CB8&lt;&gt;"",SUM(BZ8:CC8),"")</f>
        <v/>
      </c>
      <c r="CE8" s="59"/>
      <c r="CF8" s="51"/>
      <c r="CG8" s="5"/>
      <c r="CH8" s="27"/>
      <c r="CI8" s="27"/>
      <c r="CJ8" s="27"/>
      <c r="CK8" s="53" t="str">
        <f>IF(CI8&lt;&gt;"",SUM(CG8:CJ8),"")</f>
        <v/>
      </c>
      <c r="CL8" s="14"/>
      <c r="CM8" s="51"/>
      <c r="CN8" s="5"/>
      <c r="CO8" s="27"/>
      <c r="CP8" s="27"/>
      <c r="CQ8" s="27"/>
      <c r="CR8" s="53" t="str">
        <f>IF(CP8&lt;&gt;"",SUM(CN8:CQ8),"")</f>
        <v/>
      </c>
      <c r="CS8" s="14"/>
      <c r="CT8" s="51"/>
      <c r="CU8" s="5"/>
      <c r="CV8" s="27"/>
      <c r="CW8" s="27"/>
      <c r="CX8" s="27"/>
      <c r="CY8" s="53" t="str">
        <f>IF(CW8&lt;&gt;"",SUM(CU8:CX8),"")</f>
        <v/>
      </c>
      <c r="CZ8" s="14"/>
      <c r="DA8" s="51"/>
      <c r="DB8" s="5"/>
      <c r="DC8" s="27"/>
      <c r="DD8" s="27"/>
      <c r="DE8" s="27"/>
      <c r="DF8" s="53" t="str">
        <f>IF(DD8&lt;&gt;"",SUM(DB8:DE8),"")</f>
        <v/>
      </c>
      <c r="DG8" s="14"/>
      <c r="DH8" s="51"/>
      <c r="DI8" s="5"/>
      <c r="DJ8" s="27"/>
      <c r="DK8" s="27"/>
      <c r="DL8" s="27"/>
      <c r="DM8" s="53" t="str">
        <f>IF(DK8&lt;&gt;"",SUM(DI8:DL8),"")</f>
        <v/>
      </c>
      <c r="DN8" s="14"/>
      <c r="DO8" s="51"/>
      <c r="DP8" s="5"/>
      <c r="DQ8" s="27"/>
      <c r="DR8" s="27"/>
      <c r="DS8" s="27"/>
      <c r="DT8" s="53" t="str">
        <f>IF(DR8&lt;&gt;"",SUM(DP8:DS8),"")</f>
        <v/>
      </c>
      <c r="DU8" s="14"/>
      <c r="DV8" s="51"/>
      <c r="DW8" s="5"/>
      <c r="DX8" s="27"/>
      <c r="DY8" s="27"/>
      <c r="DZ8" s="27"/>
      <c r="EA8" s="53" t="str">
        <f>IF(DY8&lt;&gt;"",SUM(DW8:DZ8),"")</f>
        <v/>
      </c>
      <c r="EB8" s="14"/>
      <c r="EC8" s="51"/>
      <c r="ED8" s="5"/>
      <c r="EE8" s="27"/>
      <c r="EF8" s="27"/>
      <c r="EG8" s="27"/>
      <c r="EH8" s="53" t="str">
        <f>IF(EF8&lt;&gt;"",SUM(ED8:EG8),"")</f>
        <v/>
      </c>
      <c r="EI8" s="14"/>
      <c r="EJ8" s="51"/>
      <c r="EK8" s="5"/>
      <c r="EL8" s="27"/>
      <c r="EM8" s="27"/>
      <c r="EN8" s="27"/>
      <c r="EO8" s="53" t="str">
        <f>IF(EM8&lt;&gt;"",SUM(EK8:EN8),"")</f>
        <v/>
      </c>
      <c r="EP8" s="14"/>
      <c r="EQ8" s="51"/>
      <c r="ER8" s="5"/>
      <c r="ES8" s="27"/>
      <c r="ET8" s="27"/>
      <c r="EU8" s="27"/>
      <c r="EV8" s="53" t="str">
        <f>IF(ET8&lt;&gt;"",SUM(ER8:EU8),"")</f>
        <v/>
      </c>
      <c r="EW8" s="14"/>
      <c r="EX8" s="51"/>
      <c r="EY8" s="5"/>
    </row>
    <row r="9" spans="1:155">
      <c r="B9" s="138" t="s">
        <v>87</v>
      </c>
      <c r="C9" s="43" t="s">
        <v>26</v>
      </c>
      <c r="D9" s="131" t="s">
        <v>76</v>
      </c>
      <c r="E9" s="7" t="s">
        <v>65</v>
      </c>
      <c r="F9" s="4">
        <v>2012</v>
      </c>
      <c r="G9" s="132">
        <v>1999</v>
      </c>
      <c r="H9" s="44">
        <f>IF(V9="",SUM(N9:T9),SUM(N9:T9)+V9)</f>
        <v>196.26999999999998</v>
      </c>
      <c r="I9" s="137"/>
      <c r="J9" s="46" t="str">
        <f>IF('TRA-M'!$A$2-F9&lt;=1,IF(AA9&gt;=$W$3,"YES",IF(AH9&gt;=$AD$3,"YES",IF(AO9&gt;=$AK$3,"YES",""))),"")</f>
        <v/>
      </c>
      <c r="K9" s="133" t="str">
        <f>IF(AA9&gt;=$Y$3,IF(I9="YES","YES",""),IF(AH9&gt;=$AF$3,IF(I9="YES","YES",""),IF(AO9&gt;=$AM$3,IF(I9="YES","YES",""),"")))</f>
        <v/>
      </c>
      <c r="L9" s="134" t="str">
        <f>IF(AA9&gt;=$AA$3,IF(I9="YES","YES",""),IF(AH9&gt;=$AH$3,IF(I9="YES","YES",""),IF(AO9&gt;=$AO$3,IF(I9="YES","YES",""),"")))</f>
        <v/>
      </c>
      <c r="M9" s="135" t="str">
        <f>IF(AA9&gt;=$AB$3,IF(I9="YES","YES",""),IF(AH9&gt;=$AI$3,IF(I9="YES","YES",""),IF(AO9&gt;=$AP$3,IF(I9="YES","YES",""),"")))</f>
        <v/>
      </c>
      <c r="N9" s="5">
        <f>MAX($AO9,$AH9,$AA9)</f>
        <v>78.004999999999995</v>
      </c>
      <c r="O9" s="115">
        <v>3</v>
      </c>
      <c r="P9" s="27">
        <f>IF($N9=$AO9,MAX($AD9+$AE9,$W9+$X9),IF($N9=$AH9,MAX($AK9+$AL9,$W9+$X9),MAX($AK9+$AL9,$AD9+$AE9)))</f>
        <v>40.174999999999997</v>
      </c>
      <c r="Q9" s="115">
        <v>2</v>
      </c>
      <c r="R9" s="27">
        <f>IF($N9=$AO9,MAX($AF9+$AG9,$Y9+$Z9),IF($N9=$AH9,MAX($AM9+$AN9,$Y9+$Z9),MAX($AM9+$AN9,$AF9+$AG9)))</f>
        <v>27.024999999999999</v>
      </c>
      <c r="S9" s="121">
        <v>0.5</v>
      </c>
      <c r="T9" s="27">
        <f>MAX($AP9+$AQ9,$AI9+$AJ9,$AB9+$AC9)</f>
        <v>45.564999999999998</v>
      </c>
      <c r="U9" s="117">
        <v>1</v>
      </c>
      <c r="V9" s="109" t="str">
        <f>IF(MAX(AR9:AT9)&lt;=0,"",MAX(AR9:AT9))</f>
        <v/>
      </c>
      <c r="W9" s="118">
        <f>23.8+2</f>
        <v>25.8</v>
      </c>
      <c r="X9" s="115">
        <v>14.375</v>
      </c>
      <c r="Y9" s="121">
        <f>12.4+6.3</f>
        <v>18.7</v>
      </c>
      <c r="Z9" s="121">
        <v>8.3249999999999993</v>
      </c>
      <c r="AA9" s="53">
        <f>SUM(W9:Z9)</f>
        <v>67.2</v>
      </c>
      <c r="AB9" s="51">
        <f>20.1+10</f>
        <v>30.1</v>
      </c>
      <c r="AC9" s="56">
        <v>13.8</v>
      </c>
      <c r="AD9" s="50">
        <f>24.5+2</f>
        <v>26.5</v>
      </c>
      <c r="AE9" s="51">
        <v>14.7</v>
      </c>
      <c r="AF9" s="51">
        <f>16.7+8.7</f>
        <v>25.4</v>
      </c>
      <c r="AG9" s="51">
        <v>11.404999999999999</v>
      </c>
      <c r="AH9" s="120">
        <f>SUM(AD9:AG9)</f>
        <v>78.004999999999995</v>
      </c>
      <c r="AI9" s="119">
        <f>20.9+10.5</f>
        <v>31.4</v>
      </c>
      <c r="AJ9" s="117">
        <v>14.164999999999999</v>
      </c>
      <c r="AK9" s="50"/>
      <c r="AL9" s="51"/>
      <c r="AM9" s="51"/>
      <c r="AN9" s="51"/>
      <c r="AO9" s="53">
        <f>SUM(AK9:AN9)</f>
        <v>0</v>
      </c>
      <c r="AP9" s="51"/>
      <c r="AQ9" s="56"/>
      <c r="AR9" s="5" t="str">
        <f>IF(AU9="","",AU9-P9)</f>
        <v/>
      </c>
      <c r="AS9" s="27" t="str">
        <f>IF(AV9="","",AV9-R9)</f>
        <v/>
      </c>
      <c r="AT9" s="28" t="str">
        <f>IF(AW9="","",AW9-T9)</f>
        <v/>
      </c>
      <c r="AU9" s="5" t="str">
        <f>IF(MAX($AX9+$AY9,$BE9+$BF9,$BL9+$BM9,$BS9+$BT9,$BZ9+$CA9,$CG9+$CH9,$CN9+$CO9,$CU9+$CV9,$DB9+$DC9,$DI9+$DJ9,$DP9+$DQ9,$DW9+$DX9,$ED9+$EE9,$EK9+$EL9,$ER9+$ES9)=0,"",MAX($AX9+$AY9,$BE9+$BF9,$BL9+$BM9,$BS9+$BT9,$BZ9+$CA9,$CG9+$CH9,$CN9+$CO9,$CU9+$CV9,$DB9+$DC9,$DI9+$DJ9,$DP9+$DQ9,$DW9+$DX9,$ED9+$EE9,$EK9+$EL9,$ER9+$ES9))</f>
        <v/>
      </c>
      <c r="AV9" s="27" t="str">
        <f>IF(MAX($AZ9+$BA9,$BG9+$BH9,$BN9+$BO9,$BU9+$BV9,$CB9+$CC9,$CI9+$CJ9,$CP9+$CQ9,$CW9+$CX9,$DD9+$DE9,$DK9+$DL9,$DR9+$DS9,$DY9+$DZ9,$EF9+$EG9,$EM9+$EN9,$ET9+$EU9)=0,"",MAX($AZ9+$BA9,$BG9+$BH9,$BN9+$BO9,$BU9+$BV9,$CB9+$CC9,$CI9+$CJ9,$CP9+$CQ9,$CW9+$CX9,$DD9+$DE9,$DK9+$DL9,$DR9+$DS9,$DY9+$DZ9,$EF9+$EG9,$EM9+$EN9,$ET9+$EU9))</f>
        <v/>
      </c>
      <c r="AW9" s="28" t="str">
        <f>IF(MAX($BC9+$BD9,$BJ9+$BK9,$BQ9+$BR9,$BX9+$BY9,$CE9+$CF9,$CL9+$CM9,$CS9+$CT9,$CZ9+$DA9,$DG9+$DH9,$DN9+$DO9,$DU9+$DV9,$EB9+$EC9,$EI9+$EJ9,$EP9+$EQ9,$EW9+$EX9)=0,"",MAX($BC9+$BD9,$BJ9+$BK9,$BQ9+$BR9,$BX9+$BY9,$CE9+$CF9,$CL9+$CM9,$CS9+$CT9,$CZ9+$DA9,$DG9+$DH9,$DN9+$DO9,$DU9+$DV9,$EB9+$EC9,$EI9+$EJ9,$EP9+$EQ9,$EW9+$EX9))</f>
        <v/>
      </c>
      <c r="AX9" s="50"/>
      <c r="AY9" s="51"/>
      <c r="AZ9" s="51"/>
      <c r="BA9" s="51"/>
      <c r="BB9" s="53" t="str">
        <f>IF(AZ9&lt;&gt;"",SUM(AX9:BA9),"")</f>
        <v/>
      </c>
      <c r="BC9" s="59"/>
      <c r="BD9" s="51"/>
      <c r="BE9" s="50"/>
      <c r="BF9" s="51"/>
      <c r="BG9" s="51"/>
      <c r="BH9" s="51"/>
      <c r="BI9" s="53" t="str">
        <f>IF(BG9&lt;&gt;"",SUM(BE9:BH9),"")</f>
        <v/>
      </c>
      <c r="BJ9" s="59"/>
      <c r="BK9" s="51"/>
      <c r="BL9" s="50"/>
      <c r="BM9" s="51"/>
      <c r="BN9" s="51"/>
      <c r="BO9" s="51"/>
      <c r="BP9" s="53" t="str">
        <f>IF(BN9&lt;&gt;"",SUM(BL9:BO9),"")</f>
        <v/>
      </c>
      <c r="BQ9" s="59"/>
      <c r="BR9" s="51"/>
      <c r="BS9" s="50"/>
      <c r="BT9" s="51"/>
      <c r="BU9" s="51"/>
      <c r="BV9" s="51"/>
      <c r="BW9" s="53" t="str">
        <f>IF(BU9&lt;&gt;"",SUM(BS9:BV9),"")</f>
        <v/>
      </c>
      <c r="BX9" s="59"/>
      <c r="BY9" s="51"/>
      <c r="BZ9" s="50"/>
      <c r="CA9" s="51"/>
      <c r="CB9" s="51"/>
      <c r="CC9" s="51"/>
      <c r="CD9" s="53" t="str">
        <f>IF(CB9&lt;&gt;"",SUM(BZ9:CC9),"")</f>
        <v/>
      </c>
      <c r="CE9" s="59"/>
      <c r="CF9" s="51"/>
      <c r="CG9" s="5"/>
      <c r="CH9" s="27"/>
      <c r="CI9" s="27"/>
      <c r="CJ9" s="27"/>
      <c r="CK9" s="53" t="str">
        <f>IF(CI9&lt;&gt;"",SUM(CG9:CJ9),"")</f>
        <v/>
      </c>
      <c r="CL9" s="14"/>
      <c r="CM9" s="51"/>
      <c r="CN9" s="5"/>
      <c r="CO9" s="27"/>
      <c r="CP9" s="27"/>
      <c r="CQ9" s="27"/>
      <c r="CR9" s="53" t="str">
        <f>IF(CP9&lt;&gt;"",SUM(CN9:CQ9),"")</f>
        <v/>
      </c>
      <c r="CS9" s="14"/>
      <c r="CT9" s="51"/>
      <c r="CU9" s="5"/>
      <c r="CV9" s="27"/>
      <c r="CW9" s="27"/>
      <c r="CX9" s="27"/>
      <c r="CY9" s="53" t="str">
        <f>IF(CW9&lt;&gt;"",SUM(CU9:CX9),"")</f>
        <v/>
      </c>
      <c r="CZ9" s="14"/>
      <c r="DA9" s="51"/>
      <c r="DB9" s="5"/>
      <c r="DC9" s="27"/>
      <c r="DD9" s="27"/>
      <c r="DE9" s="27"/>
      <c r="DF9" s="53" t="str">
        <f>IF(DD9&lt;&gt;"",SUM(DB9:DE9),"")</f>
        <v/>
      </c>
      <c r="DG9" s="14"/>
      <c r="DH9" s="51"/>
      <c r="DI9" s="5"/>
      <c r="DJ9" s="27"/>
      <c r="DK9" s="27"/>
      <c r="DL9" s="27"/>
      <c r="DM9" s="53" t="str">
        <f>IF(DK9&lt;&gt;"",SUM(DI9:DL9),"")</f>
        <v/>
      </c>
      <c r="DN9" s="14"/>
      <c r="DO9" s="51"/>
      <c r="DP9" s="5"/>
      <c r="DQ9" s="27"/>
      <c r="DR9" s="27"/>
      <c r="DS9" s="27"/>
      <c r="DT9" s="53" t="str">
        <f>IF(DR9&lt;&gt;"",SUM(DP9:DS9),"")</f>
        <v/>
      </c>
      <c r="DU9" s="14"/>
      <c r="DV9" s="51"/>
      <c r="DW9" s="5"/>
      <c r="DX9" s="27"/>
      <c r="DY9" s="27"/>
      <c r="DZ9" s="27"/>
      <c r="EA9" s="53" t="str">
        <f>IF(DY9&lt;&gt;"",SUM(DW9:DZ9),"")</f>
        <v/>
      </c>
      <c r="EB9" s="14"/>
      <c r="EC9" s="51"/>
      <c r="ED9" s="5"/>
      <c r="EE9" s="27"/>
      <c r="EF9" s="27"/>
      <c r="EG9" s="27"/>
      <c r="EH9" s="53" t="str">
        <f>IF(EF9&lt;&gt;"",SUM(ED9:EG9),"")</f>
        <v/>
      </c>
      <c r="EI9" s="14"/>
      <c r="EJ9" s="51"/>
      <c r="EK9" s="5"/>
      <c r="EL9" s="27"/>
      <c r="EM9" s="27"/>
      <c r="EN9" s="27"/>
      <c r="EO9" s="53" t="str">
        <f>IF(EM9&lt;&gt;"",SUM(EK9:EN9),"")</f>
        <v/>
      </c>
      <c r="EP9" s="14"/>
      <c r="EQ9" s="51"/>
      <c r="ER9" s="5"/>
      <c r="ES9" s="27"/>
      <c r="ET9" s="27"/>
      <c r="EU9" s="27"/>
      <c r="EV9" s="53" t="str">
        <f>IF(ET9&lt;&gt;"",SUM(ER9:EU9),"")</f>
        <v/>
      </c>
      <c r="EW9" s="14"/>
      <c r="EX9" s="51"/>
      <c r="EY9" s="5"/>
    </row>
    <row r="10" spans="1:155">
      <c r="A10" s="197">
        <v>2</v>
      </c>
      <c r="B10" s="138" t="s">
        <v>131</v>
      </c>
      <c r="C10" s="43" t="s">
        <v>27</v>
      </c>
      <c r="D10" s="131" t="s">
        <v>132</v>
      </c>
      <c r="E10" s="7" t="s">
        <v>65</v>
      </c>
      <c r="F10" s="4">
        <v>2017</v>
      </c>
      <c r="G10" s="43">
        <v>2000</v>
      </c>
      <c r="H10" s="44">
        <f>IF(V10="",SUM(N10:T10),SUM(N10:T10)+V10)</f>
        <v>186.48999999999998</v>
      </c>
      <c r="I10" s="137"/>
      <c r="J10" s="46" t="str">
        <f>IF('TRA-M'!$A$2-F10&lt;=1,IF(AA10&gt;=$W$3,"YES",IF(AH10&gt;=$AD$3,"YES",IF(AO10&gt;=$AK$3,"YES",""))),"")</f>
        <v>YES</v>
      </c>
      <c r="K10" s="133" t="str">
        <f>IF(AA10&gt;=$Y$3,IF(I10="YES","YES",""),IF(AH10&gt;=$AF$3,IF(I10="YES","YES",""),IF(AO10&gt;=$AM$3,IF(I10="YES","YES",""),"")))</f>
        <v/>
      </c>
      <c r="L10" s="134" t="str">
        <f>IF(AA10&gt;=$AA$3,IF(I10="YES","YES",""),IF(AH10&gt;=$AH$3,IF(I10="YES","YES",""),IF(AO10&gt;=$AO$3,IF(I10="YES","YES",""),"")))</f>
        <v/>
      </c>
      <c r="M10" s="135" t="str">
        <f>IF(AA10&gt;=$AB$3,IF(I10="YES","YES",""),IF(AH10&gt;=$AI$3,IF(I10="YES","YES",""),IF(AO10&gt;=$AP$3,IF(I10="YES","YES",""),"")))</f>
        <v/>
      </c>
      <c r="N10" s="5">
        <f>MAX($AO10,$AH10,$AA10)</f>
        <v>94</v>
      </c>
      <c r="P10" s="27">
        <f>IF($N10=$AO10,MAX($AD10+$AE10,$W10+$X10),IF($N10=$AH10,MAX($AK10+$AL10,$W10+$X10),MAX($AK10+$AL10,$AD10+$AE10)))</f>
        <v>34.965000000000003</v>
      </c>
      <c r="Q10" s="121">
        <v>1.6</v>
      </c>
      <c r="R10" s="27">
        <f>IF($N10=$AO10,MAX($AF10+$AG10,$Y10+$Z10),IF($N10=$AH10,MAX($AM10+$AN10,$Y10+$Z10),MAX($AM10+$AN10,$AF10+$AG10)))</f>
        <v>5.34</v>
      </c>
      <c r="S10" s="121">
        <v>0.1</v>
      </c>
      <c r="T10" s="27">
        <f>MAX($AP10+$AQ10,$AI10+$AJ10,$AB10+$AC10)</f>
        <v>50.484999999999992</v>
      </c>
      <c r="U10" s="28"/>
      <c r="V10" s="109" t="str">
        <f>IF(MAX(AR10:AT10)&lt;=0,"",MAX(AR10:AT10))</f>
        <v/>
      </c>
      <c r="W10" s="50"/>
      <c r="X10" s="51"/>
      <c r="Y10" s="51"/>
      <c r="Z10" s="51"/>
      <c r="AA10" s="53">
        <f>SUM(W10:Z10)</f>
        <v>0</v>
      </c>
      <c r="AB10" s="51"/>
      <c r="AC10" s="56"/>
      <c r="AD10" s="143">
        <f>21.4+0.6</f>
        <v>22</v>
      </c>
      <c r="AE10" s="121">
        <v>12.965</v>
      </c>
      <c r="AF10" s="121">
        <f>2.4+1.5</f>
        <v>3.9</v>
      </c>
      <c r="AG10" s="121">
        <v>1.44</v>
      </c>
      <c r="AH10" s="74">
        <f>SUM(AD10:AG10)</f>
        <v>40.305</v>
      </c>
      <c r="AI10" s="73"/>
      <c r="AJ10" s="75"/>
      <c r="AK10" s="50">
        <f>17.5+8.8+3.4</f>
        <v>29.7</v>
      </c>
      <c r="AL10" s="51">
        <v>14.945</v>
      </c>
      <c r="AM10" s="51">
        <f>15.9+9.3+9.9</f>
        <v>35.1</v>
      </c>
      <c r="AN10" s="51">
        <v>14.255000000000001</v>
      </c>
      <c r="AO10" s="53">
        <f>SUM(AK10:AN10)</f>
        <v>94</v>
      </c>
      <c r="AP10" s="51">
        <f>16.4+9.2+10.5</f>
        <v>36.099999999999994</v>
      </c>
      <c r="AQ10" s="56">
        <v>14.385</v>
      </c>
      <c r="AR10" s="5" t="str">
        <f>IF(AU10="","",AU10-P10)</f>
        <v/>
      </c>
      <c r="AS10" s="27" t="str">
        <f>IF(AV10="","",AV10-R10)</f>
        <v/>
      </c>
      <c r="AT10" s="28" t="str">
        <f>IF(AW10="","",AW10-T10)</f>
        <v/>
      </c>
      <c r="AU10" s="5" t="str">
        <f>IF(MAX($AX10+$AY10,$BE10+$BF10,$BL10+$BM10,$BS10+$BT10,$BZ10+$CA10,$CG10+$CH10,$CN10+$CO10,$CU10+$CV10,$DB10+$DC10,$DI10+$DJ10,$DP10+$DQ10,$DW10+$DX10,$ED10+$EE10,$EK10+$EL10,$ER10+$ES10)=0,"",MAX($AX10+$AY10,$BE10+$BF10,$BL10+$BM10,$BS10+$BT10,$BZ10+$CA10,$CG10+$CH10,$CN10+$CO10,$CU10+$CV10,$DB10+$DC10,$DI10+$DJ10,$DP10+$DQ10,$DW10+$DX10,$ED10+$EE10,$EK10+$EL10,$ER10+$ES10))</f>
        <v/>
      </c>
      <c r="AV10" s="27" t="str">
        <f>IF(MAX($AZ10+$BA10,$BG10+$BH10,$BN10+$BO10,$BU10+$BV10,$CB10+$CC10,$CI10+$CJ10,$CP10+$CQ10,$CW10+$CX10,$DD10+$DE10,$DK10+$DL10,$DR10+$DS10,$DY10+$DZ10,$EF10+$EG10,$EM10+$EN10,$ET10+$EU10)=0,"",MAX($AZ10+$BA10,$BG10+$BH10,$BN10+$BO10,$BU10+$BV10,$CB10+$CC10,$CI10+$CJ10,$CP10+$CQ10,$CW10+$CX10,$DD10+$DE10,$DK10+$DL10,$DR10+$DS10,$DY10+$DZ10,$EF10+$EG10,$EM10+$EN10,$ET10+$EU10))</f>
        <v/>
      </c>
      <c r="AW10" s="28" t="str">
        <f>IF(MAX($BC10+$BD10,$BJ10+$BK10,$BQ10+$BR10,$BX10+$BY10,$CE10+$CF10,$CL10+$CM10,$CS10+$CT10,$CZ10+$DA10,$DG10+$DH10,$DN10+$DO10,$DU10+$DV10,$EB10+$EC10,$EI10+$EJ10,$EP10+$EQ10,$EW10+$EX10)=0,"",MAX($BC10+$BD10,$BJ10+$BK10,$BQ10+$BR10,$BX10+$BY10,$CE10+$CF10,$CL10+$CM10,$CS10+$CT10,$CZ10+$DA10,$DG10+$DH10,$DN10+$DO10,$DU10+$DV10,$EB10+$EC10,$EI10+$EJ10,$EP10+$EQ10,$EW10+$EX10))</f>
        <v/>
      </c>
      <c r="AX10" s="50"/>
      <c r="AY10" s="51"/>
      <c r="AZ10" s="51"/>
      <c r="BA10" s="51"/>
      <c r="BB10" s="53" t="str">
        <f>IF(AZ10&lt;&gt;"",SUM(AX10:BA10),"")</f>
        <v/>
      </c>
      <c r="BC10" s="59"/>
      <c r="BD10" s="51"/>
      <c r="BE10" s="50"/>
      <c r="BF10" s="51"/>
      <c r="BG10" s="51"/>
      <c r="BH10" s="51"/>
      <c r="BI10" s="53" t="str">
        <f>IF(BG10&lt;&gt;"",SUM(BE10:BH10),"")</f>
        <v/>
      </c>
      <c r="BJ10" s="59"/>
      <c r="BK10" s="51"/>
      <c r="BL10" s="50"/>
      <c r="BM10" s="51"/>
      <c r="BN10" s="51"/>
      <c r="BO10" s="51"/>
      <c r="BP10" s="53" t="str">
        <f>IF(BN10&lt;&gt;"",SUM(BL10:BO10),"")</f>
        <v/>
      </c>
      <c r="BQ10" s="59"/>
      <c r="BR10" s="51"/>
      <c r="BS10" s="50"/>
      <c r="BT10" s="51"/>
      <c r="BU10" s="51"/>
      <c r="BV10" s="51"/>
      <c r="BW10" s="53" t="str">
        <f>IF(BU10&lt;&gt;"",SUM(BS10:BV10),"")</f>
        <v/>
      </c>
      <c r="BX10" s="59"/>
      <c r="BY10" s="51"/>
      <c r="BZ10" s="50"/>
      <c r="CA10" s="51"/>
      <c r="CB10" s="51"/>
      <c r="CC10" s="51"/>
      <c r="CD10" s="53" t="str">
        <f>IF(CB10&lt;&gt;"",SUM(BZ10:CC10),"")</f>
        <v/>
      </c>
      <c r="CE10" s="59"/>
      <c r="CF10" s="51"/>
      <c r="CG10" s="5"/>
      <c r="CH10" s="27"/>
      <c r="CI10" s="27"/>
      <c r="CJ10" s="27"/>
      <c r="CK10" s="53" t="str">
        <f>IF(CI10&lt;&gt;"",SUM(CG10:CJ10),"")</f>
        <v/>
      </c>
      <c r="CL10" s="14"/>
      <c r="CM10" s="51"/>
      <c r="CN10" s="5"/>
      <c r="CO10" s="27"/>
      <c r="CP10" s="27"/>
      <c r="CQ10" s="27"/>
      <c r="CR10" s="53" t="str">
        <f>IF(CP10&lt;&gt;"",SUM(CN10:CQ10),"")</f>
        <v/>
      </c>
      <c r="CS10" s="14"/>
      <c r="CT10" s="51"/>
      <c r="CU10" s="5"/>
      <c r="CV10" s="27"/>
      <c r="CW10" s="27"/>
      <c r="CX10" s="27"/>
      <c r="CY10" s="53" t="str">
        <f>IF(CW10&lt;&gt;"",SUM(CU10:CX10),"")</f>
        <v/>
      </c>
      <c r="CZ10" s="14"/>
      <c r="DA10" s="51"/>
      <c r="DB10" s="5"/>
      <c r="DC10" s="27"/>
      <c r="DD10" s="27"/>
      <c r="DE10" s="27"/>
      <c r="DF10" s="53" t="str">
        <f>IF(DD10&lt;&gt;"",SUM(DB10:DE10),"")</f>
        <v/>
      </c>
      <c r="DG10" s="14"/>
      <c r="DH10" s="51"/>
      <c r="DI10" s="5"/>
      <c r="DJ10" s="27"/>
      <c r="DK10" s="27"/>
      <c r="DL10" s="27"/>
      <c r="DM10" s="53" t="str">
        <f>IF(DK10&lt;&gt;"",SUM(DI10:DL10),"")</f>
        <v/>
      </c>
      <c r="DN10" s="14"/>
      <c r="DO10" s="51"/>
      <c r="DP10" s="5"/>
      <c r="DQ10" s="27"/>
      <c r="DR10" s="27"/>
      <c r="DS10" s="27"/>
      <c r="DT10" s="53" t="str">
        <f>IF(DR10&lt;&gt;"",SUM(DP10:DS10),"")</f>
        <v/>
      </c>
      <c r="DU10" s="14"/>
      <c r="DV10" s="51"/>
      <c r="DW10" s="5"/>
      <c r="DX10" s="27"/>
      <c r="DY10" s="27"/>
      <c r="DZ10" s="27"/>
      <c r="EA10" s="53" t="str">
        <f>IF(DY10&lt;&gt;"",SUM(DW10:DZ10),"")</f>
        <v/>
      </c>
      <c r="EB10" s="14"/>
      <c r="EC10" s="51"/>
      <c r="ED10" s="5"/>
      <c r="EE10" s="27"/>
      <c r="EF10" s="27"/>
      <c r="EG10" s="27"/>
      <c r="EH10" s="53" t="str">
        <f>IF(EF10&lt;&gt;"",SUM(ED10:EG10),"")</f>
        <v/>
      </c>
      <c r="EI10" s="14"/>
      <c r="EJ10" s="51"/>
      <c r="EK10" s="5"/>
      <c r="EL10" s="27"/>
      <c r="EM10" s="27"/>
      <c r="EN10" s="27"/>
      <c r="EO10" s="53" t="str">
        <f>IF(EM10&lt;&gt;"",SUM(EK10:EN10),"")</f>
        <v/>
      </c>
      <c r="EP10" s="14"/>
      <c r="EQ10" s="51"/>
      <c r="ER10" s="5"/>
      <c r="ES10" s="27"/>
      <c r="ET10" s="27"/>
      <c r="EU10" s="27"/>
      <c r="EV10" s="53" t="str">
        <f>IF(ET10&lt;&gt;"",SUM(ER10:EU10),"")</f>
        <v/>
      </c>
      <c r="EW10" s="14"/>
      <c r="EX10" s="51"/>
      <c r="EY10" s="5"/>
    </row>
    <row r="11" spans="1:155">
      <c r="B11" s="70"/>
      <c r="F11" s="4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X11" s="51"/>
      <c r="AY11" s="51"/>
      <c r="AZ11" s="51"/>
      <c r="BA11" s="51"/>
      <c r="BB11" s="140"/>
      <c r="BC11" s="59"/>
      <c r="BD11" s="51"/>
      <c r="BE11" s="51"/>
      <c r="BF11" s="51"/>
      <c r="BG11" s="51"/>
      <c r="BH11" s="51"/>
      <c r="BI11" s="140"/>
      <c r="BJ11" s="59"/>
      <c r="BK11" s="51"/>
      <c r="BL11" s="51"/>
      <c r="BM11" s="51"/>
      <c r="BN11" s="51"/>
      <c r="BO11" s="51"/>
      <c r="BP11" s="140"/>
      <c r="BQ11" s="59"/>
      <c r="BR11" s="51"/>
      <c r="BS11" s="51"/>
      <c r="BT11" s="51"/>
      <c r="BU11" s="51"/>
      <c r="BV11" s="51"/>
      <c r="BW11" s="140"/>
      <c r="BX11" s="59"/>
      <c r="BY11" s="51"/>
      <c r="BZ11" s="51"/>
      <c r="CA11" s="51"/>
      <c r="CB11" s="51"/>
      <c r="CC11" s="51"/>
      <c r="CD11" s="140"/>
      <c r="CE11" s="59"/>
      <c r="CF11" s="51"/>
    </row>
    <row r="12" spans="1:155">
      <c r="B12" s="70"/>
      <c r="F12" s="4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X12" s="51"/>
      <c r="AY12" s="51"/>
      <c r="AZ12" s="51"/>
      <c r="BA12" s="51"/>
      <c r="BB12" s="140"/>
      <c r="BC12" s="59"/>
      <c r="BD12" s="51"/>
      <c r="BE12" s="51"/>
      <c r="BF12" s="51"/>
      <c r="BG12" s="51"/>
      <c r="BH12" s="51"/>
      <c r="BI12" s="140"/>
      <c r="BJ12" s="59"/>
      <c r="BK12" s="51"/>
      <c r="BL12" s="51"/>
      <c r="BM12" s="51"/>
      <c r="BN12" s="51"/>
      <c r="BO12" s="51"/>
      <c r="BP12" s="140"/>
      <c r="BQ12" s="59"/>
      <c r="BR12" s="51"/>
      <c r="BS12" s="51"/>
      <c r="BT12" s="51"/>
      <c r="BU12" s="51"/>
      <c r="BV12" s="51"/>
      <c r="BW12" s="140"/>
      <c r="BX12" s="59"/>
      <c r="BY12" s="51"/>
      <c r="BZ12" s="51"/>
      <c r="CA12" s="51"/>
      <c r="CB12" s="51"/>
      <c r="CC12" s="51"/>
      <c r="CD12" s="140"/>
      <c r="CE12" s="59"/>
      <c r="CF12" s="51"/>
    </row>
    <row r="13" spans="1:155">
      <c r="B13" s="70"/>
      <c r="F13" s="4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X13" s="51"/>
      <c r="AY13" s="51"/>
      <c r="AZ13" s="51"/>
      <c r="BA13" s="51"/>
      <c r="BB13" s="140"/>
      <c r="BC13" s="59"/>
      <c r="BD13" s="51"/>
      <c r="BE13" s="51"/>
      <c r="BF13" s="51"/>
      <c r="BG13" s="51"/>
      <c r="BH13" s="51"/>
      <c r="BI13" s="140"/>
      <c r="BJ13" s="59"/>
      <c r="BK13" s="51"/>
      <c r="BL13" s="51"/>
      <c r="BM13" s="51"/>
      <c r="BN13" s="51"/>
      <c r="BO13" s="51"/>
      <c r="BP13" s="140"/>
      <c r="BQ13" s="59"/>
      <c r="BR13" s="51"/>
      <c r="BS13" s="51"/>
      <c r="BT13" s="51"/>
      <c r="BU13" s="51"/>
      <c r="BV13" s="51"/>
      <c r="BW13" s="140"/>
      <c r="BX13" s="59"/>
      <c r="BY13" s="51"/>
      <c r="BZ13" s="51"/>
      <c r="CA13" s="51"/>
      <c r="CB13" s="51"/>
      <c r="CC13" s="51"/>
      <c r="CD13" s="140"/>
      <c r="CE13" s="59"/>
      <c r="CF13" s="51"/>
    </row>
    <row r="14" spans="1:155">
      <c r="B14" s="70"/>
      <c r="F14" s="4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X14" s="51"/>
      <c r="AY14" s="51"/>
      <c r="AZ14" s="51"/>
      <c r="BA14" s="51"/>
      <c r="BB14" s="140"/>
      <c r="BC14" s="59"/>
      <c r="BD14" s="51"/>
      <c r="BE14" s="51"/>
      <c r="BF14" s="51"/>
      <c r="BG14" s="51"/>
      <c r="BH14" s="51"/>
      <c r="BI14" s="140"/>
      <c r="BJ14" s="59"/>
      <c r="BK14" s="51"/>
      <c r="BL14" s="51"/>
      <c r="BM14" s="51"/>
      <c r="BN14" s="51"/>
      <c r="BO14" s="51"/>
      <c r="BP14" s="140"/>
      <c r="BQ14" s="59"/>
      <c r="BR14" s="51"/>
      <c r="BS14" s="51"/>
      <c r="BT14" s="51"/>
      <c r="BU14" s="51"/>
      <c r="BV14" s="51"/>
      <c r="BW14" s="140"/>
      <c r="BX14" s="59"/>
      <c r="BY14" s="51"/>
      <c r="BZ14" s="51"/>
      <c r="CA14" s="51"/>
      <c r="CB14" s="51"/>
      <c r="CC14" s="51"/>
      <c r="CD14" s="140"/>
      <c r="CE14" s="59"/>
      <c r="CF14" s="51"/>
    </row>
    <row r="15" spans="1:155">
      <c r="B15" s="88" t="s">
        <v>45</v>
      </c>
      <c r="F15" s="4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X15" s="51"/>
      <c r="AY15" s="51"/>
      <c r="AZ15" s="51"/>
      <c r="BA15" s="51"/>
      <c r="BB15" s="140"/>
      <c r="BC15" s="59"/>
      <c r="BD15" s="51"/>
      <c r="BE15" s="51"/>
      <c r="BF15" s="51"/>
      <c r="BG15" s="51"/>
      <c r="BH15" s="51"/>
      <c r="BI15" s="140"/>
      <c r="BJ15" s="59"/>
      <c r="BK15" s="51"/>
      <c r="BL15" s="51"/>
      <c r="BM15" s="51"/>
      <c r="BN15" s="51"/>
      <c r="BO15" s="51"/>
      <c r="BP15" s="140"/>
      <c r="BQ15" s="59"/>
      <c r="BR15" s="51"/>
      <c r="BS15" s="51"/>
      <c r="BT15" s="51"/>
      <c r="BU15" s="51"/>
      <c r="BV15" s="51"/>
      <c r="BW15" s="140"/>
      <c r="BX15" s="59"/>
      <c r="BY15" s="51"/>
      <c r="BZ15" s="51"/>
      <c r="CA15" s="51"/>
      <c r="CB15" s="51"/>
      <c r="CC15" s="51"/>
      <c r="CD15" s="140"/>
      <c r="CE15" s="59"/>
      <c r="CF15" s="51"/>
    </row>
    <row r="16" spans="1:155">
      <c r="B16" s="90" t="s">
        <v>68</v>
      </c>
      <c r="C16" s="43"/>
      <c r="D16" s="43"/>
      <c r="E16" s="43"/>
      <c r="F16" s="4"/>
      <c r="H16" s="82"/>
      <c r="J16" s="46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X16" s="51"/>
      <c r="AY16" s="51"/>
      <c r="AZ16" s="51"/>
      <c r="BA16" s="51"/>
      <c r="BB16" s="140"/>
      <c r="BC16" s="59"/>
      <c r="BD16" s="51"/>
      <c r="BE16" s="51"/>
      <c r="BF16" s="51"/>
      <c r="BG16" s="51"/>
      <c r="BH16" s="51"/>
      <c r="BI16" s="140"/>
      <c r="BJ16" s="59"/>
      <c r="BK16" s="51"/>
      <c r="BL16" s="51"/>
      <c r="BM16" s="51"/>
      <c r="BN16" s="51"/>
      <c r="BO16" s="51"/>
      <c r="BP16" s="140"/>
      <c r="BQ16" s="59"/>
      <c r="BR16" s="51"/>
      <c r="BS16" s="51"/>
      <c r="BT16" s="51"/>
      <c r="BU16" s="51"/>
      <c r="BV16" s="51"/>
      <c r="BW16" s="140"/>
      <c r="BX16" s="59"/>
      <c r="BY16" s="51"/>
      <c r="BZ16" s="51"/>
      <c r="CA16" s="51"/>
      <c r="CB16" s="51"/>
      <c r="CC16" s="51"/>
      <c r="CD16" s="140"/>
      <c r="CE16" s="59"/>
      <c r="CF16" s="51"/>
    </row>
    <row r="17" spans="2:84">
      <c r="B17" s="176" t="s">
        <v>127</v>
      </c>
      <c r="C17" s="101"/>
      <c r="D17" s="101"/>
      <c r="E17" s="101"/>
      <c r="F17" s="4"/>
      <c r="H17" s="82"/>
      <c r="J17" s="46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X17" s="51"/>
      <c r="AY17" s="51"/>
      <c r="AZ17" s="51"/>
      <c r="BA17" s="51"/>
      <c r="BB17" s="140"/>
      <c r="BC17" s="59"/>
      <c r="BD17" s="51"/>
      <c r="BE17" s="51"/>
      <c r="BF17" s="51"/>
      <c r="BG17" s="51"/>
      <c r="BH17" s="51"/>
      <c r="BI17" s="140"/>
      <c r="BJ17" s="59"/>
      <c r="BK17" s="51"/>
      <c r="BL17" s="51"/>
      <c r="BM17" s="51"/>
      <c r="BN17" s="51"/>
      <c r="BO17" s="51"/>
      <c r="BP17" s="140"/>
      <c r="BQ17" s="59"/>
      <c r="BR17" s="51"/>
      <c r="BS17" s="51"/>
      <c r="BT17" s="51"/>
      <c r="BU17" s="51"/>
      <c r="BV17" s="51"/>
      <c r="BW17" s="140"/>
      <c r="BX17" s="59"/>
      <c r="BY17" s="51"/>
      <c r="BZ17" s="51"/>
      <c r="CA17" s="51"/>
      <c r="CB17" s="51"/>
      <c r="CC17" s="51"/>
      <c r="CD17" s="140"/>
      <c r="CE17" s="59"/>
      <c r="CF17" s="51"/>
    </row>
    <row r="18" spans="2:84">
      <c r="B18" s="175" t="s">
        <v>124</v>
      </c>
      <c r="C18" s="102"/>
      <c r="D18" s="102"/>
      <c r="E18" s="102"/>
      <c r="F18" s="103"/>
      <c r="G18" s="43"/>
      <c r="H18" s="82"/>
      <c r="J18" s="46"/>
      <c r="W18" s="51"/>
      <c r="X18" s="51"/>
      <c r="Y18" s="51"/>
      <c r="Z18" s="59"/>
      <c r="AA18" s="51"/>
      <c r="AB18" s="51"/>
      <c r="AC18" s="51"/>
      <c r="AD18" s="51"/>
      <c r="AE18" s="51"/>
      <c r="AF18" s="51"/>
      <c r="AG18" s="59"/>
      <c r="AH18" s="51"/>
      <c r="AI18" s="51"/>
      <c r="AJ18" s="51"/>
      <c r="AK18" s="51"/>
      <c r="AL18" s="51"/>
      <c r="AM18" s="51"/>
      <c r="AN18" s="59"/>
      <c r="AO18" s="51"/>
      <c r="AP18" s="51"/>
      <c r="AQ18" s="51"/>
      <c r="AX18" s="51"/>
      <c r="AY18" s="51"/>
      <c r="AZ18" s="51"/>
      <c r="BA18" s="51"/>
      <c r="BB18" s="140" t="str">
        <f>IF(AZ18&lt;&gt;"",AX18+AZ18,"")</f>
        <v/>
      </c>
      <c r="BC18" s="59"/>
      <c r="BD18" s="51"/>
      <c r="BE18" s="51"/>
      <c r="BF18" s="51"/>
      <c r="BG18" s="51"/>
      <c r="BH18" s="51"/>
      <c r="BI18" s="140" t="str">
        <f>IF(BG18&lt;&gt;"",BE18+BG18,"")</f>
        <v/>
      </c>
      <c r="BJ18" s="59"/>
      <c r="BK18" s="51"/>
      <c r="BL18" s="51"/>
      <c r="BM18" s="51"/>
      <c r="BN18" s="51"/>
      <c r="BO18" s="51"/>
      <c r="BP18" s="140" t="str">
        <f>IF(BN18&lt;&gt;"",BL18+BN18,"")</f>
        <v/>
      </c>
      <c r="BQ18" s="59"/>
      <c r="BR18" s="51"/>
      <c r="BS18" s="51"/>
      <c r="BT18" s="51"/>
      <c r="BU18" s="51"/>
      <c r="BV18" s="51"/>
      <c r="BW18" s="140" t="str">
        <f>IF(BU18&lt;&gt;"",BS18+BU18,"")</f>
        <v/>
      </c>
      <c r="BX18" s="59"/>
      <c r="BY18" s="51"/>
      <c r="BZ18" s="51"/>
      <c r="CA18" s="51"/>
      <c r="CB18" s="51"/>
      <c r="CC18" s="51"/>
      <c r="CD18" s="140" t="str">
        <f>IF(CB18&lt;&gt;"",BZ18+CB18,"")</f>
        <v/>
      </c>
      <c r="CE18" s="59"/>
      <c r="CF18" s="51"/>
    </row>
    <row r="19" spans="2:84">
      <c r="B19" s="177" t="s">
        <v>129</v>
      </c>
      <c r="C19" s="104"/>
      <c r="D19" s="104"/>
      <c r="E19" s="104"/>
      <c r="F19" s="4"/>
      <c r="H19" s="82"/>
      <c r="J19" s="46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X19" s="51"/>
      <c r="AY19" s="51"/>
      <c r="AZ19" s="59"/>
      <c r="BA19" s="59"/>
      <c r="BB19" s="59"/>
      <c r="BC19" s="59"/>
      <c r="BD19" s="51"/>
      <c r="BE19" s="51"/>
      <c r="BF19" s="51"/>
      <c r="BG19" s="59"/>
      <c r="BH19" s="59"/>
      <c r="BI19" s="59"/>
      <c r="BJ19" s="59"/>
      <c r="BK19" s="51"/>
      <c r="BL19" s="51"/>
      <c r="BM19" s="51"/>
      <c r="BN19" s="59"/>
      <c r="BO19" s="59"/>
      <c r="BP19" s="59"/>
      <c r="BQ19" s="59"/>
      <c r="BR19" s="51"/>
      <c r="BS19" s="51"/>
      <c r="BT19" s="51"/>
      <c r="BU19" s="59"/>
      <c r="BV19" s="59"/>
      <c r="BW19" s="59"/>
      <c r="BX19" s="59"/>
      <c r="BY19" s="51"/>
      <c r="BZ19" s="51"/>
      <c r="CA19" s="51"/>
      <c r="CB19" s="59"/>
      <c r="CC19" s="59"/>
      <c r="CD19" s="59"/>
      <c r="CE19" s="59"/>
      <c r="CF19" s="51"/>
    </row>
    <row r="20" spans="2:84">
      <c r="B20" s="87" t="s">
        <v>140</v>
      </c>
      <c r="C20" s="43"/>
      <c r="D20" s="43"/>
      <c r="E20" s="43"/>
      <c r="F20" s="4"/>
      <c r="W20" s="51"/>
      <c r="X20" s="51"/>
      <c r="Y20" s="51"/>
      <c r="Z20" s="59"/>
      <c r="AA20" s="51"/>
      <c r="AB20" s="51"/>
      <c r="AC20" s="51"/>
      <c r="AD20" s="51"/>
      <c r="AE20" s="51"/>
      <c r="AF20" s="51"/>
      <c r="AG20" s="59"/>
      <c r="AH20" s="51"/>
      <c r="AI20" s="51"/>
      <c r="AJ20" s="51"/>
      <c r="AK20" s="51"/>
      <c r="AL20" s="51"/>
      <c r="AM20" s="51"/>
      <c r="AN20" s="59"/>
      <c r="AO20" s="51"/>
      <c r="AP20" s="51"/>
      <c r="AQ20" s="51"/>
      <c r="AX20" s="51"/>
      <c r="AY20" s="51"/>
      <c r="AZ20" s="59"/>
      <c r="BA20" s="59"/>
      <c r="BB20" s="59"/>
      <c r="BC20" s="59"/>
      <c r="BD20" s="51"/>
      <c r="BE20" s="51"/>
      <c r="BF20" s="51"/>
      <c r="BG20" s="59"/>
      <c r="BH20" s="59"/>
      <c r="BI20" s="59"/>
      <c r="BJ20" s="59"/>
      <c r="BK20" s="51"/>
      <c r="BL20" s="51"/>
      <c r="BM20" s="51"/>
      <c r="BN20" s="59"/>
      <c r="BO20" s="59"/>
      <c r="BP20" s="59"/>
      <c r="BQ20" s="59"/>
      <c r="BR20" s="51"/>
      <c r="BS20" s="51"/>
      <c r="BT20" s="51"/>
      <c r="BU20" s="59"/>
      <c r="BV20" s="59"/>
      <c r="BW20" s="59"/>
      <c r="BX20" s="59"/>
      <c r="BY20" s="51"/>
      <c r="BZ20" s="51"/>
      <c r="CA20" s="51"/>
      <c r="CB20" s="59"/>
      <c r="CC20" s="59"/>
      <c r="CD20" s="59"/>
      <c r="CE20" s="59"/>
      <c r="CF20" s="51"/>
    </row>
    <row r="21" spans="2:84">
      <c r="B21" s="87" t="s">
        <v>130</v>
      </c>
      <c r="C21" s="43"/>
      <c r="D21" s="43"/>
      <c r="E21" s="43"/>
      <c r="F21" s="4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X21" s="51"/>
      <c r="AY21" s="51"/>
      <c r="AZ21" s="59"/>
      <c r="BA21" s="59"/>
      <c r="BB21" s="59"/>
      <c r="BC21" s="59"/>
      <c r="BD21" s="51"/>
      <c r="BE21" s="51"/>
      <c r="BF21" s="51"/>
      <c r="BG21" s="59"/>
      <c r="BH21" s="59"/>
      <c r="BI21" s="59"/>
      <c r="BJ21" s="59"/>
      <c r="BK21" s="51"/>
      <c r="BL21" s="51"/>
      <c r="BM21" s="51"/>
      <c r="BN21" s="59"/>
      <c r="BO21" s="59"/>
      <c r="BP21" s="59"/>
      <c r="BQ21" s="59"/>
      <c r="BR21" s="51"/>
      <c r="BS21" s="51"/>
      <c r="BT21" s="51"/>
      <c r="BU21" s="59"/>
      <c r="BV21" s="59"/>
      <c r="BW21" s="59"/>
      <c r="BX21" s="59"/>
      <c r="BY21" s="51"/>
      <c r="BZ21" s="51"/>
      <c r="CA21" s="51"/>
      <c r="CB21" s="59"/>
      <c r="CC21" s="59"/>
      <c r="CD21" s="59"/>
      <c r="CE21" s="59"/>
      <c r="CF21" s="51"/>
    </row>
    <row r="22" spans="2:84">
      <c r="B22" s="87" t="s">
        <v>152</v>
      </c>
      <c r="C22" s="43"/>
      <c r="D22" s="43"/>
      <c r="E22" s="43"/>
      <c r="F22" s="4"/>
      <c r="W22" s="51"/>
      <c r="X22" s="51"/>
      <c r="Y22" s="51"/>
      <c r="Z22" s="59"/>
      <c r="AA22" s="51"/>
      <c r="AB22" s="51"/>
      <c r="AC22" s="51"/>
      <c r="AD22" s="51"/>
      <c r="AE22" s="51"/>
      <c r="AF22" s="51"/>
      <c r="AG22" s="59"/>
      <c r="AH22" s="51"/>
      <c r="AI22" s="51"/>
      <c r="AJ22" s="51"/>
      <c r="AK22" s="51"/>
      <c r="AL22" s="51"/>
      <c r="AM22" s="51"/>
      <c r="AN22" s="59"/>
      <c r="AO22" s="51"/>
      <c r="AP22" s="51"/>
      <c r="AQ22" s="51"/>
      <c r="AX22" s="51"/>
      <c r="AY22" s="51"/>
      <c r="AZ22" s="59"/>
      <c r="BA22" s="59"/>
      <c r="BB22" s="59"/>
      <c r="BC22" s="59"/>
      <c r="BD22" s="51"/>
      <c r="BE22" s="51"/>
      <c r="BF22" s="51"/>
      <c r="BG22" s="59"/>
      <c r="BH22" s="59"/>
      <c r="BI22" s="59"/>
      <c r="BJ22" s="59"/>
      <c r="BK22" s="51"/>
      <c r="BL22" s="51"/>
      <c r="BM22" s="51"/>
      <c r="BN22" s="59"/>
      <c r="BO22" s="59"/>
      <c r="BP22" s="59"/>
      <c r="BQ22" s="59"/>
      <c r="BR22" s="51"/>
      <c r="BS22" s="51"/>
      <c r="BT22" s="51"/>
      <c r="BU22" s="59"/>
      <c r="BV22" s="59"/>
      <c r="BW22" s="59"/>
      <c r="BX22" s="59"/>
      <c r="BY22" s="51"/>
      <c r="BZ22" s="51"/>
      <c r="CA22" s="51"/>
      <c r="CB22" s="59"/>
      <c r="CC22" s="59"/>
      <c r="CD22" s="59"/>
      <c r="CE22" s="59"/>
      <c r="CF22" s="51"/>
    </row>
    <row r="23" spans="2:84" ht="13.5" thickBot="1">
      <c r="F23" s="4"/>
      <c r="W23" s="51"/>
      <c r="X23" s="51"/>
      <c r="Y23" s="51"/>
      <c r="Z23" s="51"/>
      <c r="AD23" s="51"/>
      <c r="AE23" s="51"/>
      <c r="AF23" s="51"/>
      <c r="AG23" s="51"/>
      <c r="AK23" s="51"/>
      <c r="AL23" s="51"/>
      <c r="AM23" s="51"/>
      <c r="AN23" s="51"/>
      <c r="AX23" s="51"/>
      <c r="AY23" s="51"/>
      <c r="AZ23" s="59"/>
      <c r="BA23" s="59"/>
      <c r="BB23" s="59"/>
      <c r="BC23" s="59"/>
      <c r="BD23" s="51"/>
      <c r="BE23" s="51"/>
      <c r="BF23" s="51"/>
      <c r="BG23" s="59"/>
      <c r="BH23" s="59"/>
      <c r="BI23" s="59"/>
      <c r="BJ23" s="59"/>
      <c r="BK23" s="51"/>
      <c r="BL23" s="51"/>
      <c r="BM23" s="51"/>
      <c r="BN23" s="59"/>
      <c r="BO23" s="59"/>
      <c r="BP23" s="59"/>
      <c r="BQ23" s="59"/>
      <c r="BR23" s="51"/>
      <c r="BS23" s="51"/>
      <c r="BT23" s="51"/>
      <c r="BU23" s="59"/>
      <c r="BV23" s="59"/>
      <c r="BW23" s="59"/>
      <c r="BX23" s="59"/>
      <c r="BY23" s="51"/>
      <c r="BZ23" s="51"/>
      <c r="CA23" s="51"/>
      <c r="CB23" s="59"/>
      <c r="CC23" s="59"/>
      <c r="CD23" s="59"/>
      <c r="CE23" s="59"/>
      <c r="CF23" s="51"/>
    </row>
    <row r="24" spans="2:84">
      <c r="B24" s="93" t="s">
        <v>31</v>
      </c>
      <c r="C24" s="94">
        <v>2004</v>
      </c>
      <c r="D24" s="43"/>
      <c r="E24" s="43"/>
      <c r="F24" s="4"/>
      <c r="W24" s="51"/>
      <c r="X24" s="51"/>
      <c r="Y24" s="51"/>
      <c r="Z24" s="51"/>
      <c r="AD24" s="51"/>
      <c r="AE24" s="51"/>
      <c r="AF24" s="51"/>
      <c r="AG24" s="51"/>
      <c r="AK24" s="51"/>
      <c r="AL24" s="51"/>
      <c r="AM24" s="51"/>
      <c r="AN24" s="51"/>
      <c r="AX24" s="51"/>
      <c r="AY24" s="51"/>
      <c r="AZ24" s="51"/>
      <c r="BA24" s="51"/>
      <c r="BB24" s="59"/>
      <c r="BC24" s="59"/>
      <c r="BD24" s="51"/>
      <c r="BE24" s="51"/>
      <c r="BF24" s="141"/>
      <c r="BG24" s="64" t="s">
        <v>107</v>
      </c>
      <c r="BH24" s="51"/>
      <c r="BI24" s="59"/>
      <c r="BJ24" s="59"/>
      <c r="BK24" s="51"/>
      <c r="BL24" s="51"/>
      <c r="BN24" s="51"/>
      <c r="BO24" s="51"/>
      <c r="BP24" s="59"/>
      <c r="BQ24" s="59"/>
      <c r="BR24" s="51"/>
      <c r="BS24" s="51"/>
      <c r="BT24" s="51"/>
      <c r="BU24" s="51"/>
      <c r="BV24" s="51"/>
      <c r="BW24" s="59"/>
      <c r="BX24" s="59"/>
      <c r="BY24" s="51"/>
      <c r="BZ24" s="51"/>
      <c r="CA24" s="51"/>
      <c r="CB24" s="51"/>
      <c r="CC24" s="51"/>
      <c r="CD24" s="59"/>
      <c r="CE24" s="59"/>
      <c r="CF24" s="51"/>
    </row>
    <row r="25" spans="2:84">
      <c r="B25" s="95" t="s">
        <v>32</v>
      </c>
      <c r="C25" s="96">
        <v>2003</v>
      </c>
      <c r="D25" s="43"/>
      <c r="E25" s="43"/>
      <c r="F25" s="4"/>
      <c r="W25" s="51"/>
      <c r="X25" s="51"/>
      <c r="Y25" s="51"/>
      <c r="Z25" s="51"/>
      <c r="AD25" s="51"/>
      <c r="AE25" s="51"/>
      <c r="AF25" s="51"/>
      <c r="AG25" s="51"/>
      <c r="AK25" s="51"/>
      <c r="AL25" s="51"/>
      <c r="AM25" s="51"/>
      <c r="AN25" s="51"/>
      <c r="AX25" s="51"/>
      <c r="AY25" s="51"/>
      <c r="AZ25" s="51"/>
      <c r="BA25" s="51"/>
      <c r="BB25" s="51"/>
      <c r="BC25" s="51"/>
      <c r="BD25" s="51"/>
      <c r="BE25" s="51"/>
      <c r="BF25" s="141"/>
      <c r="BG25" s="77" t="s">
        <v>46</v>
      </c>
      <c r="BH25" s="51"/>
      <c r="BI25" s="51"/>
      <c r="BJ25" s="51"/>
      <c r="BK25" s="51"/>
      <c r="BL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</row>
    <row r="26" spans="2:84">
      <c r="B26" s="95" t="s">
        <v>33</v>
      </c>
      <c r="C26" s="96">
        <v>2002</v>
      </c>
      <c r="D26" s="43"/>
      <c r="E26" s="43"/>
      <c r="F26" s="4"/>
      <c r="AX26" s="51"/>
      <c r="AY26" s="51"/>
      <c r="AZ26" s="51"/>
      <c r="BA26" s="51"/>
      <c r="BB26" s="51"/>
      <c r="BC26" s="51"/>
      <c r="BD26" s="51"/>
      <c r="BE26" s="51"/>
      <c r="BF26" s="141"/>
      <c r="BG26" s="97" t="s">
        <v>47</v>
      </c>
      <c r="BH26" s="51"/>
      <c r="BI26" s="51"/>
      <c r="BJ26" s="51"/>
      <c r="BK26" s="51"/>
      <c r="BL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</row>
    <row r="27" spans="2:84">
      <c r="B27" s="95" t="s">
        <v>34</v>
      </c>
      <c r="C27" s="96">
        <v>2001</v>
      </c>
      <c r="D27" s="43"/>
      <c r="E27" s="43"/>
      <c r="F27" s="4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</row>
    <row r="28" spans="2:84">
      <c r="B28" s="95" t="s">
        <v>35</v>
      </c>
      <c r="C28" s="96">
        <v>2000</v>
      </c>
      <c r="D28" s="43"/>
      <c r="E28" s="43"/>
      <c r="F28" s="4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</row>
    <row r="29" spans="2:84" ht="13.5" thickBot="1">
      <c r="B29" s="98" t="s">
        <v>64</v>
      </c>
      <c r="C29" s="99">
        <v>1999</v>
      </c>
      <c r="D29" s="43"/>
      <c r="E29" s="43"/>
      <c r="AX29" s="51"/>
      <c r="AY29" s="51"/>
      <c r="AZ29" s="51"/>
      <c r="BA29" s="51"/>
      <c r="BB29" s="51"/>
      <c r="BC29" s="51"/>
      <c r="BD29" s="51"/>
      <c r="BS29" s="51"/>
      <c r="BT29" s="51"/>
      <c r="BU29" s="51"/>
      <c r="BV29" s="51"/>
      <c r="BW29" s="51"/>
      <c r="BX29" s="51"/>
      <c r="BY29" s="51"/>
    </row>
    <row r="30" spans="2:84">
      <c r="AX30" s="51"/>
      <c r="AY30" s="51"/>
      <c r="AZ30" s="51"/>
      <c r="BA30" s="51"/>
      <c r="BB30" s="51"/>
      <c r="BC30" s="51"/>
      <c r="BD30" s="51"/>
      <c r="BS30" s="51"/>
      <c r="BT30" s="51"/>
      <c r="BU30" s="51"/>
      <c r="BV30" s="51"/>
      <c r="BW30" s="51"/>
      <c r="BX30" s="51"/>
      <c r="BY30" s="51"/>
    </row>
  </sheetData>
  <sortState ref="A7:EY10">
    <sortCondition descending="1" ref="I7:I10"/>
    <sortCondition descending="1" ref="K7:K10"/>
    <sortCondition descending="1" ref="H7:H10"/>
  </sortState>
  <mergeCells count="57">
    <mergeCell ref="ER1:EX1"/>
    <mergeCell ref="ER2:EX2"/>
    <mergeCell ref="ER3:EX3"/>
    <mergeCell ref="ED1:EJ1"/>
    <mergeCell ref="ED2:EJ2"/>
    <mergeCell ref="ED3:EJ3"/>
    <mergeCell ref="EK1:EQ1"/>
    <mergeCell ref="EK2:EQ2"/>
    <mergeCell ref="EK3:EQ3"/>
    <mergeCell ref="DI3:DO3"/>
    <mergeCell ref="DP1:DV1"/>
    <mergeCell ref="DP2:DV2"/>
    <mergeCell ref="DP3:DV3"/>
    <mergeCell ref="DW1:EC1"/>
    <mergeCell ref="DW2:EC2"/>
    <mergeCell ref="DW3:EC3"/>
    <mergeCell ref="DI1:DO1"/>
    <mergeCell ref="DI2:DO2"/>
    <mergeCell ref="CU1:DA1"/>
    <mergeCell ref="CU2:DA2"/>
    <mergeCell ref="CU3:DA3"/>
    <mergeCell ref="DB1:DH1"/>
    <mergeCell ref="DB2:DH2"/>
    <mergeCell ref="DB3:DH3"/>
    <mergeCell ref="CG1:CM1"/>
    <mergeCell ref="CG2:CM2"/>
    <mergeCell ref="CG3:CM3"/>
    <mergeCell ref="CN1:CT1"/>
    <mergeCell ref="CN2:CT2"/>
    <mergeCell ref="CN3:CT3"/>
    <mergeCell ref="AX3:BD3"/>
    <mergeCell ref="BE3:BK3"/>
    <mergeCell ref="AX2:BD2"/>
    <mergeCell ref="BE2:BK2"/>
    <mergeCell ref="BL3:BR3"/>
    <mergeCell ref="BL2:BR2"/>
    <mergeCell ref="BZ1:CF1"/>
    <mergeCell ref="BZ2:CF2"/>
    <mergeCell ref="BL1:BR1"/>
    <mergeCell ref="BS1:BY1"/>
    <mergeCell ref="BZ3:CF3"/>
    <mergeCell ref="BS3:BY3"/>
    <mergeCell ref="BS2:BY2"/>
    <mergeCell ref="N1:U1"/>
    <mergeCell ref="N2:U2"/>
    <mergeCell ref="AX1:BD1"/>
    <mergeCell ref="BE1:BK1"/>
    <mergeCell ref="AK1:AQ1"/>
    <mergeCell ref="AK2:AQ2"/>
    <mergeCell ref="W1:AC1"/>
    <mergeCell ref="W2:AC2"/>
    <mergeCell ref="AR2:AT2"/>
    <mergeCell ref="AU2:AW2"/>
    <mergeCell ref="AD1:AJ1"/>
    <mergeCell ref="AD2:AJ2"/>
    <mergeCell ref="AR1:AT1"/>
    <mergeCell ref="AU1:AW1"/>
  </mergeCells>
  <phoneticPr fontId="0" type="noConversion"/>
  <pageMargins left="0.59055118110236227" right="0.59055118110236227" top="0.78740157480314965" bottom="0.78740157480314965" header="0.51181102362204722" footer="0.51181102362204722"/>
  <pageSetup scale="42" orientation="landscape" r:id="rId1"/>
  <headerFooter alignWithMargins="0">
    <oddHeader>&amp;F</oddHeader>
  </headerFooter>
  <colBreaks count="2" manualBreakCount="2">
    <brk id="29" max="30" man="1"/>
    <brk id="56" max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ET29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5703125" style="87" customWidth="1"/>
    <col min="3" max="3" width="7.7109375" style="7" customWidth="1"/>
    <col min="4" max="4" width="28.7109375" style="7" customWidth="1"/>
    <col min="5" max="5" width="7.7109375" style="7" customWidth="1"/>
    <col min="6" max="10" width="8.7109375" style="7" customWidth="1"/>
    <col min="11" max="11" width="8.7109375" style="91" customWidth="1"/>
    <col min="12" max="12" width="8.7109375" style="92" customWidth="1"/>
    <col min="13" max="17" width="8.7109375" style="7" customWidth="1"/>
    <col min="18" max="38" width="8.7109375" style="11" customWidth="1"/>
    <col min="39" max="50" width="8.7109375" style="149" customWidth="1"/>
    <col min="51" max="78" width="8.7109375" style="11" customWidth="1"/>
    <col min="79" max="16384" width="9.140625" style="87"/>
  </cols>
  <sheetData>
    <row r="1" spans="1:78" s="12" customFormat="1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38" t="s">
        <v>12</v>
      </c>
      <c r="N1" s="239"/>
      <c r="O1" s="239"/>
      <c r="P1" s="240"/>
      <c r="Q1" s="11"/>
      <c r="R1" s="253" t="s">
        <v>77</v>
      </c>
      <c r="S1" s="254"/>
      <c r="T1" s="254"/>
      <c r="U1" s="254"/>
      <c r="V1" s="260"/>
      <c r="W1" s="253" t="s">
        <v>88</v>
      </c>
      <c r="X1" s="254"/>
      <c r="Y1" s="254"/>
      <c r="Z1" s="254"/>
      <c r="AA1" s="260"/>
      <c r="AB1" s="253" t="s">
        <v>109</v>
      </c>
      <c r="AC1" s="254"/>
      <c r="AD1" s="254"/>
      <c r="AE1" s="254"/>
      <c r="AF1" s="260"/>
      <c r="AG1" s="238" t="s">
        <v>16</v>
      </c>
      <c r="AH1" s="239"/>
      <c r="AI1" s="239"/>
      <c r="AJ1" s="238" t="s">
        <v>10</v>
      </c>
      <c r="AK1" s="239"/>
      <c r="AL1" s="239"/>
      <c r="AM1" s="253"/>
      <c r="AN1" s="258"/>
      <c r="AO1" s="258"/>
      <c r="AP1" s="259"/>
      <c r="AQ1" s="238"/>
      <c r="AR1" s="239"/>
      <c r="AS1" s="239"/>
      <c r="AT1" s="240"/>
      <c r="AU1" s="238"/>
      <c r="AV1" s="239"/>
      <c r="AW1" s="239"/>
      <c r="AX1" s="240"/>
      <c r="AY1" s="238"/>
      <c r="AZ1" s="239"/>
      <c r="BA1" s="239"/>
      <c r="BB1" s="240"/>
      <c r="BC1" s="238"/>
      <c r="BD1" s="239"/>
      <c r="BE1" s="239"/>
      <c r="BF1" s="240"/>
      <c r="BG1" s="238"/>
      <c r="BH1" s="239"/>
      <c r="BI1" s="239"/>
      <c r="BJ1" s="240"/>
      <c r="BK1" s="238"/>
      <c r="BL1" s="239"/>
      <c r="BM1" s="239"/>
      <c r="BN1" s="240"/>
      <c r="BO1" s="238"/>
      <c r="BP1" s="239"/>
      <c r="BQ1" s="239"/>
      <c r="BR1" s="240"/>
      <c r="BS1" s="238"/>
      <c r="BT1" s="239"/>
      <c r="BU1" s="239"/>
      <c r="BV1" s="240"/>
      <c r="BW1" s="238"/>
      <c r="BX1" s="239"/>
      <c r="BY1" s="239"/>
      <c r="BZ1" s="240"/>
    </row>
    <row r="2" spans="1:78" s="12" customFormat="1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5">
        <v>189.9</v>
      </c>
      <c r="L2" s="145">
        <v>201</v>
      </c>
      <c r="M2" s="238" t="s">
        <v>11</v>
      </c>
      <c r="N2" s="239"/>
      <c r="O2" s="239"/>
      <c r="P2" s="240"/>
      <c r="Q2" s="11"/>
      <c r="R2" s="253" t="s">
        <v>78</v>
      </c>
      <c r="S2" s="254"/>
      <c r="T2" s="254"/>
      <c r="U2" s="254"/>
      <c r="V2" s="260"/>
      <c r="W2" s="253" t="s">
        <v>89</v>
      </c>
      <c r="X2" s="254"/>
      <c r="Y2" s="254"/>
      <c r="Z2" s="254"/>
      <c r="AA2" s="260"/>
      <c r="AB2" s="253" t="s">
        <v>110</v>
      </c>
      <c r="AC2" s="254"/>
      <c r="AD2" s="254"/>
      <c r="AE2" s="254"/>
      <c r="AF2" s="260"/>
      <c r="AG2" s="238" t="s">
        <v>17</v>
      </c>
      <c r="AH2" s="239"/>
      <c r="AI2" s="239"/>
      <c r="AJ2" s="238" t="s">
        <v>11</v>
      </c>
      <c r="AK2" s="239"/>
      <c r="AL2" s="239"/>
      <c r="AM2" s="253"/>
      <c r="AN2" s="254"/>
      <c r="AO2" s="254"/>
      <c r="AP2" s="254"/>
      <c r="AQ2" s="238"/>
      <c r="AR2" s="239"/>
      <c r="AS2" s="239"/>
      <c r="AT2" s="240"/>
      <c r="AU2" s="238"/>
      <c r="AV2" s="239"/>
      <c r="AW2" s="239"/>
      <c r="AX2" s="240"/>
      <c r="AY2" s="238"/>
      <c r="AZ2" s="239"/>
      <c r="BA2" s="239"/>
      <c r="BB2" s="240"/>
      <c r="BC2" s="238"/>
      <c r="BD2" s="239"/>
      <c r="BE2" s="239"/>
      <c r="BF2" s="240"/>
      <c r="BG2" s="238"/>
      <c r="BH2" s="239"/>
      <c r="BI2" s="239"/>
      <c r="BJ2" s="240"/>
      <c r="BK2" s="238"/>
      <c r="BL2" s="239"/>
      <c r="BM2" s="239"/>
      <c r="BN2" s="240"/>
      <c r="BO2" s="238"/>
      <c r="BP2" s="239"/>
      <c r="BQ2" s="239"/>
      <c r="BR2" s="240"/>
      <c r="BS2" s="238"/>
      <c r="BT2" s="239"/>
      <c r="BU2" s="239"/>
      <c r="BV2" s="240"/>
      <c r="BW2" s="238"/>
      <c r="BX2" s="239"/>
      <c r="BY2" s="239"/>
      <c r="BZ2" s="240"/>
    </row>
    <row r="3" spans="1:78" s="12" customFormat="1">
      <c r="A3" s="15"/>
      <c r="B3" s="2" t="s">
        <v>29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21"/>
      <c r="Q3" s="15"/>
      <c r="R3" s="146">
        <v>60.3</v>
      </c>
      <c r="S3" s="147">
        <v>63.2</v>
      </c>
      <c r="T3" s="148">
        <v>66.7</v>
      </c>
      <c r="U3" s="149"/>
      <c r="V3" s="150"/>
      <c r="W3" s="146">
        <v>60.3</v>
      </c>
      <c r="X3" s="147">
        <v>63.2</v>
      </c>
      <c r="Y3" s="148">
        <v>66.7</v>
      </c>
      <c r="Z3" s="149"/>
      <c r="AA3" s="150"/>
      <c r="AB3" s="146"/>
      <c r="AC3" s="147"/>
      <c r="AD3" s="148"/>
      <c r="AE3" s="149"/>
      <c r="AF3" s="150"/>
      <c r="AG3" s="112"/>
      <c r="AH3" s="11"/>
      <c r="AI3" s="11"/>
      <c r="AJ3" s="112"/>
      <c r="AK3" s="11"/>
      <c r="AL3" s="11"/>
      <c r="AM3" s="255"/>
      <c r="AN3" s="256"/>
      <c r="AO3" s="256"/>
      <c r="AP3" s="257"/>
      <c r="AQ3" s="250"/>
      <c r="AR3" s="251"/>
      <c r="AS3" s="251"/>
      <c r="AT3" s="252"/>
      <c r="AU3" s="250"/>
      <c r="AV3" s="251"/>
      <c r="AW3" s="251"/>
      <c r="AX3" s="252"/>
      <c r="AY3" s="112"/>
      <c r="AZ3" s="11"/>
      <c r="BA3" s="11"/>
      <c r="BB3" s="110"/>
      <c r="BC3" s="112"/>
      <c r="BD3" s="11"/>
      <c r="BE3" s="11"/>
      <c r="BF3" s="110"/>
      <c r="BG3" s="112"/>
      <c r="BH3" s="11"/>
      <c r="BI3" s="11"/>
      <c r="BJ3" s="110"/>
      <c r="BK3" s="112"/>
      <c r="BL3" s="11"/>
      <c r="BM3" s="11"/>
      <c r="BN3" s="110"/>
      <c r="BO3" s="112"/>
      <c r="BP3" s="11"/>
      <c r="BQ3" s="11"/>
      <c r="BR3" s="110"/>
      <c r="BS3" s="112"/>
      <c r="BT3" s="11"/>
      <c r="BU3" s="11"/>
      <c r="BV3" s="110"/>
      <c r="BW3" s="112"/>
      <c r="BX3" s="11"/>
      <c r="BY3" s="11"/>
      <c r="BZ3" s="110"/>
    </row>
    <row r="4" spans="1:78" s="12" customFormat="1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51" t="s">
        <v>30</v>
      </c>
      <c r="S4" s="152" t="s">
        <v>9</v>
      </c>
      <c r="T4" s="153" t="s">
        <v>14</v>
      </c>
      <c r="U4" s="149"/>
      <c r="V4" s="149"/>
      <c r="W4" s="151" t="s">
        <v>30</v>
      </c>
      <c r="X4" s="152" t="s">
        <v>9</v>
      </c>
      <c r="Y4" s="153" t="s">
        <v>14</v>
      </c>
      <c r="Z4" s="149"/>
      <c r="AA4" s="149"/>
      <c r="AB4" s="151" t="s">
        <v>30</v>
      </c>
      <c r="AC4" s="152" t="s">
        <v>9</v>
      </c>
      <c r="AD4" s="153" t="s">
        <v>14</v>
      </c>
      <c r="AE4" s="149"/>
      <c r="AF4" s="149"/>
      <c r="AG4" s="112" t="s">
        <v>4</v>
      </c>
      <c r="AH4" s="15" t="s">
        <v>4</v>
      </c>
      <c r="AI4" s="11" t="s">
        <v>4</v>
      </c>
      <c r="AJ4" s="112" t="s">
        <v>4</v>
      </c>
      <c r="AK4" s="15" t="s">
        <v>4</v>
      </c>
      <c r="AL4" s="11" t="s">
        <v>4</v>
      </c>
      <c r="AM4" s="154"/>
      <c r="AN4" s="149"/>
      <c r="AO4" s="149"/>
      <c r="AP4" s="150"/>
      <c r="AQ4" s="112"/>
      <c r="AR4" s="11"/>
      <c r="AS4" s="11"/>
      <c r="AT4" s="110"/>
      <c r="AU4" s="112"/>
      <c r="AV4" s="11"/>
      <c r="AW4" s="11"/>
      <c r="AX4" s="110"/>
      <c r="AY4" s="112"/>
      <c r="AZ4" s="11"/>
      <c r="BA4" s="11"/>
      <c r="BB4" s="110"/>
      <c r="BC4" s="112"/>
      <c r="BD4" s="11"/>
      <c r="BE4" s="11"/>
      <c r="BF4" s="110"/>
      <c r="BG4" s="112"/>
      <c r="BH4" s="11"/>
      <c r="BI4" s="11"/>
      <c r="BJ4" s="110"/>
      <c r="BK4" s="112"/>
      <c r="BL4" s="11"/>
      <c r="BM4" s="11"/>
      <c r="BN4" s="110"/>
      <c r="BO4" s="112"/>
      <c r="BP4" s="11"/>
      <c r="BQ4" s="11"/>
      <c r="BR4" s="110"/>
      <c r="BS4" s="112"/>
      <c r="BT4" s="11"/>
      <c r="BU4" s="11"/>
      <c r="BV4" s="110"/>
      <c r="BW4" s="112"/>
      <c r="BX4" s="11"/>
      <c r="BY4" s="11"/>
      <c r="BZ4" s="110"/>
    </row>
    <row r="5" spans="1:78" s="12" customFormat="1">
      <c r="A5" s="15"/>
      <c r="B5" s="35" t="str">
        <f>'TRA-M'!A1</f>
        <v>MAY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42">
        <v>11.3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154" t="s">
        <v>0</v>
      </c>
      <c r="S5" s="149" t="s">
        <v>1</v>
      </c>
      <c r="T5" s="149" t="s">
        <v>2</v>
      </c>
      <c r="U5" s="149" t="s">
        <v>3</v>
      </c>
      <c r="V5" s="155" t="s">
        <v>42</v>
      </c>
      <c r="W5" s="154" t="s">
        <v>0</v>
      </c>
      <c r="X5" s="149" t="s">
        <v>1</v>
      </c>
      <c r="Y5" s="149" t="s">
        <v>2</v>
      </c>
      <c r="Z5" s="149" t="s">
        <v>3</v>
      </c>
      <c r="AA5" s="155" t="s">
        <v>42</v>
      </c>
      <c r="AB5" s="154" t="s">
        <v>0</v>
      </c>
      <c r="AC5" s="149" t="s">
        <v>1</v>
      </c>
      <c r="AD5" s="149" t="s">
        <v>2</v>
      </c>
      <c r="AE5" s="149" t="s">
        <v>3</v>
      </c>
      <c r="AF5" s="155" t="s">
        <v>42</v>
      </c>
      <c r="AG5" s="112" t="s">
        <v>0</v>
      </c>
      <c r="AH5" s="15" t="s">
        <v>6</v>
      </c>
      <c r="AI5" s="11" t="s">
        <v>3</v>
      </c>
      <c r="AJ5" s="112" t="s">
        <v>0</v>
      </c>
      <c r="AK5" s="15" t="s">
        <v>6</v>
      </c>
      <c r="AL5" s="11" t="s">
        <v>3</v>
      </c>
      <c r="AM5" s="154" t="s">
        <v>0</v>
      </c>
      <c r="AN5" s="149" t="s">
        <v>1</v>
      </c>
      <c r="AO5" s="149" t="s">
        <v>2</v>
      </c>
      <c r="AP5" s="150" t="s">
        <v>3</v>
      </c>
      <c r="AQ5" s="112" t="s">
        <v>0</v>
      </c>
      <c r="AR5" s="11" t="s">
        <v>1</v>
      </c>
      <c r="AS5" s="11" t="s">
        <v>2</v>
      </c>
      <c r="AT5" s="110" t="s">
        <v>3</v>
      </c>
      <c r="AU5" s="112" t="s">
        <v>0</v>
      </c>
      <c r="AV5" s="11" t="s">
        <v>1</v>
      </c>
      <c r="AW5" s="11" t="s">
        <v>2</v>
      </c>
      <c r="AX5" s="110" t="s">
        <v>3</v>
      </c>
      <c r="AY5" s="112"/>
      <c r="AZ5" s="11"/>
      <c r="BA5" s="11"/>
      <c r="BB5" s="110"/>
      <c r="BC5" s="112"/>
      <c r="BD5" s="11"/>
      <c r="BE5" s="11"/>
      <c r="BF5" s="110"/>
      <c r="BG5" s="112"/>
      <c r="BH5" s="11"/>
      <c r="BI5" s="11"/>
      <c r="BJ5" s="110"/>
      <c r="BK5" s="112"/>
      <c r="BL5" s="11"/>
      <c r="BM5" s="11"/>
      <c r="BN5" s="110"/>
      <c r="BO5" s="112"/>
      <c r="BP5" s="11"/>
      <c r="BQ5" s="11"/>
      <c r="BR5" s="110"/>
      <c r="BS5" s="112"/>
      <c r="BT5" s="11"/>
      <c r="BU5" s="11"/>
      <c r="BV5" s="110"/>
      <c r="BW5" s="112"/>
      <c r="BX5" s="11"/>
      <c r="BY5" s="11"/>
      <c r="BZ5" s="110"/>
    </row>
    <row r="6" spans="1:78" s="12" customFormat="1">
      <c r="A6" s="15"/>
      <c r="B6" s="129"/>
      <c r="C6" s="130"/>
      <c r="D6" s="130"/>
      <c r="E6" s="130"/>
      <c r="F6" s="130"/>
      <c r="G6" s="130"/>
      <c r="H6" s="20"/>
      <c r="I6" s="7"/>
      <c r="J6" s="30"/>
      <c r="K6" s="8"/>
      <c r="L6" s="9"/>
      <c r="M6" s="20"/>
      <c r="N6" s="7"/>
      <c r="O6" s="7"/>
      <c r="P6" s="21"/>
      <c r="Q6" s="15"/>
      <c r="R6" s="154"/>
      <c r="S6" s="149"/>
      <c r="T6" s="149"/>
      <c r="U6" s="149"/>
      <c r="V6" s="149"/>
      <c r="W6" s="154"/>
      <c r="X6" s="149"/>
      <c r="Y6" s="149"/>
      <c r="Z6" s="149"/>
      <c r="AA6" s="149"/>
      <c r="AB6" s="154"/>
      <c r="AC6" s="149"/>
      <c r="AD6" s="149"/>
      <c r="AE6" s="149"/>
      <c r="AF6" s="149"/>
      <c r="AG6" s="112"/>
      <c r="AH6" s="11"/>
      <c r="AI6" s="11"/>
      <c r="AJ6" s="112"/>
      <c r="AK6" s="11"/>
      <c r="AL6" s="11"/>
      <c r="AM6" s="154"/>
      <c r="AN6" s="149"/>
      <c r="AO6" s="149"/>
      <c r="AP6" s="150"/>
      <c r="AQ6" s="112"/>
      <c r="AR6" s="11"/>
      <c r="AS6" s="11"/>
      <c r="AT6" s="110"/>
      <c r="AU6" s="112"/>
      <c r="AV6" s="11"/>
      <c r="AW6" s="11"/>
      <c r="AX6" s="110"/>
      <c r="AY6" s="112"/>
      <c r="AZ6" s="11"/>
      <c r="BA6" s="11"/>
      <c r="BB6" s="110"/>
      <c r="BC6" s="112"/>
      <c r="BD6" s="11"/>
      <c r="BE6" s="11"/>
      <c r="BF6" s="110"/>
      <c r="BG6" s="112"/>
      <c r="BH6" s="11"/>
      <c r="BI6" s="11"/>
      <c r="BJ6" s="110"/>
      <c r="BK6" s="112"/>
      <c r="BL6" s="11"/>
      <c r="BM6" s="11"/>
      <c r="BN6" s="110"/>
      <c r="BO6" s="112"/>
      <c r="BP6" s="11"/>
      <c r="BQ6" s="11"/>
      <c r="BR6" s="110"/>
      <c r="BS6" s="112"/>
      <c r="BT6" s="11"/>
      <c r="BU6" s="11"/>
      <c r="BV6" s="110"/>
      <c r="BW6" s="112"/>
      <c r="BX6" s="11"/>
      <c r="BY6" s="11"/>
      <c r="BZ6" s="110"/>
    </row>
    <row r="7" spans="1:78" s="70" customFormat="1">
      <c r="A7" s="15">
        <v>1</v>
      </c>
      <c r="B7" s="61" t="s">
        <v>85</v>
      </c>
      <c r="C7" s="62" t="s">
        <v>24</v>
      </c>
      <c r="D7" s="42" t="s">
        <v>53</v>
      </c>
      <c r="E7" s="43" t="s">
        <v>65</v>
      </c>
      <c r="F7" s="43">
        <v>2016</v>
      </c>
      <c r="G7" s="43">
        <v>2000</v>
      </c>
      <c r="H7" s="156">
        <f t="shared" ref="H7:H10" si="0">IF(Q7="",SUM(M7:P7),SUM(M7:Q7))</f>
        <v>191.8</v>
      </c>
      <c r="I7" s="157" t="s">
        <v>50</v>
      </c>
      <c r="J7" s="46" t="str">
        <f>IF('TRA-M'!$A$2-F7&lt;=1,IF(T7&gt;=$R$3,"YES",IF(Y7&gt;=$W$3,"YES",IF(AD7&gt;=$AB$3,"YES",""))),"")</f>
        <v>YES</v>
      </c>
      <c r="K7" s="47" t="str">
        <f t="shared" ref="K7:K10" si="1">IF(T7&gt;=$S$3,IF(I7="YES","YES",""),IF(Y7&gt;=$X$3,IF(I7="YES","YES",""),IF(AD7&gt;=$AC$3,IF(I7="YES","YES",""),"")))</f>
        <v>YES</v>
      </c>
      <c r="L7" s="48" t="str">
        <f t="shared" ref="L7:L10" si="2">IF(T7&gt;=$T$3,IF(I7="YES","YES",""),IF(Y7&gt;=$Y$3,IF(I7="YES","YES",""),IF(AD7&gt;=$AD$3,IF(I7="YES","YES",""),"")))</f>
        <v>YES</v>
      </c>
      <c r="M7" s="112">
        <f t="shared" ref="M7:M10" si="3">MAX($AD7,$Y7,$T7)</f>
        <v>64.900000000000006</v>
      </c>
      <c r="N7" s="11">
        <f t="shared" ref="N7:N10" si="4">IF($M7=$AD7,MAX($W7,$R7),IF($M7=$Y7,MAX($AB7,$R7),MAX($AB7,$W7)))</f>
        <v>30.8</v>
      </c>
      <c r="O7" s="11">
        <f t="shared" ref="O7:O10" si="5">IF($M7=$AD7,MAX($X7,$S7),IF($M7=$Y7,MAX($AC7,$S7),MAX($AC7,$X7)))</f>
        <v>31.6</v>
      </c>
      <c r="P7" s="110">
        <f t="shared" ref="P7:P10" si="6">MAX($AE7,$Z7,$U7)</f>
        <v>64.5</v>
      </c>
      <c r="Q7" s="89" t="str">
        <f t="shared" ref="Q7:Q10" si="7">IF(MAX(AG7:AI7)&lt;=0,"",MAX(AG7:AI7))</f>
        <v/>
      </c>
      <c r="R7" s="154">
        <v>30.8</v>
      </c>
      <c r="S7" s="158">
        <v>31.1</v>
      </c>
      <c r="T7" s="155">
        <f t="shared" ref="T7:T10" si="8">+R7+S7</f>
        <v>61.900000000000006</v>
      </c>
      <c r="U7" s="149">
        <f>31.5+31.2</f>
        <v>62.7</v>
      </c>
      <c r="V7" s="159">
        <v>1</v>
      </c>
      <c r="W7" s="154">
        <v>32.1</v>
      </c>
      <c r="X7" s="158">
        <v>32.799999999999997</v>
      </c>
      <c r="Y7" s="160">
        <f t="shared" ref="Y7:Y10" si="9">+W7+X7</f>
        <v>64.900000000000006</v>
      </c>
      <c r="Z7" s="149">
        <f>31.2+33.3</f>
        <v>64.5</v>
      </c>
      <c r="AA7" s="159">
        <v>1</v>
      </c>
      <c r="AB7" s="154">
        <v>28.3</v>
      </c>
      <c r="AC7" s="158">
        <v>31.6</v>
      </c>
      <c r="AD7" s="155">
        <f t="shared" ref="AD7:AD10" si="10">+AB7+AC7</f>
        <v>59.900000000000006</v>
      </c>
      <c r="AE7" s="167">
        <f>30.9+32.8</f>
        <v>63.699999999999996</v>
      </c>
      <c r="AF7" s="159">
        <v>1</v>
      </c>
      <c r="AG7" s="161" t="str">
        <f t="shared" ref="AG7:AI10" si="11">IF(AJ7="","",AJ7-N7)</f>
        <v/>
      </c>
      <c r="AH7" s="162" t="str">
        <f t="shared" si="11"/>
        <v/>
      </c>
      <c r="AI7" s="162" t="str">
        <f t="shared" si="11"/>
        <v/>
      </c>
      <c r="AJ7" s="112" t="str">
        <f t="shared" ref="AJ7:AJ10" si="12">IF(MAX($AM7,$AQ7,$AU7,$AY7,$BC7,$BG7,$BK7,$BO7,$BS7,$BW7)=0,"",MAX($AM7,$AQ7,$AU7,$AY7,$BC7,$BG7,$BK7,$BO7,$BS7,$BW7))</f>
        <v/>
      </c>
      <c r="AK7" s="11" t="str">
        <f t="shared" ref="AK7:AK10" si="13">IF(MAX($AN7,$AR7,$AV7,$AZ7,$BD7,$BH7,$BL7,$BP7,$BT7,$BX7)=0,"",MAX($AN7,$AR7,$AV7,$AZ7,$BD7,$BH7,$BL7,$BP7,$BT7,$BX7))</f>
        <v/>
      </c>
      <c r="AL7" s="11" t="str">
        <f t="shared" ref="AL7:AL10" si="14">IF(MAX($AP7,$AT7,$AX7,$BB7,$BF7,$BJ7,$BN7,$BR7,$BV7,$BZ7)=0,"",MAX($AP7,$AT7,$AX7,$BB7,$BF7,$BJ7,$BN7,$BR7,$BV7,$BZ7))</f>
        <v/>
      </c>
      <c r="AM7" s="154"/>
      <c r="AN7" s="149"/>
      <c r="AO7" s="163"/>
      <c r="AP7" s="150"/>
      <c r="AQ7" s="154"/>
      <c r="AR7" s="149"/>
      <c r="AS7" s="163"/>
      <c r="AT7" s="150"/>
      <c r="AU7" s="154"/>
      <c r="AV7" s="149"/>
      <c r="AW7" s="163" t="str">
        <f t="shared" ref="AW7:AW10" si="15">IF(AU7&lt;&gt;"",AU7+AV7,"")</f>
        <v/>
      </c>
      <c r="AX7" s="150"/>
      <c r="AY7" s="11"/>
      <c r="AZ7" s="11"/>
      <c r="BA7" s="11"/>
      <c r="BB7" s="150"/>
      <c r="BC7" s="11"/>
      <c r="BD7" s="11"/>
      <c r="BE7" s="11"/>
      <c r="BF7" s="150"/>
      <c r="BG7" s="11"/>
      <c r="BH7" s="11"/>
      <c r="BI7" s="11"/>
      <c r="BJ7" s="150"/>
      <c r="BK7" s="164"/>
      <c r="BL7" s="164"/>
      <c r="BM7" s="11"/>
      <c r="BN7" s="150"/>
      <c r="BO7" s="11"/>
      <c r="BP7" s="11"/>
      <c r="BQ7" s="11"/>
      <c r="BR7" s="150"/>
      <c r="BS7" s="11"/>
      <c r="BT7" s="11"/>
      <c r="BU7" s="11"/>
      <c r="BV7" s="150"/>
      <c r="BW7" s="11"/>
      <c r="BX7" s="11"/>
      <c r="BY7" s="11"/>
      <c r="BZ7" s="150"/>
    </row>
    <row r="8" spans="1:78" s="70" customFormat="1">
      <c r="A8" s="165"/>
      <c r="B8" s="80" t="s">
        <v>99</v>
      </c>
      <c r="C8" s="81" t="s">
        <v>27</v>
      </c>
      <c r="D8" s="178" t="s">
        <v>102</v>
      </c>
      <c r="E8" s="43" t="s">
        <v>65</v>
      </c>
      <c r="F8" s="43">
        <v>2016</v>
      </c>
      <c r="G8" s="43">
        <v>2000</v>
      </c>
      <c r="H8" s="156">
        <f t="shared" si="0"/>
        <v>119.4</v>
      </c>
      <c r="I8" s="160" t="s">
        <v>50</v>
      </c>
      <c r="J8" s="46" t="str">
        <f>IF('TRA-M'!$A$2-F8&lt;=1,IF(T8&gt;=$R$3,"YES",IF(Y8&gt;=$W$3,"YES",IF(AD8&gt;=$AB$3,"YES",""))),"")</f>
        <v>YES</v>
      </c>
      <c r="K8" s="47" t="str">
        <f t="shared" si="1"/>
        <v>YES</v>
      </c>
      <c r="L8" s="48" t="str">
        <f t="shared" si="2"/>
        <v>YES</v>
      </c>
      <c r="M8" s="112">
        <f t="shared" si="3"/>
        <v>56.6</v>
      </c>
      <c r="N8" s="11">
        <f t="shared" si="4"/>
        <v>0</v>
      </c>
      <c r="O8" s="11">
        <f t="shared" si="5"/>
        <v>0</v>
      </c>
      <c r="P8" s="110">
        <f t="shared" si="6"/>
        <v>62.8</v>
      </c>
      <c r="Q8" s="89" t="str">
        <f t="shared" si="7"/>
        <v/>
      </c>
      <c r="R8" s="154"/>
      <c r="S8" s="158"/>
      <c r="T8" s="155">
        <f t="shared" si="8"/>
        <v>0</v>
      </c>
      <c r="U8" s="149"/>
      <c r="V8" s="159"/>
      <c r="W8" s="154">
        <v>30.1</v>
      </c>
      <c r="X8" s="166">
        <v>26.5</v>
      </c>
      <c r="Y8" s="155">
        <f t="shared" si="9"/>
        <v>56.6</v>
      </c>
      <c r="Z8" s="167">
        <f>31.9+30.9</f>
        <v>62.8</v>
      </c>
      <c r="AA8" s="159">
        <v>3</v>
      </c>
      <c r="AB8" s="154"/>
      <c r="AC8" s="158"/>
      <c r="AD8" s="155">
        <f t="shared" si="10"/>
        <v>0</v>
      </c>
      <c r="AE8" s="149"/>
      <c r="AF8" s="159"/>
      <c r="AG8" s="161" t="str">
        <f t="shared" si="11"/>
        <v/>
      </c>
      <c r="AH8" s="162" t="str">
        <f t="shared" si="11"/>
        <v/>
      </c>
      <c r="AI8" s="162" t="str">
        <f t="shared" si="11"/>
        <v/>
      </c>
      <c r="AJ8" s="112" t="str">
        <f t="shared" si="12"/>
        <v/>
      </c>
      <c r="AK8" s="11" t="str">
        <f t="shared" si="13"/>
        <v/>
      </c>
      <c r="AL8" s="11" t="str">
        <f t="shared" si="14"/>
        <v/>
      </c>
      <c r="AM8" s="154"/>
      <c r="AN8" s="149"/>
      <c r="AO8" s="163" t="str">
        <f t="shared" ref="AO8:AO10" si="16">IF(AM8&lt;&gt;"",AM8+AN8,"")</f>
        <v/>
      </c>
      <c r="AP8" s="150"/>
      <c r="AQ8" s="154"/>
      <c r="AR8" s="149"/>
      <c r="AS8" s="163"/>
      <c r="AT8" s="150"/>
      <c r="AU8" s="154"/>
      <c r="AV8" s="149"/>
      <c r="AW8" s="163" t="str">
        <f t="shared" si="15"/>
        <v/>
      </c>
      <c r="AX8" s="150"/>
      <c r="AY8" s="11"/>
      <c r="AZ8" s="11"/>
      <c r="BA8" s="11"/>
      <c r="BB8" s="150"/>
      <c r="BC8" s="11"/>
      <c r="BD8" s="11"/>
      <c r="BE8" s="11"/>
      <c r="BF8" s="150"/>
      <c r="BG8" s="11"/>
      <c r="BH8" s="11"/>
      <c r="BI8" s="11"/>
      <c r="BJ8" s="150"/>
      <c r="BK8" s="164"/>
      <c r="BL8" s="164"/>
      <c r="BM8" s="11"/>
      <c r="BN8" s="150"/>
      <c r="BO8" s="11"/>
      <c r="BP8" s="11"/>
      <c r="BQ8" s="11"/>
      <c r="BR8" s="150"/>
      <c r="BS8" s="11"/>
      <c r="BT8" s="11"/>
      <c r="BU8" s="11"/>
      <c r="BV8" s="150"/>
      <c r="BW8" s="11"/>
      <c r="BX8" s="11"/>
      <c r="BY8" s="11"/>
      <c r="BZ8" s="150"/>
    </row>
    <row r="9" spans="1:78" s="70" customFormat="1">
      <c r="A9" s="165"/>
      <c r="B9" s="70" t="s">
        <v>135</v>
      </c>
      <c r="C9" s="43" t="s">
        <v>24</v>
      </c>
      <c r="D9" s="42" t="s">
        <v>136</v>
      </c>
      <c r="E9" s="43" t="s">
        <v>65</v>
      </c>
      <c r="F9" s="43">
        <v>2013</v>
      </c>
      <c r="G9" s="132">
        <v>1996</v>
      </c>
      <c r="H9" s="156">
        <f t="shared" si="0"/>
        <v>113.69999999999999</v>
      </c>
      <c r="I9" s="160"/>
      <c r="J9" s="46" t="str">
        <f>IF('TRA-M'!$A$2-F9&lt;=1,IF(T9&gt;=$R$3,"YES",IF(Y9&gt;=$W$3,"YES",IF(AD9&gt;=$AB$3,"YES",""))),"")</f>
        <v/>
      </c>
      <c r="K9" s="47" t="str">
        <f t="shared" si="1"/>
        <v/>
      </c>
      <c r="L9" s="48" t="str">
        <f t="shared" si="2"/>
        <v/>
      </c>
      <c r="M9" s="112">
        <f t="shared" si="3"/>
        <v>54.099999999999994</v>
      </c>
      <c r="N9" s="11">
        <f t="shared" si="4"/>
        <v>0</v>
      </c>
      <c r="O9" s="11">
        <f t="shared" si="5"/>
        <v>0</v>
      </c>
      <c r="P9" s="110">
        <f t="shared" si="6"/>
        <v>59.599999999999994</v>
      </c>
      <c r="Q9" s="89" t="str">
        <f t="shared" si="7"/>
        <v/>
      </c>
      <c r="R9" s="154"/>
      <c r="S9" s="158"/>
      <c r="T9" s="155">
        <f t="shared" si="8"/>
        <v>0</v>
      </c>
      <c r="U9" s="149"/>
      <c r="V9" s="159"/>
      <c r="W9" s="154"/>
      <c r="X9" s="158"/>
      <c r="Y9" s="155">
        <f t="shared" si="9"/>
        <v>0</v>
      </c>
      <c r="Z9" s="149"/>
      <c r="AA9" s="159"/>
      <c r="AB9" s="154">
        <v>28.4</v>
      </c>
      <c r="AC9" s="158">
        <v>25.7</v>
      </c>
      <c r="AD9" s="155">
        <f t="shared" si="10"/>
        <v>54.099999999999994</v>
      </c>
      <c r="AE9" s="149">
        <f>29.7+29.9</f>
        <v>59.599999999999994</v>
      </c>
      <c r="AF9" s="159">
        <v>4</v>
      </c>
      <c r="AG9" s="161" t="str">
        <f t="shared" si="11"/>
        <v/>
      </c>
      <c r="AH9" s="162" t="str">
        <f t="shared" si="11"/>
        <v/>
      </c>
      <c r="AI9" s="162" t="str">
        <f t="shared" si="11"/>
        <v/>
      </c>
      <c r="AJ9" s="112" t="str">
        <f t="shared" si="12"/>
        <v/>
      </c>
      <c r="AK9" s="11" t="str">
        <f t="shared" si="13"/>
        <v/>
      </c>
      <c r="AL9" s="11" t="str">
        <f t="shared" si="14"/>
        <v/>
      </c>
      <c r="AM9" s="154"/>
      <c r="AN9" s="149"/>
      <c r="AO9" s="163" t="str">
        <f t="shared" si="16"/>
        <v/>
      </c>
      <c r="AP9" s="150"/>
      <c r="AQ9" s="154"/>
      <c r="AR9" s="149"/>
      <c r="AS9" s="163"/>
      <c r="AT9" s="150"/>
      <c r="AU9" s="154"/>
      <c r="AV9" s="149"/>
      <c r="AW9" s="163" t="str">
        <f t="shared" si="15"/>
        <v/>
      </c>
      <c r="AX9" s="150"/>
      <c r="AY9" s="11"/>
      <c r="AZ9" s="11"/>
      <c r="BA9" s="11"/>
      <c r="BB9" s="150"/>
      <c r="BC9" s="11"/>
      <c r="BD9" s="11"/>
      <c r="BE9" s="11"/>
      <c r="BF9" s="150"/>
      <c r="BG9" s="11"/>
      <c r="BH9" s="11"/>
      <c r="BI9" s="11"/>
      <c r="BJ9" s="150"/>
      <c r="BK9" s="164"/>
      <c r="BL9" s="164"/>
      <c r="BM9" s="11"/>
      <c r="BN9" s="150"/>
      <c r="BO9" s="11"/>
      <c r="BP9" s="11"/>
      <c r="BQ9" s="11"/>
      <c r="BR9" s="150"/>
      <c r="BS9" s="11"/>
      <c r="BT9" s="11"/>
      <c r="BU9" s="11"/>
      <c r="BV9" s="150"/>
      <c r="BW9" s="11"/>
      <c r="BX9" s="11"/>
      <c r="BY9" s="11"/>
      <c r="BZ9" s="150"/>
    </row>
    <row r="10" spans="1:78" s="70" customFormat="1">
      <c r="A10" s="168"/>
      <c r="B10" s="70" t="s">
        <v>100</v>
      </c>
      <c r="C10" s="43" t="s">
        <v>27</v>
      </c>
      <c r="D10" s="42" t="s">
        <v>101</v>
      </c>
      <c r="E10" s="43" t="s">
        <v>65</v>
      </c>
      <c r="F10" s="43">
        <v>2016</v>
      </c>
      <c r="G10" s="132">
        <v>1997</v>
      </c>
      <c r="H10" s="156">
        <f t="shared" si="0"/>
        <v>180.1</v>
      </c>
      <c r="I10" s="157"/>
      <c r="J10" s="46" t="str">
        <f>IF('TRA-M'!$A$2-F10&lt;=1,IF(T10&gt;=$R$3,"YES",IF(Y10&gt;=$W$3,"YES",IF(AD10&gt;=$AB$3,"YES",""))),"")</f>
        <v>YES</v>
      </c>
      <c r="K10" s="47" t="str">
        <f t="shared" si="1"/>
        <v/>
      </c>
      <c r="L10" s="48" t="str">
        <f t="shared" si="2"/>
        <v/>
      </c>
      <c r="M10" s="112">
        <f t="shared" si="3"/>
        <v>60.2</v>
      </c>
      <c r="N10" s="11">
        <f t="shared" si="4"/>
        <v>26.2</v>
      </c>
      <c r="O10" s="11">
        <f t="shared" si="5"/>
        <v>31.8</v>
      </c>
      <c r="P10" s="110">
        <f t="shared" si="6"/>
        <v>61.9</v>
      </c>
      <c r="Q10" s="89" t="str">
        <f t="shared" si="7"/>
        <v/>
      </c>
      <c r="R10" s="169">
        <v>26.2</v>
      </c>
      <c r="S10" s="170">
        <v>30.2</v>
      </c>
      <c r="T10" s="171">
        <f t="shared" si="8"/>
        <v>56.4</v>
      </c>
      <c r="U10" s="172">
        <f>30.3+30.6</f>
        <v>60.900000000000006</v>
      </c>
      <c r="V10" s="173"/>
      <c r="W10" s="174">
        <v>23.8</v>
      </c>
      <c r="X10" s="158">
        <v>31.8</v>
      </c>
      <c r="Y10" s="155">
        <f t="shared" si="9"/>
        <v>55.6</v>
      </c>
      <c r="Z10" s="149">
        <f>30.4+31.5</f>
        <v>61.9</v>
      </c>
      <c r="AA10" s="159">
        <v>4</v>
      </c>
      <c r="AB10" s="154">
        <v>29.8</v>
      </c>
      <c r="AC10" s="158">
        <v>30.4</v>
      </c>
      <c r="AD10" s="155">
        <f t="shared" si="10"/>
        <v>60.2</v>
      </c>
      <c r="AE10" s="149">
        <f>29.1+32.2</f>
        <v>61.300000000000004</v>
      </c>
      <c r="AF10" s="159">
        <v>2</v>
      </c>
      <c r="AG10" s="161" t="str">
        <f t="shared" si="11"/>
        <v/>
      </c>
      <c r="AH10" s="162" t="str">
        <f t="shared" si="11"/>
        <v/>
      </c>
      <c r="AI10" s="162" t="str">
        <f t="shared" si="11"/>
        <v/>
      </c>
      <c r="AJ10" s="112" t="str">
        <f t="shared" si="12"/>
        <v/>
      </c>
      <c r="AK10" s="11" t="str">
        <f t="shared" si="13"/>
        <v/>
      </c>
      <c r="AL10" s="11" t="str">
        <f t="shared" si="14"/>
        <v/>
      </c>
      <c r="AM10" s="154"/>
      <c r="AN10" s="149"/>
      <c r="AO10" s="163" t="str">
        <f t="shared" si="16"/>
        <v/>
      </c>
      <c r="AP10" s="150"/>
      <c r="AQ10" s="154"/>
      <c r="AR10" s="149"/>
      <c r="AS10" s="163"/>
      <c r="AT10" s="150"/>
      <c r="AU10" s="154"/>
      <c r="AV10" s="149"/>
      <c r="AW10" s="163" t="str">
        <f t="shared" si="15"/>
        <v/>
      </c>
      <c r="AX10" s="150"/>
      <c r="AY10" s="11"/>
      <c r="AZ10" s="11"/>
      <c r="BA10" s="11"/>
      <c r="BB10" s="150"/>
      <c r="BC10" s="11"/>
      <c r="BD10" s="11"/>
      <c r="BE10" s="11"/>
      <c r="BF10" s="150"/>
      <c r="BG10" s="11"/>
      <c r="BH10" s="11"/>
      <c r="BI10" s="11"/>
      <c r="BJ10" s="150"/>
      <c r="BK10" s="164"/>
      <c r="BL10" s="164"/>
      <c r="BM10" s="11"/>
      <c r="BN10" s="150"/>
      <c r="BO10" s="11"/>
      <c r="BP10" s="11"/>
      <c r="BQ10" s="11"/>
      <c r="BR10" s="150"/>
      <c r="BS10" s="11"/>
      <c r="BT10" s="11"/>
      <c r="BU10" s="11"/>
      <c r="BV10" s="150"/>
      <c r="BW10" s="11"/>
      <c r="BX10" s="11"/>
      <c r="BY10" s="11"/>
      <c r="BZ10" s="150"/>
    </row>
    <row r="11" spans="1:78"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</row>
    <row r="12" spans="1:78"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</row>
    <row r="13" spans="1:78"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</row>
    <row r="14" spans="1:78"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</row>
    <row r="15" spans="1:78"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</row>
    <row r="16" spans="1:78"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</row>
    <row r="17" spans="2:150"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</row>
    <row r="18" spans="2:150">
      <c r="B18" s="88" t="s">
        <v>45</v>
      </c>
    </row>
    <row r="19" spans="2:150">
      <c r="B19" s="90" t="s">
        <v>68</v>
      </c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</row>
    <row r="20" spans="2:150">
      <c r="B20" s="175" t="s">
        <v>124</v>
      </c>
      <c r="C20" s="102"/>
      <c r="D20" s="102"/>
      <c r="E20" s="102"/>
      <c r="F20" s="102"/>
      <c r="G20" s="102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</row>
    <row r="21" spans="2:150">
      <c r="B21" s="87" t="s">
        <v>141</v>
      </c>
    </row>
    <row r="22" spans="2:150">
      <c r="B22" s="87" t="s">
        <v>152</v>
      </c>
      <c r="C22" s="43"/>
      <c r="D22" s="43"/>
      <c r="E22" s="43"/>
      <c r="F22" s="4"/>
      <c r="H22" s="27"/>
      <c r="M22" s="86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2:150" ht="13.5" thickBot="1"/>
    <row r="24" spans="2:150">
      <c r="B24" s="93" t="s">
        <v>31</v>
      </c>
      <c r="C24" s="94">
        <v>2004</v>
      </c>
      <c r="D24" s="43"/>
      <c r="E24" s="43"/>
      <c r="AN24" s="51"/>
    </row>
    <row r="25" spans="2:150">
      <c r="B25" s="95" t="s">
        <v>32</v>
      </c>
      <c r="C25" s="96">
        <v>2003</v>
      </c>
      <c r="D25" s="43"/>
      <c r="E25" s="43"/>
      <c r="AN25" s="51"/>
    </row>
    <row r="26" spans="2:150">
      <c r="B26" s="95" t="s">
        <v>33</v>
      </c>
      <c r="C26" s="96">
        <v>2002</v>
      </c>
      <c r="D26" s="43"/>
      <c r="E26" s="43"/>
      <c r="AN26" s="51"/>
    </row>
    <row r="27" spans="2:150">
      <c r="B27" s="95" t="s">
        <v>34</v>
      </c>
      <c r="C27" s="96">
        <v>2001</v>
      </c>
      <c r="D27" s="43"/>
      <c r="E27" s="43"/>
    </row>
    <row r="28" spans="2:150">
      <c r="B28" s="95" t="s">
        <v>35</v>
      </c>
      <c r="C28" s="96">
        <v>2000</v>
      </c>
      <c r="D28" s="43"/>
      <c r="E28" s="43"/>
    </row>
    <row r="29" spans="2:150" ht="13.5" thickBot="1">
      <c r="B29" s="98" t="s">
        <v>67</v>
      </c>
      <c r="C29" s="99" t="s">
        <v>134</v>
      </c>
      <c r="D29" s="43"/>
      <c r="E29" s="43"/>
    </row>
  </sheetData>
  <sortState ref="A7:ET13">
    <sortCondition descending="1" ref="I7:I13"/>
    <sortCondition descending="1" ref="K7:K13"/>
    <sortCondition descending="1" ref="H7:H13"/>
  </sortState>
  <mergeCells count="35">
    <mergeCell ref="AB1:AF1"/>
    <mergeCell ref="M2:P2"/>
    <mergeCell ref="AG2:AI2"/>
    <mergeCell ref="AJ2:AL2"/>
    <mergeCell ref="R2:V2"/>
    <mergeCell ref="W2:AA2"/>
    <mergeCell ref="AB2:AF2"/>
    <mergeCell ref="M1:P1"/>
    <mergeCell ref="AG1:AI1"/>
    <mergeCell ref="AJ1:AL1"/>
    <mergeCell ref="R1:V1"/>
    <mergeCell ref="W1:AA1"/>
    <mergeCell ref="AM1:AP1"/>
    <mergeCell ref="AQ1:AT1"/>
    <mergeCell ref="AU1:AX1"/>
    <mergeCell ref="AY1:BB1"/>
    <mergeCell ref="BC1:BF1"/>
    <mergeCell ref="AM2:AP2"/>
    <mergeCell ref="AQ2:AT2"/>
    <mergeCell ref="AM3:AP3"/>
    <mergeCell ref="AU2:AX2"/>
    <mergeCell ref="AY2:BB2"/>
    <mergeCell ref="BW1:BZ1"/>
    <mergeCell ref="BK2:BN2"/>
    <mergeCell ref="BW2:BZ2"/>
    <mergeCell ref="AQ3:AT3"/>
    <mergeCell ref="AU3:AX3"/>
    <mergeCell ref="BO2:BR2"/>
    <mergeCell ref="BS2:BV2"/>
    <mergeCell ref="BC2:BF2"/>
    <mergeCell ref="BG2:BJ2"/>
    <mergeCell ref="BK1:BN1"/>
    <mergeCell ref="BO1:BR1"/>
    <mergeCell ref="BS1:BV1"/>
    <mergeCell ref="BG1:BJ1"/>
  </mergeCells>
  <phoneticPr fontId="0" type="noConversion"/>
  <pageMargins left="0.59055118110236204" right="0.59055118110236204" top="0.78740157480314998" bottom="0.78740157480314998" header="0.511811023622047" footer="0.511811023622047"/>
  <pageSetup scale="35" orientation="landscape" r:id="rId1"/>
  <headerFooter alignWithMargins="0">
    <oddHeader>&amp;F</oddHeader>
  </headerFooter>
  <colBreaks count="1" manualBreakCount="1">
    <brk id="22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ET29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7109375" style="87" customWidth="1"/>
    <col min="3" max="3" width="7.7109375" style="7" customWidth="1"/>
    <col min="4" max="4" width="28.7109375" style="7" customWidth="1"/>
    <col min="5" max="5" width="7.7109375" style="7" customWidth="1"/>
    <col min="6" max="6" width="8.7109375" style="7" customWidth="1"/>
    <col min="7" max="7" width="8.7109375" style="180" customWidth="1"/>
    <col min="8" max="10" width="8.7109375" style="7" customWidth="1"/>
    <col min="11" max="11" width="8.7109375" style="91" customWidth="1"/>
    <col min="12" max="12" width="8.7109375" style="92" customWidth="1"/>
    <col min="13" max="17" width="8.7109375" style="7" customWidth="1"/>
    <col min="18" max="21" width="8.7109375" style="11" customWidth="1"/>
    <col min="22" max="22" width="8.7109375" style="207" customWidth="1"/>
    <col min="23" max="26" width="8.7109375" style="11" customWidth="1"/>
    <col min="27" max="27" width="8.7109375" style="207" customWidth="1"/>
    <col min="28" max="31" width="8.7109375" style="11" customWidth="1"/>
    <col min="32" max="32" width="8.7109375" style="207" customWidth="1"/>
    <col min="33" max="38" width="8.7109375" style="11" customWidth="1"/>
    <col min="39" max="42" width="8.7109375" style="149" customWidth="1"/>
    <col min="43" max="46" width="8.7109375" style="11" customWidth="1"/>
    <col min="47" max="50" width="8.7109375" style="149" customWidth="1"/>
    <col min="51" max="78" width="8.7109375" style="11" customWidth="1"/>
    <col min="79" max="16384" width="9.140625" style="87"/>
  </cols>
  <sheetData>
    <row r="1" spans="1:82" s="12" customFormat="1">
      <c r="A1" s="1"/>
      <c r="B1" s="2" t="s">
        <v>63</v>
      </c>
      <c r="C1" s="2"/>
      <c r="D1" s="2"/>
      <c r="E1" s="2"/>
      <c r="F1" s="15"/>
      <c r="G1" s="179"/>
      <c r="H1" s="20"/>
      <c r="I1" s="7"/>
      <c r="J1" s="7"/>
      <c r="K1" s="8"/>
      <c r="L1" s="9"/>
      <c r="M1" s="238" t="s">
        <v>12</v>
      </c>
      <c r="N1" s="239"/>
      <c r="O1" s="239"/>
      <c r="P1" s="240"/>
      <c r="Q1" s="11" t="s">
        <v>133</v>
      </c>
      <c r="R1" s="253" t="s">
        <v>77</v>
      </c>
      <c r="S1" s="254"/>
      <c r="T1" s="254"/>
      <c r="U1" s="254"/>
      <c r="V1" s="260"/>
      <c r="W1" s="253" t="s">
        <v>88</v>
      </c>
      <c r="X1" s="254"/>
      <c r="Y1" s="254"/>
      <c r="Z1" s="254"/>
      <c r="AA1" s="260"/>
      <c r="AB1" s="253" t="s">
        <v>109</v>
      </c>
      <c r="AC1" s="254"/>
      <c r="AD1" s="254"/>
      <c r="AE1" s="254"/>
      <c r="AF1" s="260"/>
      <c r="AG1" s="238" t="s">
        <v>16</v>
      </c>
      <c r="AH1" s="239"/>
      <c r="AI1" s="239"/>
      <c r="AJ1" s="238" t="s">
        <v>10</v>
      </c>
      <c r="AK1" s="239"/>
      <c r="AL1" s="239"/>
      <c r="AM1" s="253" t="s">
        <v>106</v>
      </c>
      <c r="AN1" s="258"/>
      <c r="AO1" s="258"/>
      <c r="AP1" s="259"/>
      <c r="AQ1" s="238"/>
      <c r="AR1" s="239"/>
      <c r="AS1" s="239"/>
      <c r="AT1" s="240"/>
      <c r="AU1" s="253"/>
      <c r="AV1" s="254"/>
      <c r="AW1" s="254"/>
      <c r="AX1" s="260"/>
      <c r="AY1" s="238"/>
      <c r="AZ1" s="239"/>
      <c r="BA1" s="239"/>
      <c r="BB1" s="240"/>
      <c r="BC1" s="238"/>
      <c r="BD1" s="239"/>
      <c r="BE1" s="239"/>
      <c r="BF1" s="240"/>
      <c r="BG1" s="238"/>
      <c r="BH1" s="239"/>
      <c r="BI1" s="239"/>
      <c r="BJ1" s="240"/>
      <c r="BK1" s="238"/>
      <c r="BL1" s="239"/>
      <c r="BM1" s="239"/>
      <c r="BN1" s="240"/>
      <c r="BO1" s="238"/>
      <c r="BP1" s="239"/>
      <c r="BQ1" s="239"/>
      <c r="BR1" s="240"/>
      <c r="BS1" s="238"/>
      <c r="BT1" s="239"/>
      <c r="BU1" s="239"/>
      <c r="BV1" s="240"/>
      <c r="BW1" s="238"/>
      <c r="BX1" s="239"/>
      <c r="BY1" s="239"/>
      <c r="BZ1" s="240"/>
      <c r="CA1" s="238"/>
      <c r="CB1" s="239"/>
      <c r="CC1" s="239"/>
      <c r="CD1" s="240"/>
    </row>
    <row r="2" spans="1:82" s="12" customFormat="1">
      <c r="A2" s="15"/>
      <c r="B2" s="6" t="s">
        <v>20</v>
      </c>
      <c r="C2" s="6"/>
      <c r="D2" s="6"/>
      <c r="E2" s="6"/>
      <c r="F2" s="7"/>
      <c r="G2" s="180"/>
      <c r="H2" s="20"/>
      <c r="I2" s="7"/>
      <c r="J2" s="6"/>
      <c r="K2" s="145">
        <v>179.7</v>
      </c>
      <c r="L2" s="6">
        <v>187.5</v>
      </c>
      <c r="M2" s="238" t="s">
        <v>11</v>
      </c>
      <c r="N2" s="239"/>
      <c r="O2" s="239"/>
      <c r="P2" s="240"/>
      <c r="Q2" s="11" t="s">
        <v>11</v>
      </c>
      <c r="R2" s="253" t="s">
        <v>78</v>
      </c>
      <c r="S2" s="254"/>
      <c r="T2" s="254"/>
      <c r="U2" s="254"/>
      <c r="V2" s="260"/>
      <c r="W2" s="253" t="s">
        <v>89</v>
      </c>
      <c r="X2" s="254"/>
      <c r="Y2" s="254"/>
      <c r="Z2" s="254"/>
      <c r="AA2" s="260"/>
      <c r="AB2" s="253" t="s">
        <v>110</v>
      </c>
      <c r="AC2" s="254"/>
      <c r="AD2" s="254"/>
      <c r="AE2" s="254"/>
      <c r="AF2" s="260"/>
      <c r="AG2" s="238" t="s">
        <v>17</v>
      </c>
      <c r="AH2" s="239"/>
      <c r="AI2" s="239"/>
      <c r="AJ2" s="238" t="s">
        <v>11</v>
      </c>
      <c r="AK2" s="239"/>
      <c r="AL2" s="239"/>
      <c r="AM2" s="253" t="s">
        <v>108</v>
      </c>
      <c r="AN2" s="254"/>
      <c r="AO2" s="254"/>
      <c r="AP2" s="254"/>
      <c r="AQ2" s="238"/>
      <c r="AR2" s="239"/>
      <c r="AS2" s="239"/>
      <c r="AT2" s="240"/>
      <c r="AU2" s="253"/>
      <c r="AV2" s="254"/>
      <c r="AW2" s="254"/>
      <c r="AX2" s="260"/>
      <c r="AY2" s="238"/>
      <c r="AZ2" s="239"/>
      <c r="BA2" s="239"/>
      <c r="BB2" s="240"/>
      <c r="BC2" s="238"/>
      <c r="BD2" s="239"/>
      <c r="BE2" s="239"/>
      <c r="BF2" s="240"/>
      <c r="BG2" s="238"/>
      <c r="BH2" s="239"/>
      <c r="BI2" s="239"/>
      <c r="BJ2" s="240"/>
      <c r="BK2" s="238"/>
      <c r="BL2" s="239"/>
      <c r="BM2" s="239"/>
      <c r="BN2" s="240"/>
      <c r="BO2" s="238"/>
      <c r="BP2" s="239"/>
      <c r="BQ2" s="239"/>
      <c r="BR2" s="240"/>
      <c r="BS2" s="238"/>
      <c r="BT2" s="239"/>
      <c r="BU2" s="239"/>
      <c r="BV2" s="240"/>
      <c r="BW2" s="238"/>
      <c r="BX2" s="239"/>
      <c r="BY2" s="239"/>
      <c r="BZ2" s="240"/>
      <c r="CA2" s="238"/>
      <c r="CB2" s="239"/>
      <c r="CC2" s="239"/>
      <c r="CD2" s="240"/>
    </row>
    <row r="3" spans="1:82" s="12" customFormat="1">
      <c r="A3" s="15"/>
      <c r="B3" s="2" t="s">
        <v>29</v>
      </c>
      <c r="C3" s="2"/>
      <c r="D3" s="2"/>
      <c r="E3" s="2"/>
      <c r="F3" s="15"/>
      <c r="G3" s="179"/>
      <c r="H3" s="20"/>
      <c r="I3" s="7"/>
      <c r="J3" s="7"/>
      <c r="K3" s="17"/>
      <c r="L3" s="18"/>
      <c r="M3" s="20"/>
      <c r="N3" s="7"/>
      <c r="O3" s="7"/>
      <c r="P3" s="21"/>
      <c r="Q3" s="15"/>
      <c r="R3" s="146">
        <v>60.3</v>
      </c>
      <c r="S3" s="181">
        <v>62</v>
      </c>
      <c r="T3" s="148">
        <v>63.4</v>
      </c>
      <c r="U3" s="149"/>
      <c r="V3" s="182"/>
      <c r="W3" s="146">
        <v>60.3</v>
      </c>
      <c r="X3" s="181">
        <v>62</v>
      </c>
      <c r="Y3" s="148">
        <v>63.4</v>
      </c>
      <c r="Z3" s="149"/>
      <c r="AA3" s="182"/>
      <c r="AB3" s="146">
        <v>57.5</v>
      </c>
      <c r="AC3" s="181">
        <v>59.9</v>
      </c>
      <c r="AD3" s="148">
        <v>62.5</v>
      </c>
      <c r="AE3" s="149"/>
      <c r="AF3" s="182"/>
      <c r="AG3" s="112"/>
      <c r="AH3" s="11"/>
      <c r="AI3" s="11"/>
      <c r="AJ3" s="112"/>
      <c r="AK3" s="11"/>
      <c r="AL3" s="11"/>
      <c r="AM3" s="255" t="s">
        <v>71</v>
      </c>
      <c r="AN3" s="256"/>
      <c r="AO3" s="256"/>
      <c r="AP3" s="257"/>
      <c r="AQ3" s="250"/>
      <c r="AR3" s="251"/>
      <c r="AS3" s="251"/>
      <c r="AT3" s="252"/>
      <c r="AU3" s="255"/>
      <c r="AV3" s="256"/>
      <c r="AW3" s="256"/>
      <c r="AX3" s="257"/>
      <c r="AY3" s="112"/>
      <c r="AZ3" s="11"/>
      <c r="BA3" s="11"/>
      <c r="BB3" s="110"/>
      <c r="BC3" s="112"/>
      <c r="BD3" s="11"/>
      <c r="BE3" s="11"/>
      <c r="BF3" s="110"/>
      <c r="BG3" s="112"/>
      <c r="BH3" s="11"/>
      <c r="BI3" s="11"/>
      <c r="BJ3" s="110"/>
      <c r="BK3" s="112"/>
      <c r="BL3" s="11"/>
      <c r="BM3" s="11"/>
      <c r="BN3" s="110"/>
      <c r="BO3" s="112"/>
      <c r="BP3" s="11"/>
      <c r="BQ3" s="11"/>
      <c r="BR3" s="110"/>
      <c r="BS3" s="112"/>
      <c r="BT3" s="11"/>
      <c r="BU3" s="11"/>
      <c r="BV3" s="110"/>
      <c r="BW3" s="112"/>
      <c r="BX3" s="11"/>
      <c r="BY3" s="11"/>
      <c r="BZ3" s="110"/>
      <c r="CA3" s="112"/>
      <c r="CB3" s="11"/>
      <c r="CC3" s="11"/>
      <c r="CD3" s="110"/>
    </row>
    <row r="4" spans="1:82" s="12" customFormat="1">
      <c r="A4" s="15"/>
      <c r="B4" s="2" t="s">
        <v>19</v>
      </c>
      <c r="C4" s="2"/>
      <c r="D4" s="2"/>
      <c r="E4" s="2"/>
      <c r="F4" s="7" t="s">
        <v>36</v>
      </c>
      <c r="G4" s="180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7" t="s">
        <v>4</v>
      </c>
      <c r="O4" s="7" t="s">
        <v>4</v>
      </c>
      <c r="P4" s="21" t="s">
        <v>4</v>
      </c>
      <c r="Q4" s="15" t="s">
        <v>4</v>
      </c>
      <c r="R4" s="151" t="s">
        <v>30</v>
      </c>
      <c r="S4" s="183" t="s">
        <v>9</v>
      </c>
      <c r="T4" s="153" t="s">
        <v>14</v>
      </c>
      <c r="U4" s="149"/>
      <c r="V4" s="182"/>
      <c r="W4" s="151" t="s">
        <v>30</v>
      </c>
      <c r="X4" s="183" t="s">
        <v>9</v>
      </c>
      <c r="Y4" s="153" t="s">
        <v>14</v>
      </c>
      <c r="Z4" s="149"/>
      <c r="AA4" s="182"/>
      <c r="AB4" s="151" t="s">
        <v>30</v>
      </c>
      <c r="AC4" s="183" t="s">
        <v>9</v>
      </c>
      <c r="AD4" s="153" t="s">
        <v>14</v>
      </c>
      <c r="AE4" s="149"/>
      <c r="AF4" s="182"/>
      <c r="AG4" s="112" t="s">
        <v>4</v>
      </c>
      <c r="AH4" s="15" t="s">
        <v>4</v>
      </c>
      <c r="AI4" s="11" t="s">
        <v>4</v>
      </c>
      <c r="AJ4" s="112" t="s">
        <v>4</v>
      </c>
      <c r="AK4" s="15" t="s">
        <v>4</v>
      </c>
      <c r="AL4" s="11" t="s">
        <v>4</v>
      </c>
      <c r="AM4" s="154"/>
      <c r="AN4" s="149"/>
      <c r="AO4" s="149"/>
      <c r="AP4" s="150"/>
      <c r="AQ4" s="112"/>
      <c r="AR4" s="11"/>
      <c r="AS4" s="11"/>
      <c r="AT4" s="110"/>
      <c r="AU4" s="154"/>
      <c r="AV4" s="149"/>
      <c r="AW4" s="149"/>
      <c r="AX4" s="150"/>
      <c r="AY4" s="112"/>
      <c r="AZ4" s="11"/>
      <c r="BA4" s="11"/>
      <c r="BB4" s="110"/>
      <c r="BC4" s="112"/>
      <c r="BD4" s="11"/>
      <c r="BE4" s="11"/>
      <c r="BF4" s="110"/>
      <c r="BG4" s="112"/>
      <c r="BH4" s="11"/>
      <c r="BI4" s="11"/>
      <c r="BJ4" s="110"/>
      <c r="BK4" s="112"/>
      <c r="BL4" s="11"/>
      <c r="BM4" s="11"/>
      <c r="BN4" s="110"/>
      <c r="BO4" s="112"/>
      <c r="BP4" s="11"/>
      <c r="BQ4" s="11"/>
      <c r="BR4" s="110"/>
      <c r="BS4" s="112"/>
      <c r="BT4" s="11"/>
      <c r="BU4" s="11"/>
      <c r="BV4" s="110"/>
      <c r="BW4" s="112"/>
      <c r="BX4" s="11"/>
      <c r="BY4" s="11"/>
      <c r="BZ4" s="110"/>
      <c r="CA4" s="112"/>
      <c r="CB4" s="11"/>
      <c r="CC4" s="11"/>
      <c r="CD4" s="110"/>
    </row>
    <row r="5" spans="1:82" s="12" customFormat="1">
      <c r="A5" s="15"/>
      <c r="B5" s="35" t="str">
        <f>'TRA-M'!A1</f>
        <v>MAY 2017</v>
      </c>
      <c r="C5" s="37" t="s">
        <v>23</v>
      </c>
      <c r="D5" s="37" t="s">
        <v>52</v>
      </c>
      <c r="E5" s="37" t="s">
        <v>51</v>
      </c>
      <c r="F5" s="15" t="s">
        <v>66</v>
      </c>
      <c r="G5" s="179" t="s">
        <v>22</v>
      </c>
      <c r="H5" s="20" t="s">
        <v>7</v>
      </c>
      <c r="I5" s="38">
        <v>7.9</v>
      </c>
      <c r="J5" s="30" t="s">
        <v>13</v>
      </c>
      <c r="K5" s="8" t="s">
        <v>13</v>
      </c>
      <c r="L5" s="9" t="s">
        <v>13</v>
      </c>
      <c r="M5" s="20" t="s">
        <v>2</v>
      </c>
      <c r="N5" s="7" t="s">
        <v>5</v>
      </c>
      <c r="O5" s="7" t="s">
        <v>6</v>
      </c>
      <c r="P5" s="21" t="s">
        <v>3</v>
      </c>
      <c r="Q5" s="15" t="s">
        <v>15</v>
      </c>
      <c r="R5" s="154" t="s">
        <v>0</v>
      </c>
      <c r="S5" s="149" t="s">
        <v>1</v>
      </c>
      <c r="T5" s="149" t="s">
        <v>2</v>
      </c>
      <c r="U5" s="149" t="s">
        <v>3</v>
      </c>
      <c r="V5" s="184" t="s">
        <v>42</v>
      </c>
      <c r="W5" s="154" t="s">
        <v>0</v>
      </c>
      <c r="X5" s="149" t="s">
        <v>1</v>
      </c>
      <c r="Y5" s="149" t="s">
        <v>2</v>
      </c>
      <c r="Z5" s="149" t="s">
        <v>3</v>
      </c>
      <c r="AA5" s="184" t="s">
        <v>42</v>
      </c>
      <c r="AB5" s="154" t="s">
        <v>0</v>
      </c>
      <c r="AC5" s="149" t="s">
        <v>1</v>
      </c>
      <c r="AD5" s="149" t="s">
        <v>2</v>
      </c>
      <c r="AE5" s="149" t="s">
        <v>3</v>
      </c>
      <c r="AF5" s="184" t="s">
        <v>42</v>
      </c>
      <c r="AG5" s="112" t="s">
        <v>0</v>
      </c>
      <c r="AH5" s="15" t="s">
        <v>6</v>
      </c>
      <c r="AI5" s="11" t="s">
        <v>3</v>
      </c>
      <c r="AJ5" s="112" t="s">
        <v>0</v>
      </c>
      <c r="AK5" s="15" t="s">
        <v>6</v>
      </c>
      <c r="AL5" s="11" t="s">
        <v>3</v>
      </c>
      <c r="AM5" s="154" t="s">
        <v>0</v>
      </c>
      <c r="AN5" s="149" t="s">
        <v>1</v>
      </c>
      <c r="AO5" s="149" t="s">
        <v>2</v>
      </c>
      <c r="AP5" s="150" t="s">
        <v>3</v>
      </c>
      <c r="AQ5" s="112" t="s">
        <v>0</v>
      </c>
      <c r="AR5" s="11" t="s">
        <v>1</v>
      </c>
      <c r="AS5" s="11" t="s">
        <v>2</v>
      </c>
      <c r="AT5" s="110" t="s">
        <v>3</v>
      </c>
      <c r="AU5" s="154" t="s">
        <v>0</v>
      </c>
      <c r="AV5" s="149" t="s">
        <v>1</v>
      </c>
      <c r="AW5" s="149" t="s">
        <v>2</v>
      </c>
      <c r="AX5" s="150" t="s">
        <v>3</v>
      </c>
      <c r="AY5" s="112" t="s">
        <v>0</v>
      </c>
      <c r="AZ5" s="11" t="s">
        <v>1</v>
      </c>
      <c r="BA5" s="11" t="s">
        <v>2</v>
      </c>
      <c r="BB5" s="110" t="s">
        <v>3</v>
      </c>
      <c r="BC5" s="112" t="s">
        <v>0</v>
      </c>
      <c r="BD5" s="11" t="s">
        <v>1</v>
      </c>
      <c r="BE5" s="11" t="s">
        <v>2</v>
      </c>
      <c r="BF5" s="110" t="s">
        <v>3</v>
      </c>
      <c r="BG5" s="112"/>
      <c r="BH5" s="11"/>
      <c r="BI5" s="11"/>
      <c r="BJ5" s="110"/>
      <c r="BK5" s="112"/>
      <c r="BL5" s="11"/>
      <c r="BM5" s="11"/>
      <c r="BN5" s="110"/>
      <c r="BO5" s="112"/>
      <c r="BP5" s="11"/>
      <c r="BQ5" s="11"/>
      <c r="BR5" s="110"/>
      <c r="BS5" s="112"/>
      <c r="BT5" s="11"/>
      <c r="BU5" s="11"/>
      <c r="BV5" s="110"/>
      <c r="BW5" s="112"/>
      <c r="BX5" s="11"/>
      <c r="BY5" s="11"/>
      <c r="BZ5" s="110"/>
      <c r="CA5" s="112"/>
      <c r="CB5" s="11"/>
      <c r="CC5" s="11"/>
      <c r="CD5" s="110"/>
    </row>
    <row r="6" spans="1:82" s="12" customFormat="1">
      <c r="A6" s="15"/>
      <c r="C6" s="15"/>
      <c r="D6" s="15"/>
      <c r="E6" s="15"/>
      <c r="F6" s="15"/>
      <c r="G6" s="179"/>
      <c r="H6" s="20"/>
      <c r="I6" s="7"/>
      <c r="J6" s="30"/>
      <c r="K6" s="8"/>
      <c r="L6" s="9"/>
      <c r="M6" s="20"/>
      <c r="N6" s="7"/>
      <c r="O6" s="7"/>
      <c r="P6" s="21"/>
      <c r="Q6" s="15"/>
      <c r="R6" s="154"/>
      <c r="S6" s="149"/>
      <c r="T6" s="149"/>
      <c r="U6" s="149"/>
      <c r="V6" s="182"/>
      <c r="W6" s="154"/>
      <c r="X6" s="149"/>
      <c r="Y6" s="149"/>
      <c r="Z6" s="149"/>
      <c r="AA6" s="182"/>
      <c r="AB6" s="154"/>
      <c r="AC6" s="149"/>
      <c r="AD6" s="149"/>
      <c r="AE6" s="149"/>
      <c r="AF6" s="182"/>
      <c r="AG6" s="112"/>
      <c r="AH6" s="11"/>
      <c r="AI6" s="11"/>
      <c r="AJ6" s="112"/>
      <c r="AK6" s="11"/>
      <c r="AL6" s="11"/>
      <c r="AM6" s="154"/>
      <c r="AN6" s="149"/>
      <c r="AO6" s="149"/>
      <c r="AP6" s="150"/>
      <c r="AQ6" s="112"/>
      <c r="AR6" s="11"/>
      <c r="AS6" s="11"/>
      <c r="AT6" s="110"/>
      <c r="AU6" s="154"/>
      <c r="AV6" s="149"/>
      <c r="AW6" s="149"/>
      <c r="AX6" s="150"/>
      <c r="AY6" s="112"/>
      <c r="AZ6" s="11"/>
      <c r="BA6" s="11"/>
      <c r="BB6" s="110"/>
      <c r="BC6" s="112"/>
      <c r="BD6" s="11"/>
      <c r="BE6" s="11"/>
      <c r="BF6" s="110"/>
      <c r="BG6" s="112"/>
      <c r="BH6" s="11"/>
      <c r="BI6" s="11"/>
      <c r="BJ6" s="110"/>
      <c r="BK6" s="112"/>
      <c r="BL6" s="11"/>
      <c r="BM6" s="11"/>
      <c r="BN6" s="110"/>
      <c r="BO6" s="112"/>
      <c r="BP6" s="11"/>
      <c r="BQ6" s="11"/>
      <c r="BR6" s="110"/>
      <c r="BS6" s="112"/>
      <c r="BT6" s="11"/>
      <c r="BU6" s="11"/>
      <c r="BV6" s="110"/>
      <c r="BW6" s="112"/>
      <c r="BX6" s="11"/>
      <c r="BY6" s="11"/>
      <c r="BZ6" s="110"/>
      <c r="CA6" s="112"/>
      <c r="CB6" s="11"/>
      <c r="CC6" s="11"/>
      <c r="CD6" s="110"/>
    </row>
    <row r="7" spans="1:82" s="12" customFormat="1">
      <c r="A7" s="7">
        <v>1</v>
      </c>
      <c r="B7" s="61" t="s">
        <v>138</v>
      </c>
      <c r="C7" s="62" t="s">
        <v>24</v>
      </c>
      <c r="D7" s="185" t="s">
        <v>53</v>
      </c>
      <c r="E7" s="130" t="s">
        <v>65</v>
      </c>
      <c r="F7" s="7">
        <v>2017</v>
      </c>
      <c r="G7" s="190">
        <v>1999</v>
      </c>
      <c r="H7" s="156">
        <f t="shared" ref="H7:H12" si="0">IF(Q7="",SUM(M7:P7),SUM(M7:Q7))</f>
        <v>182</v>
      </c>
      <c r="I7" s="45" t="s">
        <v>50</v>
      </c>
      <c r="J7" s="46" t="str">
        <f>IF('TRA-M'!$A$2-F7&lt;=1,IF(T7&gt;=$R$3,"YES",IF(Y7&gt;=$W$3,"YES",IF(AD7&gt;=$AB$3,"YES",""))),"")</f>
        <v>YES</v>
      </c>
      <c r="K7" s="47" t="str">
        <f t="shared" ref="K7:K12" si="1">IF(T7&gt;=$S$3,IF(I7="YES","YES",""),IF(Y7&gt;=$X$3,IF(I7="YES","YES",""),IF(AD7&gt;=$AC$3,IF(I7="YES","YES",""),"")))</f>
        <v>YES</v>
      </c>
      <c r="L7" s="48" t="str">
        <f t="shared" ref="L7:L12" si="2">IF(T7&gt;=$T$3,IF(I7="YES","YES",""),IF(Y7&gt;=$Y$3,IF(I7="YES","YES",""),IF(AD7&gt;=$AD$3,IF(I7="YES","YES",""),"")))</f>
        <v/>
      </c>
      <c r="M7" s="112">
        <f t="shared" ref="M7:M12" si="3">MAX($AD7,$Y7,$T7)</f>
        <v>60</v>
      </c>
      <c r="N7" s="11">
        <f t="shared" ref="N7:N12" si="4">IF($M7=$AD7,MAX($W7,$R7),IF($M7=$Y7,MAX($AB7,$R7),MAX($AB7,$W7)))</f>
        <v>30.6</v>
      </c>
      <c r="O7" s="11">
        <f t="shared" ref="O7:O12" si="5">IF($M7=$AD7,MAX($X7,$S7),IF($M7=$Y7,MAX($AC7,$S7),MAX($AC7,$X7)))</f>
        <v>28.6</v>
      </c>
      <c r="P7" s="110">
        <f t="shared" ref="P7:P12" si="6">MAX($AE7,$Z7,$U7)</f>
        <v>62.8</v>
      </c>
      <c r="Q7" s="89" t="str">
        <f t="shared" ref="Q7:Q12" si="7">IF(MAX(AG7:AI7)&lt;=0,"",MAX(AG7:AI7))</f>
        <v/>
      </c>
      <c r="R7" s="154"/>
      <c r="S7" s="149"/>
      <c r="T7" s="155">
        <f t="shared" ref="T7:T12" si="8">+R7+S7</f>
        <v>0</v>
      </c>
      <c r="U7" s="149"/>
      <c r="V7" s="182"/>
      <c r="W7" s="169">
        <v>30.6</v>
      </c>
      <c r="X7" s="172">
        <v>28.6</v>
      </c>
      <c r="Y7" s="171">
        <f t="shared" ref="Y7:Y12" si="9">+W7+X7</f>
        <v>59.2</v>
      </c>
      <c r="Z7" s="199">
        <f>31.3+31.5</f>
        <v>62.8</v>
      </c>
      <c r="AA7" s="187"/>
      <c r="AB7" s="154">
        <v>29.7</v>
      </c>
      <c r="AC7" s="149">
        <v>30.3</v>
      </c>
      <c r="AD7" s="155">
        <f t="shared" ref="AD7:AD12" si="10">+AB7+AC7</f>
        <v>60</v>
      </c>
      <c r="AE7" s="149">
        <f>31.3+30.6</f>
        <v>61.900000000000006</v>
      </c>
      <c r="AF7" s="182">
        <v>1</v>
      </c>
      <c r="AG7" s="161" t="str">
        <f t="shared" ref="AG7:AI12" si="11">IF(AJ7="","",AJ7-N7)</f>
        <v/>
      </c>
      <c r="AH7" s="162" t="str">
        <f t="shared" si="11"/>
        <v/>
      </c>
      <c r="AI7" s="162" t="str">
        <f t="shared" si="11"/>
        <v/>
      </c>
      <c r="AJ7" s="154" t="str">
        <f t="shared" ref="AJ7:AJ12" si="12">IF(MAX($AM7,$AQ7,$AU7,$AY7,$BC7,$BG7,$BK7,$BO7,$BS7,$BW7)=0,"",MAX($AM7,$AQ7,$AU7,$AY7,$BC7,$BG7,$BK7,$BO7,$BS7,$BW7))</f>
        <v/>
      </c>
      <c r="AK7" s="149" t="str">
        <f t="shared" ref="AK7:AK12" si="13">IF(MAX($AN7,$AR7,$AV7,$AZ7,$BD7,$BH7,$BL7,$BP7,$BT7,$BX7)=0,"",MAX($AN7,$AR7,$AV7,$AZ7,$BD7,$BH7,$BL7,$BP7,$BT7,$BX7))</f>
        <v/>
      </c>
      <c r="AL7" s="11" t="str">
        <f t="shared" ref="AL7:AL12" si="14">IF(MAX($AP7,$AT7,$AX7,$BB7,$BF7,$BJ7,$BN7,$BR7,$BV7,$BZ7)=0,"",MAX($AP7,$AT7,$AX7,$BB7,$BF7,$BJ7,$BN7,$BR7,$BV7,$BZ7))</f>
        <v/>
      </c>
      <c r="AM7" s="154"/>
      <c r="AN7" s="149"/>
      <c r="AO7" s="163" t="str">
        <f t="shared" ref="AO7:AO12" si="15">IF(AM7&lt;&gt;"",AM7+AN7,"")</f>
        <v/>
      </c>
      <c r="AP7" s="150"/>
      <c r="AQ7" s="154"/>
      <c r="AR7" s="149"/>
      <c r="AS7" s="163" t="str">
        <f t="shared" ref="AS7:AS12" si="16">IF(AQ7&lt;&gt;"",AQ7+AR7,"")</f>
        <v/>
      </c>
      <c r="AT7" s="150"/>
      <c r="AU7" s="154"/>
      <c r="AV7" s="149"/>
      <c r="AW7" s="163" t="str">
        <f t="shared" ref="AW7:AW12" si="17">IF(AU7&lt;&gt;"",AU7+AV7,"")</f>
        <v/>
      </c>
      <c r="AX7" s="150"/>
      <c r="AY7" s="154"/>
      <c r="AZ7" s="158"/>
      <c r="BA7" s="158"/>
      <c r="BB7" s="150"/>
      <c r="BC7" s="154"/>
      <c r="BD7" s="158"/>
      <c r="BE7" s="158"/>
      <c r="BF7" s="150"/>
      <c r="BG7" s="154"/>
      <c r="BH7" s="158"/>
      <c r="BI7" s="158"/>
      <c r="BJ7" s="150"/>
      <c r="BK7" s="154"/>
      <c r="BL7" s="158"/>
      <c r="BM7" s="158"/>
      <c r="BN7" s="150"/>
      <c r="BO7" s="154"/>
      <c r="BP7" s="158"/>
      <c r="BQ7" s="158"/>
      <c r="BR7" s="150"/>
      <c r="BS7" s="154"/>
      <c r="BT7" s="158"/>
      <c r="BU7" s="158"/>
      <c r="BV7" s="150"/>
      <c r="BW7" s="154"/>
      <c r="BX7" s="158"/>
      <c r="BY7" s="158"/>
      <c r="BZ7" s="150"/>
      <c r="CA7" s="188"/>
      <c r="CB7" s="129"/>
      <c r="CC7" s="129"/>
      <c r="CD7" s="189"/>
    </row>
    <row r="8" spans="1:82" s="12" customFormat="1">
      <c r="A8" s="7">
        <v>2</v>
      </c>
      <c r="B8" s="70" t="s">
        <v>84</v>
      </c>
      <c r="C8" s="43" t="s">
        <v>24</v>
      </c>
      <c r="D8" s="185" t="s">
        <v>72</v>
      </c>
      <c r="E8" s="130" t="s">
        <v>65</v>
      </c>
      <c r="F8" s="7">
        <v>2015</v>
      </c>
      <c r="G8" s="190">
        <v>1997</v>
      </c>
      <c r="H8" s="156">
        <f t="shared" si="0"/>
        <v>138.80000000000001</v>
      </c>
      <c r="I8" s="45" t="s">
        <v>50</v>
      </c>
      <c r="J8" s="46" t="str">
        <f>IF('TRA-M'!$A$2-F8&lt;=1,IF(T8&gt;=$R$3,"YES",IF(Y8&gt;=$W$3,"YES",IF(AD8&gt;=$AB$3,"YES",""))),"")</f>
        <v/>
      </c>
      <c r="K8" s="47" t="str">
        <f t="shared" si="1"/>
        <v>YES</v>
      </c>
      <c r="L8" s="48" t="str">
        <f t="shared" si="2"/>
        <v/>
      </c>
      <c r="M8" s="112">
        <f t="shared" si="3"/>
        <v>62.3</v>
      </c>
      <c r="N8" s="11">
        <f t="shared" si="4"/>
        <v>25.7</v>
      </c>
      <c r="O8" s="11">
        <f t="shared" si="5"/>
        <v>22.3</v>
      </c>
      <c r="P8" s="110">
        <f t="shared" si="6"/>
        <v>0</v>
      </c>
      <c r="Q8" s="89">
        <f t="shared" si="7"/>
        <v>28.5</v>
      </c>
      <c r="R8" s="174">
        <v>25.7</v>
      </c>
      <c r="S8" s="191">
        <v>22.3</v>
      </c>
      <c r="T8" s="155">
        <f t="shared" si="8"/>
        <v>48</v>
      </c>
      <c r="U8" s="149"/>
      <c r="V8" s="182">
        <v>2</v>
      </c>
      <c r="W8" s="154">
        <v>32</v>
      </c>
      <c r="X8" s="149">
        <v>30.3</v>
      </c>
      <c r="Y8" s="160">
        <f t="shared" si="9"/>
        <v>62.3</v>
      </c>
      <c r="Z8" s="192"/>
      <c r="AA8" s="182">
        <v>5</v>
      </c>
      <c r="AB8" s="154"/>
      <c r="AC8" s="149"/>
      <c r="AD8" s="155">
        <f t="shared" si="10"/>
        <v>0</v>
      </c>
      <c r="AE8" s="149"/>
      <c r="AF8" s="182"/>
      <c r="AG8" s="161">
        <f t="shared" si="11"/>
        <v>2.9000000000000021</v>
      </c>
      <c r="AH8" s="162">
        <f t="shared" si="11"/>
        <v>6.8000000000000007</v>
      </c>
      <c r="AI8" s="162">
        <f t="shared" si="11"/>
        <v>28.5</v>
      </c>
      <c r="AJ8" s="154">
        <f t="shared" si="12"/>
        <v>28.6</v>
      </c>
      <c r="AK8" s="149">
        <f t="shared" si="13"/>
        <v>29.1</v>
      </c>
      <c r="AL8" s="11">
        <f t="shared" si="14"/>
        <v>28.5</v>
      </c>
      <c r="AM8" s="193">
        <v>28.6</v>
      </c>
      <c r="AN8" s="194">
        <v>29.1</v>
      </c>
      <c r="AO8" s="195">
        <f t="shared" si="15"/>
        <v>57.7</v>
      </c>
      <c r="AP8" s="196">
        <v>28.5</v>
      </c>
      <c r="AQ8" s="154"/>
      <c r="AR8" s="149"/>
      <c r="AS8" s="163" t="str">
        <f t="shared" si="16"/>
        <v/>
      </c>
      <c r="AT8" s="150"/>
      <c r="AU8" s="154"/>
      <c r="AV8" s="149"/>
      <c r="AW8" s="163" t="str">
        <f t="shared" si="17"/>
        <v/>
      </c>
      <c r="AX8" s="150"/>
      <c r="AY8" s="154"/>
      <c r="AZ8" s="158"/>
      <c r="BA8" s="158"/>
      <c r="BB8" s="150"/>
      <c r="BC8" s="154"/>
      <c r="BD8" s="158"/>
      <c r="BE8" s="158"/>
      <c r="BF8" s="150"/>
      <c r="BG8" s="154"/>
      <c r="BH8" s="158"/>
      <c r="BI8" s="158"/>
      <c r="BJ8" s="150"/>
      <c r="BK8" s="154"/>
      <c r="BL8" s="158"/>
      <c r="BM8" s="158"/>
      <c r="BN8" s="150"/>
      <c r="BO8" s="154"/>
      <c r="BP8" s="158"/>
      <c r="BQ8" s="158"/>
      <c r="BR8" s="150"/>
      <c r="BS8" s="154"/>
      <c r="BT8" s="158"/>
      <c r="BU8" s="158"/>
      <c r="BV8" s="150"/>
      <c r="BW8" s="154"/>
      <c r="BX8" s="158"/>
      <c r="BY8" s="158"/>
      <c r="BZ8" s="150"/>
      <c r="CA8" s="188"/>
      <c r="CB8" s="129"/>
      <c r="CC8" s="129"/>
      <c r="CD8" s="189"/>
    </row>
    <row r="9" spans="1:82" s="12" customFormat="1">
      <c r="A9" s="7">
        <v>3</v>
      </c>
      <c r="B9" s="70" t="s">
        <v>98</v>
      </c>
      <c r="C9" s="43" t="s">
        <v>24</v>
      </c>
      <c r="D9" s="185" t="s">
        <v>136</v>
      </c>
      <c r="E9" s="130" t="s">
        <v>65</v>
      </c>
      <c r="F9" s="7">
        <v>2016</v>
      </c>
      <c r="G9" s="190">
        <v>1999</v>
      </c>
      <c r="H9" s="156">
        <f t="shared" si="0"/>
        <v>126.30000000000001</v>
      </c>
      <c r="I9" s="45" t="s">
        <v>50</v>
      </c>
      <c r="J9" s="46" t="str">
        <f>IF('TRA-M'!$A$2-F9&lt;=1,IF(T9&gt;=$R$3,"YES",IF(Y9&gt;=$W$3,"YES",IF(AD9&gt;=$AB$3,"YES",""))),"")</f>
        <v>YES</v>
      </c>
      <c r="K9" s="47" t="str">
        <f t="shared" si="1"/>
        <v>YES</v>
      </c>
      <c r="L9" s="48" t="str">
        <f t="shared" si="2"/>
        <v/>
      </c>
      <c r="M9" s="112">
        <f t="shared" si="3"/>
        <v>62.4</v>
      </c>
      <c r="N9" s="11">
        <f t="shared" si="4"/>
        <v>0</v>
      </c>
      <c r="O9" s="11">
        <f t="shared" si="5"/>
        <v>0</v>
      </c>
      <c r="P9" s="110">
        <f t="shared" si="6"/>
        <v>63.900000000000006</v>
      </c>
      <c r="Q9" s="89" t="str">
        <f t="shared" si="7"/>
        <v/>
      </c>
      <c r="R9" s="154"/>
      <c r="S9" s="149"/>
      <c r="T9" s="155">
        <f t="shared" si="8"/>
        <v>0</v>
      </c>
      <c r="U9" s="149"/>
      <c r="V9" s="182"/>
      <c r="W9" s="154">
        <v>32</v>
      </c>
      <c r="X9" s="149">
        <v>30.4</v>
      </c>
      <c r="Y9" s="160">
        <f t="shared" si="9"/>
        <v>62.4</v>
      </c>
      <c r="Z9" s="167">
        <f>32.2+31.7</f>
        <v>63.900000000000006</v>
      </c>
      <c r="AA9" s="182">
        <v>1</v>
      </c>
      <c r="AB9" s="154"/>
      <c r="AC9" s="149"/>
      <c r="AD9" s="155">
        <f t="shared" si="10"/>
        <v>0</v>
      </c>
      <c r="AE9" s="149"/>
      <c r="AF9" s="182"/>
      <c r="AG9" s="161" t="str">
        <f t="shared" si="11"/>
        <v/>
      </c>
      <c r="AH9" s="162" t="str">
        <f t="shared" si="11"/>
        <v/>
      </c>
      <c r="AI9" s="162" t="str">
        <f t="shared" si="11"/>
        <v/>
      </c>
      <c r="AJ9" s="154" t="str">
        <f t="shared" si="12"/>
        <v/>
      </c>
      <c r="AK9" s="149" t="str">
        <f t="shared" si="13"/>
        <v/>
      </c>
      <c r="AL9" s="11" t="str">
        <f t="shared" si="14"/>
        <v/>
      </c>
      <c r="AM9" s="154"/>
      <c r="AN9" s="149"/>
      <c r="AO9" s="163" t="str">
        <f t="shared" si="15"/>
        <v/>
      </c>
      <c r="AP9" s="150"/>
      <c r="AQ9" s="154"/>
      <c r="AR9" s="149"/>
      <c r="AS9" s="163" t="str">
        <f t="shared" si="16"/>
        <v/>
      </c>
      <c r="AT9" s="150"/>
      <c r="AU9" s="154"/>
      <c r="AV9" s="149"/>
      <c r="AW9" s="163" t="str">
        <f t="shared" si="17"/>
        <v/>
      </c>
      <c r="AX9" s="150"/>
      <c r="AY9" s="158"/>
      <c r="AZ9" s="158"/>
      <c r="BA9" s="158"/>
      <c r="BB9" s="150"/>
      <c r="BC9" s="158"/>
      <c r="BD9" s="158"/>
      <c r="BE9" s="158"/>
      <c r="BF9" s="150"/>
      <c r="BG9" s="158"/>
      <c r="BH9" s="158"/>
      <c r="BI9" s="158"/>
      <c r="BJ9" s="150"/>
      <c r="BK9" s="158"/>
      <c r="BL9" s="158"/>
      <c r="BM9" s="158"/>
      <c r="BN9" s="150"/>
      <c r="BO9" s="158"/>
      <c r="BP9" s="158"/>
      <c r="BQ9" s="158"/>
      <c r="BR9" s="150"/>
      <c r="BS9" s="158"/>
      <c r="BT9" s="158"/>
      <c r="BU9" s="158"/>
      <c r="BV9" s="150"/>
      <c r="BW9" s="158"/>
      <c r="BX9" s="158"/>
      <c r="BY9" s="158"/>
      <c r="BZ9" s="150"/>
      <c r="CA9" s="129"/>
      <c r="CB9" s="129"/>
      <c r="CC9" s="129"/>
      <c r="CD9" s="189"/>
    </row>
    <row r="10" spans="1:82" s="12" customFormat="1">
      <c r="A10" s="197"/>
      <c r="B10" s="70" t="s">
        <v>95</v>
      </c>
      <c r="C10" s="43" t="s">
        <v>26</v>
      </c>
      <c r="D10" s="185" t="s">
        <v>96</v>
      </c>
      <c r="E10" s="130" t="s">
        <v>65</v>
      </c>
      <c r="F10" s="7">
        <v>2016</v>
      </c>
      <c r="G10" s="186">
        <v>2001</v>
      </c>
      <c r="H10" s="156">
        <f t="shared" si="0"/>
        <v>174.89999999999998</v>
      </c>
      <c r="I10" s="45" t="s">
        <v>50</v>
      </c>
      <c r="J10" s="46" t="str">
        <f>IF('TRA-M'!$A$2-F10&lt;=1,IF(T10&gt;=$R$3,"YES",IF(Y10&gt;=$W$3,"YES",IF(AD10&gt;=$AB$3,"YES",""))),"")</f>
        <v/>
      </c>
      <c r="K10" s="47" t="str">
        <f t="shared" si="1"/>
        <v/>
      </c>
      <c r="L10" s="48" t="str">
        <f t="shared" si="2"/>
        <v/>
      </c>
      <c r="M10" s="112">
        <f t="shared" si="3"/>
        <v>58.5</v>
      </c>
      <c r="N10" s="11">
        <f t="shared" si="4"/>
        <v>28.1</v>
      </c>
      <c r="O10" s="11">
        <f t="shared" si="5"/>
        <v>29.2</v>
      </c>
      <c r="P10" s="110">
        <f t="shared" si="6"/>
        <v>59.099999999999994</v>
      </c>
      <c r="Q10" s="89" t="str">
        <f t="shared" si="7"/>
        <v/>
      </c>
      <c r="R10" s="169">
        <v>28.1</v>
      </c>
      <c r="S10" s="172">
        <v>29.2</v>
      </c>
      <c r="T10" s="198">
        <f t="shared" si="8"/>
        <v>57.3</v>
      </c>
      <c r="U10" s="199">
        <f>29.2+26.6</f>
        <v>55.8</v>
      </c>
      <c r="V10" s="187"/>
      <c r="W10" s="154">
        <v>29.5</v>
      </c>
      <c r="X10" s="149">
        <v>29</v>
      </c>
      <c r="Y10" s="160">
        <f t="shared" si="9"/>
        <v>58.5</v>
      </c>
      <c r="Z10" s="149">
        <f>29.7+29.4</f>
        <v>59.099999999999994</v>
      </c>
      <c r="AA10" s="182">
        <v>4</v>
      </c>
      <c r="AB10" s="154"/>
      <c r="AC10" s="149"/>
      <c r="AD10" s="155">
        <f t="shared" si="10"/>
        <v>0</v>
      </c>
      <c r="AE10" s="149"/>
      <c r="AF10" s="182"/>
      <c r="AG10" s="161" t="str">
        <f t="shared" si="11"/>
        <v/>
      </c>
      <c r="AH10" s="162" t="str">
        <f t="shared" si="11"/>
        <v/>
      </c>
      <c r="AI10" s="162" t="str">
        <f t="shared" si="11"/>
        <v/>
      </c>
      <c r="AJ10" s="154" t="str">
        <f t="shared" si="12"/>
        <v/>
      </c>
      <c r="AK10" s="149" t="str">
        <f t="shared" si="13"/>
        <v/>
      </c>
      <c r="AL10" s="11" t="str">
        <f t="shared" si="14"/>
        <v/>
      </c>
      <c r="AM10" s="154"/>
      <c r="AN10" s="149"/>
      <c r="AO10" s="163" t="str">
        <f t="shared" si="15"/>
        <v/>
      </c>
      <c r="AP10" s="150"/>
      <c r="AQ10" s="154"/>
      <c r="AR10" s="149"/>
      <c r="AS10" s="163" t="str">
        <f t="shared" si="16"/>
        <v/>
      </c>
      <c r="AT10" s="150"/>
      <c r="AU10" s="154"/>
      <c r="AV10" s="149"/>
      <c r="AW10" s="163" t="str">
        <f t="shared" si="17"/>
        <v/>
      </c>
      <c r="AX10" s="150"/>
      <c r="AY10" s="158"/>
      <c r="AZ10" s="158"/>
      <c r="BA10" s="158"/>
      <c r="BB10" s="150"/>
      <c r="BC10" s="158"/>
      <c r="BD10" s="158"/>
      <c r="BE10" s="158"/>
      <c r="BF10" s="150"/>
      <c r="BG10" s="158"/>
      <c r="BH10" s="158"/>
      <c r="BI10" s="158"/>
      <c r="BJ10" s="150"/>
      <c r="BK10" s="158"/>
      <c r="BL10" s="158"/>
      <c r="BM10" s="158"/>
      <c r="BN10" s="150"/>
      <c r="BO10" s="158"/>
      <c r="BP10" s="158"/>
      <c r="BQ10" s="158"/>
      <c r="BR10" s="150"/>
      <c r="BS10" s="158"/>
      <c r="BT10" s="158"/>
      <c r="BU10" s="158"/>
      <c r="BV10" s="150"/>
      <c r="BW10" s="158"/>
      <c r="BX10" s="158"/>
      <c r="BY10" s="158"/>
      <c r="BZ10" s="150"/>
      <c r="CA10" s="129"/>
      <c r="CB10" s="129"/>
      <c r="CC10" s="129"/>
      <c r="CD10" s="189"/>
    </row>
    <row r="11" spans="1:82" s="12" customFormat="1">
      <c r="A11" s="197"/>
      <c r="B11" s="70" t="s">
        <v>97</v>
      </c>
      <c r="C11" s="43" t="s">
        <v>25</v>
      </c>
      <c r="D11" s="185" t="s">
        <v>83</v>
      </c>
      <c r="E11" s="130" t="s">
        <v>65</v>
      </c>
      <c r="F11" s="7">
        <v>2016</v>
      </c>
      <c r="G11" s="186">
        <v>2001</v>
      </c>
      <c r="H11" s="156">
        <f t="shared" si="0"/>
        <v>182.5</v>
      </c>
      <c r="I11" s="45"/>
      <c r="J11" s="46" t="str">
        <f>IF('TRA-M'!$A$2-F11&lt;=1,IF(T11&gt;=$R$3,"YES",IF(Y11&gt;=$W$3,"YES",IF(AD11&gt;=$AB$3,"YES",""))),"")</f>
        <v>YES</v>
      </c>
      <c r="K11" s="47" t="str">
        <f t="shared" si="1"/>
        <v/>
      </c>
      <c r="L11" s="48" t="str">
        <f t="shared" si="2"/>
        <v/>
      </c>
      <c r="M11" s="112">
        <f t="shared" si="3"/>
        <v>60</v>
      </c>
      <c r="N11" s="11">
        <f t="shared" si="4"/>
        <v>30.2</v>
      </c>
      <c r="O11" s="11">
        <f t="shared" si="5"/>
        <v>29.5</v>
      </c>
      <c r="P11" s="110">
        <f t="shared" si="6"/>
        <v>62.2</v>
      </c>
      <c r="Q11" s="89">
        <f t="shared" si="7"/>
        <v>0.60000000000000142</v>
      </c>
      <c r="R11" s="169">
        <v>29.5</v>
      </c>
      <c r="S11" s="172">
        <v>29.5</v>
      </c>
      <c r="T11" s="171">
        <f t="shared" si="8"/>
        <v>59</v>
      </c>
      <c r="U11" s="172">
        <f>31+30.8</f>
        <v>61.8</v>
      </c>
      <c r="V11" s="187"/>
      <c r="W11" s="154">
        <v>30.2</v>
      </c>
      <c r="X11" s="149">
        <v>26.6</v>
      </c>
      <c r="Y11" s="155">
        <f t="shared" si="9"/>
        <v>56.8</v>
      </c>
      <c r="Z11" s="149">
        <f>30.4+31.8</f>
        <v>62.2</v>
      </c>
      <c r="AA11" s="182">
        <v>3</v>
      </c>
      <c r="AB11" s="154">
        <v>30.4</v>
      </c>
      <c r="AC11" s="149">
        <v>29.6</v>
      </c>
      <c r="AD11" s="155">
        <f t="shared" si="10"/>
        <v>60</v>
      </c>
      <c r="AE11" s="149">
        <f>30.9+30.8</f>
        <v>61.7</v>
      </c>
      <c r="AF11" s="182">
        <v>2</v>
      </c>
      <c r="AG11" s="161">
        <f t="shared" si="11"/>
        <v>0.60000000000000142</v>
      </c>
      <c r="AH11" s="162">
        <f t="shared" si="11"/>
        <v>0.39999999999999858</v>
      </c>
      <c r="AI11" s="162">
        <f t="shared" si="11"/>
        <v>-31.400000000000002</v>
      </c>
      <c r="AJ11" s="154">
        <f t="shared" si="12"/>
        <v>30.8</v>
      </c>
      <c r="AK11" s="149">
        <f t="shared" si="13"/>
        <v>29.9</v>
      </c>
      <c r="AL11" s="11">
        <f t="shared" si="14"/>
        <v>30.8</v>
      </c>
      <c r="AM11" s="200">
        <v>30.8</v>
      </c>
      <c r="AN11" s="201">
        <v>29.9</v>
      </c>
      <c r="AO11" s="202">
        <f t="shared" si="15"/>
        <v>60.7</v>
      </c>
      <c r="AP11" s="203">
        <v>30.8</v>
      </c>
      <c r="AQ11" s="154"/>
      <c r="AR11" s="149"/>
      <c r="AS11" s="163" t="str">
        <f t="shared" si="16"/>
        <v/>
      </c>
      <c r="AT11" s="150"/>
      <c r="AU11" s="154"/>
      <c r="AV11" s="149"/>
      <c r="AW11" s="163" t="str">
        <f t="shared" si="17"/>
        <v/>
      </c>
      <c r="AX11" s="150"/>
      <c r="AY11" s="158"/>
      <c r="AZ11" s="158"/>
      <c r="BA11" s="158"/>
      <c r="BB11" s="150"/>
      <c r="BC11" s="158"/>
      <c r="BD11" s="158"/>
      <c r="BE11" s="158"/>
      <c r="BF11" s="150"/>
      <c r="BG11" s="158"/>
      <c r="BH11" s="158"/>
      <c r="BI11" s="158"/>
      <c r="BJ11" s="150"/>
      <c r="BK11" s="158"/>
      <c r="BL11" s="158"/>
      <c r="BM11" s="158"/>
      <c r="BN11" s="150"/>
      <c r="BO11" s="158"/>
      <c r="BP11" s="158"/>
      <c r="BQ11" s="158"/>
      <c r="BR11" s="150"/>
      <c r="BS11" s="158"/>
      <c r="BT11" s="158"/>
      <c r="BU11" s="158"/>
      <c r="BV11" s="150"/>
      <c r="BW11" s="158"/>
      <c r="BX11" s="158"/>
      <c r="BY11" s="158"/>
      <c r="BZ11" s="150"/>
      <c r="CA11" s="129"/>
      <c r="CB11" s="129"/>
      <c r="CC11" s="129"/>
      <c r="CD11" s="189"/>
    </row>
    <row r="12" spans="1:82" s="12" customFormat="1">
      <c r="A12" s="197"/>
      <c r="B12" s="70" t="s">
        <v>82</v>
      </c>
      <c r="C12" s="43" t="s">
        <v>25</v>
      </c>
      <c r="D12" s="185" t="s">
        <v>83</v>
      </c>
      <c r="E12" s="130" t="s">
        <v>65</v>
      </c>
      <c r="F12" s="7">
        <v>2014</v>
      </c>
      <c r="G12" s="186">
        <v>2000</v>
      </c>
      <c r="H12" s="156">
        <f t="shared" si="0"/>
        <v>178.7</v>
      </c>
      <c r="I12" s="45"/>
      <c r="J12" s="46" t="str">
        <f>IF('TRA-M'!$A$2-F12&lt;=1,IF(T12&gt;=$R$3,"YES",IF(Y12&gt;=$W$3,"YES",IF(AD12&gt;=$AB$3,"YES",""))),"")</f>
        <v/>
      </c>
      <c r="K12" s="47" t="str">
        <f t="shared" si="1"/>
        <v/>
      </c>
      <c r="L12" s="48" t="str">
        <f t="shared" si="2"/>
        <v/>
      </c>
      <c r="M12" s="112">
        <f t="shared" si="3"/>
        <v>60.9</v>
      </c>
      <c r="N12" s="11">
        <f t="shared" si="4"/>
        <v>24.6</v>
      </c>
      <c r="O12" s="11">
        <f t="shared" si="5"/>
        <v>26.7</v>
      </c>
      <c r="P12" s="110">
        <f t="shared" si="6"/>
        <v>61.2</v>
      </c>
      <c r="Q12" s="89">
        <f t="shared" si="7"/>
        <v>5.2999999999999972</v>
      </c>
      <c r="R12" s="154">
        <v>24.6</v>
      </c>
      <c r="S12" s="149">
        <v>26.7</v>
      </c>
      <c r="T12" s="155">
        <f t="shared" si="8"/>
        <v>51.3</v>
      </c>
      <c r="U12" s="149"/>
      <c r="V12" s="182">
        <v>1</v>
      </c>
      <c r="W12" s="154">
        <v>31</v>
      </c>
      <c r="X12" s="149">
        <v>29.9</v>
      </c>
      <c r="Y12" s="155">
        <f t="shared" si="9"/>
        <v>60.9</v>
      </c>
      <c r="Z12" s="149">
        <f>30.8+30.4</f>
        <v>61.2</v>
      </c>
      <c r="AA12" s="182">
        <v>2</v>
      </c>
      <c r="AB12" s="154"/>
      <c r="AC12" s="149"/>
      <c r="AD12" s="155">
        <f t="shared" si="10"/>
        <v>0</v>
      </c>
      <c r="AE12" s="149"/>
      <c r="AF12" s="182"/>
      <c r="AG12" s="161">
        <f t="shared" si="11"/>
        <v>5.2999999999999972</v>
      </c>
      <c r="AH12" s="162">
        <f t="shared" si="11"/>
        <v>3.4000000000000021</v>
      </c>
      <c r="AI12" s="162">
        <f t="shared" si="11"/>
        <v>-34.6</v>
      </c>
      <c r="AJ12" s="154">
        <f t="shared" si="12"/>
        <v>29.9</v>
      </c>
      <c r="AK12" s="149">
        <f t="shared" si="13"/>
        <v>30.1</v>
      </c>
      <c r="AL12" s="11">
        <f t="shared" si="14"/>
        <v>26.6</v>
      </c>
      <c r="AM12" s="200">
        <v>29.9</v>
      </c>
      <c r="AN12" s="201">
        <v>30.1</v>
      </c>
      <c r="AO12" s="202">
        <f t="shared" si="15"/>
        <v>60</v>
      </c>
      <c r="AP12" s="204">
        <v>26.6</v>
      </c>
      <c r="AQ12" s="154"/>
      <c r="AR12" s="149"/>
      <c r="AS12" s="163" t="str">
        <f t="shared" si="16"/>
        <v/>
      </c>
      <c r="AT12" s="150"/>
      <c r="AU12" s="154"/>
      <c r="AV12" s="149"/>
      <c r="AW12" s="163" t="str">
        <f t="shared" si="17"/>
        <v/>
      </c>
      <c r="AX12" s="150"/>
      <c r="AY12" s="158"/>
      <c r="AZ12" s="158"/>
      <c r="BA12" s="158"/>
      <c r="BB12" s="150"/>
      <c r="BC12" s="158"/>
      <c r="BD12" s="158"/>
      <c r="BE12" s="158"/>
      <c r="BF12" s="150"/>
      <c r="BG12" s="158"/>
      <c r="BH12" s="158"/>
      <c r="BI12" s="158"/>
      <c r="BJ12" s="150"/>
      <c r="BK12" s="158"/>
      <c r="BL12" s="158"/>
      <c r="BM12" s="158"/>
      <c r="BN12" s="150"/>
      <c r="BO12" s="158"/>
      <c r="BP12" s="158"/>
      <c r="BQ12" s="158"/>
      <c r="BR12" s="150"/>
      <c r="BS12" s="158"/>
      <c r="BT12" s="158"/>
      <c r="BU12" s="158"/>
      <c r="BV12" s="150"/>
      <c r="BW12" s="158"/>
      <c r="BX12" s="158"/>
      <c r="BY12" s="158"/>
      <c r="BZ12" s="150"/>
      <c r="CA12" s="129"/>
      <c r="CB12" s="129"/>
      <c r="CC12" s="129"/>
      <c r="CD12" s="189"/>
    </row>
    <row r="13" spans="1:82" s="12" customFormat="1">
      <c r="A13" s="15"/>
      <c r="B13" s="87"/>
      <c r="C13" s="130"/>
      <c r="D13" s="130"/>
      <c r="E13" s="130"/>
      <c r="F13" s="7"/>
      <c r="G13" s="179"/>
      <c r="H13" s="47"/>
      <c r="I13" s="47"/>
      <c r="J13" s="47"/>
      <c r="K13" s="47"/>
      <c r="L13" s="205"/>
      <c r="M13" s="7"/>
      <c r="N13" s="7"/>
      <c r="O13" s="7"/>
      <c r="P13" s="7"/>
      <c r="Q13" s="89"/>
      <c r="R13" s="158"/>
      <c r="S13" s="158"/>
      <c r="T13" s="155"/>
      <c r="U13" s="158"/>
      <c r="V13" s="206"/>
      <c r="W13" s="158"/>
      <c r="X13" s="158"/>
      <c r="Y13" s="155"/>
      <c r="Z13" s="158"/>
      <c r="AA13" s="206"/>
      <c r="AB13" s="158"/>
      <c r="AC13" s="158"/>
      <c r="AD13" s="155"/>
      <c r="AE13" s="158"/>
      <c r="AF13" s="206"/>
      <c r="AG13" s="162"/>
      <c r="AH13" s="162"/>
      <c r="AI13" s="162"/>
      <c r="AJ13" s="11"/>
      <c r="AK13" s="11"/>
      <c r="AL13" s="11"/>
      <c r="AM13" s="158"/>
      <c r="AN13" s="149"/>
      <c r="AO13" s="158"/>
      <c r="AP13" s="158"/>
      <c r="AQ13" s="158"/>
      <c r="AR13" s="149"/>
      <c r="AS13" s="158"/>
      <c r="AT13" s="158"/>
      <c r="AU13" s="158"/>
      <c r="AV13" s="149"/>
      <c r="AW13" s="158"/>
      <c r="AX13" s="158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</row>
    <row r="14" spans="1:82" s="12" customFormat="1">
      <c r="A14" s="15"/>
      <c r="B14" s="87"/>
      <c r="C14" s="130"/>
      <c r="D14" s="130"/>
      <c r="E14" s="130"/>
      <c r="F14" s="7"/>
      <c r="G14" s="179"/>
      <c r="H14" s="47"/>
      <c r="I14" s="47"/>
      <c r="J14" s="47"/>
      <c r="K14" s="47"/>
      <c r="L14" s="205"/>
      <c r="M14" s="7"/>
      <c r="N14" s="7"/>
      <c r="O14" s="7"/>
      <c r="P14" s="7"/>
      <c r="Q14" s="89"/>
      <c r="R14" s="158"/>
      <c r="S14" s="158"/>
      <c r="T14" s="155"/>
      <c r="U14" s="158"/>
      <c r="V14" s="206"/>
      <c r="W14" s="158"/>
      <c r="X14" s="158"/>
      <c r="Y14" s="155"/>
      <c r="Z14" s="158"/>
      <c r="AA14" s="206"/>
      <c r="AB14" s="158"/>
      <c r="AC14" s="158"/>
      <c r="AD14" s="155"/>
      <c r="AE14" s="158"/>
      <c r="AF14" s="206"/>
      <c r="AG14" s="162"/>
      <c r="AH14" s="162"/>
      <c r="AI14" s="162"/>
      <c r="AJ14" s="11"/>
      <c r="AK14" s="11"/>
      <c r="AL14" s="11"/>
      <c r="AM14" s="158"/>
      <c r="AN14" s="149"/>
      <c r="AO14" s="158"/>
      <c r="AP14" s="158"/>
      <c r="AQ14" s="158"/>
      <c r="AR14" s="149"/>
      <c r="AS14" s="158"/>
      <c r="AT14" s="158"/>
      <c r="AU14" s="158"/>
      <c r="AV14" s="149"/>
      <c r="AW14" s="158"/>
      <c r="AX14" s="158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</row>
    <row r="15" spans="1:82" s="12" customFormat="1">
      <c r="A15" s="15"/>
      <c r="B15" s="87"/>
      <c r="C15" s="130"/>
      <c r="D15" s="130"/>
      <c r="E15" s="130"/>
      <c r="F15" s="7"/>
      <c r="G15" s="179"/>
      <c r="H15" s="47"/>
      <c r="I15" s="47"/>
      <c r="J15" s="47"/>
      <c r="K15" s="47"/>
      <c r="L15" s="205"/>
      <c r="M15" s="7"/>
      <c r="N15" s="7"/>
      <c r="O15" s="7"/>
      <c r="P15" s="7"/>
      <c r="Q15" s="89"/>
      <c r="R15" s="158"/>
      <c r="S15" s="158"/>
      <c r="T15" s="155"/>
      <c r="U15" s="158"/>
      <c r="V15" s="206"/>
      <c r="W15" s="158"/>
      <c r="X15" s="158"/>
      <c r="Y15" s="155"/>
      <c r="Z15" s="158"/>
      <c r="AA15" s="206"/>
      <c r="AB15" s="158"/>
      <c r="AC15" s="158"/>
      <c r="AD15" s="155"/>
      <c r="AE15" s="158"/>
      <c r="AF15" s="206"/>
      <c r="AG15" s="162"/>
      <c r="AH15" s="162"/>
      <c r="AI15" s="162"/>
      <c r="AJ15" s="11"/>
      <c r="AK15" s="11"/>
      <c r="AL15" s="11"/>
      <c r="AM15" s="158"/>
      <c r="AN15" s="149"/>
      <c r="AO15" s="158"/>
      <c r="AP15" s="158"/>
      <c r="AQ15" s="158"/>
      <c r="AR15" s="149"/>
      <c r="AS15" s="158"/>
      <c r="AT15" s="158"/>
      <c r="AU15" s="158"/>
      <c r="AV15" s="149"/>
      <c r="AW15" s="158"/>
      <c r="AX15" s="158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</row>
    <row r="16" spans="1:82" s="12" customFormat="1">
      <c r="A16" s="15"/>
      <c r="B16" s="87"/>
      <c r="C16" s="130"/>
      <c r="D16" s="130"/>
      <c r="E16" s="130"/>
      <c r="F16" s="7"/>
      <c r="G16" s="179"/>
      <c r="H16" s="47"/>
      <c r="I16" s="47"/>
      <c r="J16" s="47"/>
      <c r="K16" s="47"/>
      <c r="L16" s="205"/>
      <c r="M16" s="7"/>
      <c r="N16" s="7"/>
      <c r="O16" s="7"/>
      <c r="P16" s="7"/>
      <c r="Q16" s="89"/>
      <c r="R16" s="158"/>
      <c r="S16" s="158"/>
      <c r="T16" s="155"/>
      <c r="U16" s="158"/>
      <c r="V16" s="206"/>
      <c r="W16" s="158"/>
      <c r="X16" s="158"/>
      <c r="Y16" s="155"/>
      <c r="Z16" s="158"/>
      <c r="AA16" s="206"/>
      <c r="AB16" s="158"/>
      <c r="AC16" s="158"/>
      <c r="AD16" s="155"/>
      <c r="AE16" s="158"/>
      <c r="AF16" s="206"/>
      <c r="AG16" s="162"/>
      <c r="AH16" s="162"/>
      <c r="AI16" s="162"/>
      <c r="AJ16" s="11"/>
      <c r="AK16" s="11"/>
      <c r="AL16" s="11"/>
      <c r="AM16" s="158"/>
      <c r="AN16" s="149"/>
      <c r="AO16" s="158"/>
      <c r="AP16" s="158"/>
      <c r="AQ16" s="158"/>
      <c r="AR16" s="149"/>
      <c r="AS16" s="158"/>
      <c r="AT16" s="158"/>
      <c r="AU16" s="158"/>
      <c r="AV16" s="149"/>
      <c r="AW16" s="158"/>
      <c r="AX16" s="158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</row>
    <row r="17" spans="1:150" s="12" customFormat="1">
      <c r="A17" s="15"/>
      <c r="B17" s="87"/>
      <c r="C17" s="130"/>
      <c r="D17" s="130"/>
      <c r="E17" s="130"/>
      <c r="F17" s="7"/>
      <c r="G17" s="179"/>
      <c r="H17" s="47"/>
      <c r="I17" s="47"/>
      <c r="J17" s="47"/>
      <c r="K17" s="47"/>
      <c r="L17" s="205"/>
      <c r="M17" s="7"/>
      <c r="N17" s="7"/>
      <c r="O17" s="7"/>
      <c r="P17" s="7"/>
      <c r="Q17" s="89"/>
      <c r="R17" s="158"/>
      <c r="S17" s="158"/>
      <c r="T17" s="155"/>
      <c r="U17" s="158"/>
      <c r="V17" s="206"/>
      <c r="W17" s="158"/>
      <c r="X17" s="158"/>
      <c r="Y17" s="155"/>
      <c r="Z17" s="158"/>
      <c r="AA17" s="206"/>
      <c r="AB17" s="158"/>
      <c r="AC17" s="158"/>
      <c r="AD17" s="155"/>
      <c r="AE17" s="158"/>
      <c r="AF17" s="206"/>
      <c r="AG17" s="162"/>
      <c r="AH17" s="162"/>
      <c r="AI17" s="162"/>
      <c r="AJ17" s="11"/>
      <c r="AK17" s="11"/>
      <c r="AL17" s="11"/>
      <c r="AM17" s="158"/>
      <c r="AN17" s="149"/>
      <c r="AO17" s="158"/>
      <c r="AP17" s="158"/>
      <c r="AQ17" s="158"/>
      <c r="AR17" s="149"/>
      <c r="AS17" s="158"/>
      <c r="AT17" s="158"/>
      <c r="AU17" s="158"/>
      <c r="AV17" s="149"/>
      <c r="AW17" s="158"/>
      <c r="AX17" s="158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</row>
    <row r="18" spans="1:150" s="12" customFormat="1">
      <c r="A18" s="15"/>
      <c r="B18" s="88" t="s">
        <v>45</v>
      </c>
      <c r="C18" s="130"/>
      <c r="D18" s="130"/>
      <c r="E18" s="130"/>
      <c r="F18" s="7"/>
      <c r="G18" s="179"/>
      <c r="H18" s="47"/>
      <c r="I18" s="47"/>
      <c r="J18" s="47"/>
      <c r="K18" s="47"/>
      <c r="L18" s="205"/>
      <c r="M18" s="7"/>
      <c r="N18" s="7"/>
      <c r="O18" s="7"/>
      <c r="P18" s="7"/>
      <c r="Q18" s="89"/>
      <c r="R18" s="158"/>
      <c r="S18" s="158"/>
      <c r="T18" s="155"/>
      <c r="U18" s="158"/>
      <c r="V18" s="206"/>
      <c r="W18" s="158"/>
      <c r="X18" s="158"/>
      <c r="Y18" s="155"/>
      <c r="Z18" s="158"/>
      <c r="AA18" s="206"/>
      <c r="AB18" s="158"/>
      <c r="AC18" s="158"/>
      <c r="AD18" s="155"/>
      <c r="AE18" s="158"/>
      <c r="AF18" s="206"/>
      <c r="AG18" s="162"/>
      <c r="AH18" s="162"/>
      <c r="AI18" s="162"/>
      <c r="AJ18" s="11"/>
      <c r="AK18" s="11"/>
      <c r="AL18" s="11"/>
      <c r="AM18" s="158"/>
      <c r="AN18" s="149"/>
      <c r="AO18" s="158"/>
      <c r="AP18" s="158"/>
      <c r="AQ18" s="158"/>
      <c r="AR18" s="149"/>
      <c r="AS18" s="158"/>
      <c r="AT18" s="158"/>
      <c r="AU18" s="158"/>
      <c r="AV18" s="149"/>
      <c r="AW18" s="158"/>
      <c r="AX18" s="158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</row>
    <row r="19" spans="1:150" s="12" customFormat="1">
      <c r="A19" s="15"/>
      <c r="B19" s="90" t="s">
        <v>68</v>
      </c>
      <c r="C19" s="7"/>
      <c r="D19" s="7"/>
      <c r="E19" s="7"/>
      <c r="F19" s="7"/>
      <c r="G19" s="7"/>
      <c r="H19" s="7"/>
      <c r="I19" s="7"/>
      <c r="J19" s="7"/>
      <c r="K19" s="91"/>
      <c r="L19" s="205"/>
      <c r="M19" s="7"/>
      <c r="N19" s="7"/>
      <c r="O19" s="7"/>
      <c r="P19" s="7"/>
      <c r="Q19" s="89"/>
      <c r="R19" s="158"/>
      <c r="S19" s="158"/>
      <c r="T19" s="155"/>
      <c r="U19" s="158"/>
      <c r="V19" s="206"/>
      <c r="W19" s="158"/>
      <c r="X19" s="158"/>
      <c r="Y19" s="155"/>
      <c r="Z19" s="158"/>
      <c r="AA19" s="206"/>
      <c r="AB19" s="158"/>
      <c r="AC19" s="158"/>
      <c r="AD19" s="155"/>
      <c r="AE19" s="158"/>
      <c r="AF19" s="206"/>
      <c r="AG19" s="162"/>
      <c r="AH19" s="162"/>
      <c r="AI19" s="162"/>
      <c r="AJ19" s="11"/>
      <c r="AK19" s="11"/>
      <c r="AL19" s="11"/>
      <c r="AM19" s="158"/>
      <c r="AN19" s="149"/>
      <c r="AO19" s="158"/>
      <c r="AP19" s="158"/>
      <c r="AQ19" s="158"/>
      <c r="AR19" s="149"/>
      <c r="AS19" s="158"/>
      <c r="AT19" s="158"/>
      <c r="AU19" s="158"/>
      <c r="AV19" s="149"/>
      <c r="AW19" s="158"/>
      <c r="AX19" s="158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</row>
    <row r="20" spans="1:150" s="12" customFormat="1">
      <c r="A20" s="15"/>
      <c r="B20" s="175" t="s">
        <v>124</v>
      </c>
      <c r="C20" s="102"/>
      <c r="D20" s="102"/>
      <c r="E20" s="102"/>
      <c r="F20" s="102"/>
      <c r="G20" s="102"/>
      <c r="H20" s="7"/>
      <c r="I20" s="7"/>
      <c r="J20" s="7"/>
      <c r="K20" s="91"/>
      <c r="L20" s="205"/>
      <c r="M20" s="7"/>
      <c r="N20" s="7"/>
      <c r="O20" s="7"/>
      <c r="P20" s="7"/>
      <c r="Q20" s="89"/>
      <c r="R20" s="158"/>
      <c r="S20" s="158"/>
      <c r="T20" s="155"/>
      <c r="U20" s="158"/>
      <c r="V20" s="206"/>
      <c r="W20" s="158"/>
      <c r="X20" s="158"/>
      <c r="Y20" s="155"/>
      <c r="Z20" s="158"/>
      <c r="AA20" s="206"/>
      <c r="AB20" s="158"/>
      <c r="AC20" s="158"/>
      <c r="AD20" s="155"/>
      <c r="AE20" s="158"/>
      <c r="AF20" s="206"/>
      <c r="AG20" s="162"/>
      <c r="AH20" s="162"/>
      <c r="AI20" s="162"/>
      <c r="AJ20" s="11"/>
      <c r="AK20" s="11"/>
      <c r="AL20" s="11"/>
      <c r="AM20" s="158"/>
      <c r="AN20" s="149"/>
      <c r="AO20" s="158"/>
      <c r="AP20" s="158"/>
      <c r="AQ20" s="158"/>
      <c r="AR20" s="149"/>
      <c r="AS20" s="158"/>
      <c r="AT20" s="158"/>
      <c r="AU20" s="158"/>
      <c r="AV20" s="149"/>
      <c r="AW20" s="158"/>
      <c r="AX20" s="158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</row>
    <row r="21" spans="1:150">
      <c r="B21" s="87" t="s">
        <v>142</v>
      </c>
      <c r="G21" s="7"/>
      <c r="M21" s="86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</row>
    <row r="22" spans="1:150">
      <c r="B22" s="87" t="s">
        <v>152</v>
      </c>
      <c r="C22" s="43"/>
      <c r="D22" s="43"/>
      <c r="E22" s="43"/>
      <c r="F22" s="4"/>
      <c r="G22" s="7"/>
      <c r="H22" s="27"/>
      <c r="M22" s="86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</row>
    <row r="23" spans="1:150" ht="13.5" thickBot="1">
      <c r="AQ23" s="149"/>
      <c r="AR23" s="149"/>
      <c r="AS23" s="149"/>
      <c r="AT23" s="149"/>
      <c r="AZ23" s="149"/>
    </row>
    <row r="24" spans="1:150">
      <c r="B24" s="93" t="s">
        <v>31</v>
      </c>
      <c r="C24" s="94">
        <v>2004</v>
      </c>
      <c r="D24" s="43"/>
      <c r="E24" s="43"/>
      <c r="AN24" s="64" t="s">
        <v>107</v>
      </c>
      <c r="AQ24" s="149"/>
      <c r="AR24" s="149"/>
      <c r="AS24" s="149"/>
      <c r="AT24" s="149"/>
      <c r="AZ24" s="149"/>
    </row>
    <row r="25" spans="1:150">
      <c r="B25" s="95" t="s">
        <v>32</v>
      </c>
      <c r="C25" s="96">
        <v>2003</v>
      </c>
      <c r="D25" s="43"/>
      <c r="E25" s="43"/>
      <c r="AN25" s="77" t="s">
        <v>46</v>
      </c>
      <c r="AQ25" s="149"/>
      <c r="AR25" s="149"/>
      <c r="AS25" s="149"/>
      <c r="AT25" s="149"/>
      <c r="AZ25" s="149"/>
    </row>
    <row r="26" spans="1:150">
      <c r="B26" s="95" t="s">
        <v>33</v>
      </c>
      <c r="C26" s="96">
        <v>2002</v>
      </c>
      <c r="D26" s="43"/>
      <c r="E26" s="43"/>
      <c r="AN26" s="97" t="s">
        <v>47</v>
      </c>
      <c r="AQ26" s="149"/>
      <c r="AR26" s="149"/>
      <c r="AS26" s="149"/>
      <c r="AT26" s="149"/>
      <c r="AZ26" s="149"/>
    </row>
    <row r="27" spans="1:150">
      <c r="B27" s="95" t="s">
        <v>34</v>
      </c>
      <c r="C27" s="96">
        <v>2001</v>
      </c>
      <c r="D27" s="43"/>
      <c r="E27" s="43"/>
      <c r="AN27" s="51"/>
      <c r="AQ27" s="149"/>
      <c r="AR27" s="149"/>
      <c r="AS27" s="149"/>
      <c r="AT27" s="149"/>
      <c r="AZ27" s="149"/>
    </row>
    <row r="28" spans="1:150">
      <c r="B28" s="95" t="s">
        <v>35</v>
      </c>
      <c r="C28" s="96">
        <v>2000</v>
      </c>
      <c r="D28" s="43"/>
      <c r="E28" s="43"/>
      <c r="AQ28" s="149"/>
      <c r="AR28" s="149"/>
      <c r="AS28" s="149"/>
      <c r="AT28" s="149"/>
      <c r="AZ28" s="149"/>
    </row>
    <row r="29" spans="1:150" ht="13.5" thickBot="1">
      <c r="B29" s="98" t="s">
        <v>67</v>
      </c>
      <c r="C29" s="99" t="s">
        <v>134</v>
      </c>
      <c r="D29" s="43"/>
      <c r="E29" s="43"/>
      <c r="AZ29" s="149"/>
    </row>
  </sheetData>
  <sortState ref="A7:ET12">
    <sortCondition descending="1" ref="I7:I12"/>
    <sortCondition descending="1" ref="K7:K12"/>
    <sortCondition descending="1" ref="H7:H12"/>
  </sortState>
  <mergeCells count="37">
    <mergeCell ref="BS1:BV1"/>
    <mergeCell ref="BW1:BZ1"/>
    <mergeCell ref="BW2:BZ2"/>
    <mergeCell ref="BO1:BR1"/>
    <mergeCell ref="AY1:BB1"/>
    <mergeCell ref="BG1:BJ1"/>
    <mergeCell ref="AY2:BB2"/>
    <mergeCell ref="BC2:BF2"/>
    <mergeCell ref="BK1:BN1"/>
    <mergeCell ref="M2:P2"/>
    <mergeCell ref="R2:V2"/>
    <mergeCell ref="M1:P1"/>
    <mergeCell ref="AG1:AI1"/>
    <mergeCell ref="AJ1:AL1"/>
    <mergeCell ref="AJ2:AL2"/>
    <mergeCell ref="R1:V1"/>
    <mergeCell ref="W1:AA1"/>
    <mergeCell ref="W2:AA2"/>
    <mergeCell ref="AB1:AF1"/>
    <mergeCell ref="AB2:AF2"/>
    <mergeCell ref="AG2:AI2"/>
    <mergeCell ref="AU3:AX3"/>
    <mergeCell ref="AQ3:AT3"/>
    <mergeCell ref="AM3:AP3"/>
    <mergeCell ref="AM1:AP1"/>
    <mergeCell ref="CA1:CD1"/>
    <mergeCell ref="CA2:CD2"/>
    <mergeCell ref="BO2:BR2"/>
    <mergeCell ref="BS2:BV2"/>
    <mergeCell ref="AM2:AP2"/>
    <mergeCell ref="AQ2:AT2"/>
    <mergeCell ref="AQ1:AT1"/>
    <mergeCell ref="AU1:AX1"/>
    <mergeCell ref="AU2:AX2"/>
    <mergeCell ref="BG2:BJ2"/>
    <mergeCell ref="BK2:BN2"/>
    <mergeCell ref="BC1:BF1"/>
  </mergeCells>
  <phoneticPr fontId="0" type="noConversion"/>
  <pageMargins left="0.59055118110236227" right="0.59055118110236227" top="0.78740157480314965" bottom="0.78740157480314965" header="0.51181102362204722" footer="0.51181102362204722"/>
  <pageSetup scale="35" orientation="landscape" r:id="rId1"/>
  <headerFooter alignWithMargins="0">
    <oddHeader>&amp;F</oddHeader>
  </headerFooter>
  <colBreaks count="1" manualBreakCount="1">
    <brk id="22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DI30"/>
  <sheetViews>
    <sheetView view="pageBreakPreview" zoomScale="80" zoomScaleNormal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7109375" style="87" customWidth="1"/>
    <col min="3" max="3" width="7.7109375" style="7" customWidth="1"/>
    <col min="4" max="4" width="35.7109375" style="7" customWidth="1"/>
    <col min="5" max="5" width="7.7109375" style="7" customWidth="1"/>
    <col min="6" max="10" width="8.7109375" style="7" customWidth="1"/>
    <col min="11" max="11" width="8.7109375" style="91" customWidth="1"/>
    <col min="12" max="12" width="8.7109375" style="92" customWidth="1"/>
    <col min="13" max="18" width="8.7109375" style="7" customWidth="1"/>
    <col min="19" max="20" width="8.7109375" style="11" customWidth="1"/>
    <col min="21" max="22" width="8.7109375" style="11" hidden="1" customWidth="1"/>
    <col min="23" max="30" width="8.7109375" style="11" customWidth="1"/>
    <col min="31" max="32" width="8.7109375" style="11" hidden="1" customWidth="1"/>
    <col min="33" max="47" width="8.7109375" style="11" customWidth="1"/>
    <col min="48" max="49" width="17.85546875" style="11" customWidth="1"/>
    <col min="50" max="57" width="17.7109375" style="11" customWidth="1"/>
    <col min="58" max="67" width="17.7109375" style="87" customWidth="1"/>
    <col min="68" max="16384" width="9.140625" style="87"/>
  </cols>
  <sheetData>
    <row r="1" spans="1:67" s="12" customFormat="1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38" t="s">
        <v>12</v>
      </c>
      <c r="N1" s="239"/>
      <c r="O1" s="239"/>
      <c r="P1" s="239"/>
      <c r="Q1" s="240"/>
      <c r="R1" s="107" t="s">
        <v>133</v>
      </c>
      <c r="S1" s="238" t="s">
        <v>77</v>
      </c>
      <c r="T1" s="239"/>
      <c r="U1" s="239"/>
      <c r="V1" s="239"/>
      <c r="W1" s="239"/>
      <c r="X1" s="239"/>
      <c r="Y1" s="239"/>
      <c r="Z1" s="239"/>
      <c r="AA1" s="239"/>
      <c r="AB1" s="239"/>
      <c r="AC1" s="238" t="s">
        <v>88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8" t="s">
        <v>109</v>
      </c>
      <c r="AN1" s="239"/>
      <c r="AO1" s="239"/>
      <c r="AP1" s="239"/>
      <c r="AQ1" s="239"/>
      <c r="AR1" s="239"/>
      <c r="AS1" s="239"/>
      <c r="AT1" s="239"/>
      <c r="AU1" s="239"/>
      <c r="AV1" s="235" t="s">
        <v>16</v>
      </c>
      <c r="AW1" s="235" t="s">
        <v>10</v>
      </c>
      <c r="AX1" s="253" t="s">
        <v>105</v>
      </c>
      <c r="AY1" s="259"/>
      <c r="AZ1" s="253" t="s">
        <v>106</v>
      </c>
      <c r="BA1" s="259"/>
      <c r="BB1" s="227"/>
      <c r="BC1" s="228"/>
      <c r="BD1" s="227"/>
      <c r="BE1" s="228"/>
      <c r="BF1" s="227"/>
      <c r="BG1" s="228"/>
      <c r="BH1" s="227"/>
      <c r="BI1" s="228"/>
      <c r="BJ1" s="227"/>
      <c r="BK1" s="228"/>
      <c r="BL1" s="227"/>
      <c r="BM1" s="228"/>
      <c r="BN1" s="227"/>
      <c r="BO1" s="228"/>
    </row>
    <row r="2" spans="1:67" s="12" customFormat="1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5">
        <v>265.2</v>
      </c>
      <c r="L2" s="145">
        <v>276</v>
      </c>
      <c r="M2" s="238" t="s">
        <v>11</v>
      </c>
      <c r="N2" s="239"/>
      <c r="O2" s="239"/>
      <c r="P2" s="239"/>
      <c r="Q2" s="240"/>
      <c r="R2" s="107" t="s">
        <v>11</v>
      </c>
      <c r="S2" s="238" t="s">
        <v>78</v>
      </c>
      <c r="T2" s="239"/>
      <c r="U2" s="239"/>
      <c r="V2" s="239"/>
      <c r="W2" s="239"/>
      <c r="X2" s="239"/>
      <c r="Y2" s="239"/>
      <c r="Z2" s="239"/>
      <c r="AA2" s="239"/>
      <c r="AB2" s="239"/>
      <c r="AC2" s="238" t="s">
        <v>89</v>
      </c>
      <c r="AD2" s="239"/>
      <c r="AE2" s="239"/>
      <c r="AF2" s="239"/>
      <c r="AG2" s="239"/>
      <c r="AH2" s="239"/>
      <c r="AI2" s="239"/>
      <c r="AJ2" s="239"/>
      <c r="AK2" s="239"/>
      <c r="AL2" s="239"/>
      <c r="AM2" s="238" t="s">
        <v>110</v>
      </c>
      <c r="AN2" s="239"/>
      <c r="AO2" s="239"/>
      <c r="AP2" s="239"/>
      <c r="AQ2" s="239"/>
      <c r="AR2" s="239"/>
      <c r="AS2" s="239"/>
      <c r="AT2" s="239"/>
      <c r="AU2" s="239"/>
      <c r="AV2" s="235" t="s">
        <v>17</v>
      </c>
      <c r="AW2" s="235" t="s">
        <v>11</v>
      </c>
      <c r="AX2" s="253" t="s">
        <v>104</v>
      </c>
      <c r="AY2" s="254"/>
      <c r="AZ2" s="253" t="s">
        <v>108</v>
      </c>
      <c r="BA2" s="254"/>
      <c r="BB2" s="111"/>
      <c r="BC2" s="113"/>
      <c r="BD2" s="111"/>
      <c r="BE2" s="113"/>
      <c r="BF2" s="111"/>
      <c r="BG2" s="113"/>
      <c r="BH2" s="111"/>
      <c r="BI2" s="113"/>
      <c r="BJ2" s="111"/>
      <c r="BK2" s="113"/>
      <c r="BL2" s="111"/>
      <c r="BM2" s="113"/>
      <c r="BN2" s="111"/>
      <c r="BO2" s="113"/>
    </row>
    <row r="3" spans="1:67" s="12" customFormat="1">
      <c r="A3" s="15"/>
      <c r="B3" s="2" t="s">
        <v>28</v>
      </c>
      <c r="C3" s="2"/>
      <c r="D3" s="2"/>
      <c r="E3" s="2"/>
      <c r="F3" s="15"/>
      <c r="G3" s="15"/>
      <c r="H3" s="20"/>
      <c r="I3" s="7">
        <v>13.2</v>
      </c>
      <c r="J3" s="7"/>
      <c r="K3" s="17"/>
      <c r="L3" s="18"/>
      <c r="M3" s="20"/>
      <c r="N3" s="7"/>
      <c r="O3" s="7"/>
      <c r="P3" s="7"/>
      <c r="Q3" s="21"/>
      <c r="R3" s="108"/>
      <c r="S3" s="209"/>
      <c r="T3" s="17"/>
      <c r="U3" s="17"/>
      <c r="V3" s="17"/>
      <c r="W3" s="11"/>
      <c r="X3" s="210"/>
      <c r="Y3" s="211">
        <v>67.599999999999994</v>
      </c>
      <c r="Z3" s="17">
        <v>68.400000000000006</v>
      </c>
      <c r="AA3" s="210">
        <v>69.8</v>
      </c>
      <c r="AB3" s="212"/>
      <c r="AC3" s="209"/>
      <c r="AD3" s="17"/>
      <c r="AE3" s="17"/>
      <c r="AF3" s="17"/>
      <c r="AG3" s="11"/>
      <c r="AH3" s="210"/>
      <c r="AI3" s="211">
        <v>67.599999999999994</v>
      </c>
      <c r="AJ3" s="17">
        <v>68.400000000000006</v>
      </c>
      <c r="AK3" s="210">
        <v>69.8</v>
      </c>
      <c r="AL3" s="212"/>
      <c r="AM3" s="209"/>
      <c r="AN3" s="211"/>
      <c r="AO3" s="211"/>
      <c r="AP3" s="17"/>
      <c r="AQ3" s="11"/>
      <c r="AR3" s="211">
        <v>131.4</v>
      </c>
      <c r="AS3" s="17">
        <v>132.6</v>
      </c>
      <c r="AT3" s="210">
        <v>138</v>
      </c>
      <c r="AU3" s="212"/>
      <c r="AV3" s="235"/>
      <c r="AW3" s="235"/>
      <c r="AX3" s="250"/>
      <c r="AY3" s="252"/>
      <c r="AZ3" s="250"/>
      <c r="BA3" s="252"/>
      <c r="BB3" s="250"/>
      <c r="BC3" s="252"/>
      <c r="BD3" s="250"/>
      <c r="BE3" s="252"/>
      <c r="BF3" s="250"/>
      <c r="BG3" s="252"/>
      <c r="BH3" s="250"/>
      <c r="BI3" s="252"/>
      <c r="BJ3" s="250"/>
      <c r="BK3" s="252"/>
      <c r="BL3" s="250"/>
      <c r="BM3" s="252"/>
      <c r="BN3" s="250"/>
      <c r="BO3" s="252"/>
    </row>
    <row r="4" spans="1:67" s="12" customFormat="1">
      <c r="A4" s="15"/>
      <c r="B4" s="2" t="s">
        <v>21</v>
      </c>
      <c r="C4" s="2"/>
      <c r="D4" s="2"/>
      <c r="E4" s="2"/>
      <c r="F4" s="7" t="s">
        <v>36</v>
      </c>
      <c r="G4" s="7"/>
      <c r="H4" s="20" t="s">
        <v>8</v>
      </c>
      <c r="I4" s="29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4" t="s">
        <v>125</v>
      </c>
      <c r="O4" s="7" t="s">
        <v>4</v>
      </c>
      <c r="P4" s="7" t="s">
        <v>4</v>
      </c>
      <c r="Q4" s="21" t="s">
        <v>4</v>
      </c>
      <c r="R4" s="108" t="s">
        <v>4</v>
      </c>
      <c r="S4" s="213"/>
      <c r="T4" s="8"/>
      <c r="U4" s="8"/>
      <c r="V4" s="8"/>
      <c r="W4" s="11"/>
      <c r="X4" s="92"/>
      <c r="Y4" s="30" t="s">
        <v>30</v>
      </c>
      <c r="Z4" s="8" t="s">
        <v>9</v>
      </c>
      <c r="AA4" s="92" t="s">
        <v>14</v>
      </c>
      <c r="AB4" s="212"/>
      <c r="AC4" s="213"/>
      <c r="AD4" s="8"/>
      <c r="AE4" s="8"/>
      <c r="AF4" s="8"/>
      <c r="AG4" s="11"/>
      <c r="AH4" s="92"/>
      <c r="AI4" s="30" t="s">
        <v>30</v>
      </c>
      <c r="AJ4" s="8" t="s">
        <v>9</v>
      </c>
      <c r="AK4" s="92" t="s">
        <v>14</v>
      </c>
      <c r="AL4" s="212"/>
      <c r="AM4" s="213"/>
      <c r="AN4" s="30"/>
      <c r="AO4" s="30"/>
      <c r="AP4" s="8"/>
      <c r="AQ4" s="11"/>
      <c r="AR4" s="30" t="s">
        <v>30</v>
      </c>
      <c r="AS4" s="8" t="s">
        <v>9</v>
      </c>
      <c r="AT4" s="92" t="s">
        <v>14</v>
      </c>
      <c r="AU4" s="212"/>
      <c r="AV4" s="235" t="s">
        <v>4</v>
      </c>
      <c r="AW4" s="235" t="s">
        <v>4</v>
      </c>
      <c r="AX4" s="112"/>
      <c r="AY4" s="110"/>
      <c r="AZ4" s="112"/>
      <c r="BA4" s="110"/>
      <c r="BB4" s="112"/>
      <c r="BC4" s="110"/>
      <c r="BD4" s="112"/>
      <c r="BE4" s="110"/>
      <c r="BF4" s="112"/>
      <c r="BG4" s="110"/>
      <c r="BH4" s="112"/>
      <c r="BI4" s="110"/>
      <c r="BJ4" s="112"/>
      <c r="BK4" s="110"/>
      <c r="BL4" s="112"/>
      <c r="BM4" s="110"/>
      <c r="BN4" s="112"/>
      <c r="BO4" s="110"/>
    </row>
    <row r="5" spans="1:67" s="12" customFormat="1">
      <c r="A5" s="15"/>
      <c r="B5" s="35" t="str">
        <f>'TRA-M'!A1</f>
        <v>MAY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42">
        <v>24</v>
      </c>
      <c r="J5" s="30" t="s">
        <v>13</v>
      </c>
      <c r="K5" s="8" t="s">
        <v>13</v>
      </c>
      <c r="L5" s="9" t="s">
        <v>13</v>
      </c>
      <c r="M5" s="20" t="s">
        <v>2</v>
      </c>
      <c r="N5" s="115" t="s">
        <v>126</v>
      </c>
      <c r="O5" s="229" t="s">
        <v>150</v>
      </c>
      <c r="P5" s="229" t="s">
        <v>151</v>
      </c>
      <c r="Q5" s="21" t="s">
        <v>3</v>
      </c>
      <c r="R5" s="108" t="s">
        <v>15</v>
      </c>
      <c r="S5" s="112" t="s">
        <v>43</v>
      </c>
      <c r="T5" s="11" t="s">
        <v>44</v>
      </c>
      <c r="U5" s="11" t="s">
        <v>143</v>
      </c>
      <c r="V5" s="11" t="s">
        <v>144</v>
      </c>
      <c r="W5" s="214" t="s">
        <v>38</v>
      </c>
      <c r="X5" s="11" t="s">
        <v>39</v>
      </c>
      <c r="Y5" s="11" t="s">
        <v>40</v>
      </c>
      <c r="Z5" s="214" t="s">
        <v>41</v>
      </c>
      <c r="AA5" s="214" t="s">
        <v>8</v>
      </c>
      <c r="AB5" s="215" t="s">
        <v>42</v>
      </c>
      <c r="AC5" s="112" t="s">
        <v>43</v>
      </c>
      <c r="AD5" s="11" t="s">
        <v>44</v>
      </c>
      <c r="AE5" s="11" t="s">
        <v>143</v>
      </c>
      <c r="AF5" s="11" t="s">
        <v>144</v>
      </c>
      <c r="AG5" s="214" t="s">
        <v>38</v>
      </c>
      <c r="AH5" s="11" t="s">
        <v>39</v>
      </c>
      <c r="AI5" s="11" t="s">
        <v>40</v>
      </c>
      <c r="AJ5" s="214" t="s">
        <v>41</v>
      </c>
      <c r="AK5" s="214" t="s">
        <v>8</v>
      </c>
      <c r="AL5" s="215" t="s">
        <v>42</v>
      </c>
      <c r="AM5" s="112" t="s">
        <v>43</v>
      </c>
      <c r="AN5" s="11" t="s">
        <v>44</v>
      </c>
      <c r="AO5" s="11" t="s">
        <v>143</v>
      </c>
      <c r="AP5" s="11" t="s">
        <v>144</v>
      </c>
      <c r="AQ5" s="214" t="s">
        <v>38</v>
      </c>
      <c r="AR5" s="11" t="s">
        <v>39</v>
      </c>
      <c r="AS5" s="11" t="s">
        <v>40</v>
      </c>
      <c r="AT5" s="214" t="s">
        <v>41</v>
      </c>
      <c r="AU5" s="215" t="s">
        <v>42</v>
      </c>
      <c r="AV5" s="235" t="s">
        <v>149</v>
      </c>
      <c r="AW5" s="235" t="s">
        <v>149</v>
      </c>
      <c r="AX5" s="112" t="s">
        <v>2</v>
      </c>
      <c r="AY5" s="11" t="s">
        <v>3</v>
      </c>
      <c r="AZ5" s="112" t="s">
        <v>43</v>
      </c>
      <c r="BA5" s="11" t="s">
        <v>40</v>
      </c>
      <c r="BB5" s="112" t="s">
        <v>2</v>
      </c>
      <c r="BC5" s="110" t="s">
        <v>3</v>
      </c>
      <c r="BD5" s="112" t="s">
        <v>2</v>
      </c>
      <c r="BE5" s="110" t="s">
        <v>3</v>
      </c>
      <c r="BF5" s="112" t="s">
        <v>2</v>
      </c>
      <c r="BG5" s="110" t="s">
        <v>3</v>
      </c>
      <c r="BH5" s="112" t="s">
        <v>2</v>
      </c>
      <c r="BI5" s="110" t="s">
        <v>3</v>
      </c>
      <c r="BJ5" s="112" t="s">
        <v>2</v>
      </c>
      <c r="BK5" s="110" t="s">
        <v>3</v>
      </c>
      <c r="BL5" s="112" t="s">
        <v>2</v>
      </c>
      <c r="BM5" s="110" t="s">
        <v>3</v>
      </c>
      <c r="BN5" s="112" t="s">
        <v>2</v>
      </c>
      <c r="BO5" s="110" t="s">
        <v>3</v>
      </c>
    </row>
    <row r="6" spans="1:67" s="12" customFormat="1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21"/>
      <c r="R6" s="108"/>
      <c r="S6" s="112"/>
      <c r="T6" s="11"/>
      <c r="U6" s="11"/>
      <c r="V6" s="11"/>
      <c r="W6" s="11"/>
      <c r="X6" s="11"/>
      <c r="Y6" s="11"/>
      <c r="Z6" s="11"/>
      <c r="AA6" s="11"/>
      <c r="AB6" s="11"/>
      <c r="AC6" s="112"/>
      <c r="AD6" s="11"/>
      <c r="AE6" s="11"/>
      <c r="AF6" s="11"/>
      <c r="AG6" s="11"/>
      <c r="AH6" s="11"/>
      <c r="AI6" s="11"/>
      <c r="AJ6" s="11"/>
      <c r="AK6" s="11"/>
      <c r="AL6" s="11"/>
      <c r="AM6" s="112"/>
      <c r="AN6" s="11"/>
      <c r="AO6" s="11"/>
      <c r="AP6" s="11"/>
      <c r="AQ6" s="11"/>
      <c r="AR6" s="11"/>
      <c r="AS6" s="11"/>
      <c r="AT6" s="11"/>
      <c r="AU6" s="11"/>
      <c r="AV6" s="235"/>
      <c r="AW6" s="235"/>
      <c r="AX6" s="112"/>
      <c r="AY6" s="110"/>
      <c r="AZ6" s="112"/>
      <c r="BA6" s="110"/>
      <c r="BB6" s="154"/>
      <c r="BC6" s="150"/>
      <c r="BD6" s="154"/>
      <c r="BE6" s="150"/>
      <c r="BF6" s="154"/>
      <c r="BG6" s="150"/>
      <c r="BH6" s="154"/>
      <c r="BI6" s="150"/>
      <c r="BJ6" s="154"/>
      <c r="BK6" s="150"/>
      <c r="BL6" s="154"/>
      <c r="BM6" s="150"/>
      <c r="BN6" s="154"/>
      <c r="BO6" s="150"/>
    </row>
    <row r="7" spans="1:67" s="12" customFormat="1">
      <c r="A7" s="15">
        <v>1</v>
      </c>
      <c r="B7" s="232" t="s">
        <v>74</v>
      </c>
      <c r="C7" s="233" t="s">
        <v>25</v>
      </c>
      <c r="D7" s="185" t="s">
        <v>70</v>
      </c>
      <c r="E7" s="130" t="s">
        <v>65</v>
      </c>
      <c r="F7" s="7">
        <v>2015</v>
      </c>
      <c r="G7" s="226">
        <v>1999</v>
      </c>
      <c r="H7" s="156">
        <f>IF(R7="",SUM(M7:Q7),SUM(M7:R7))</f>
        <v>276.5</v>
      </c>
      <c r="I7" s="45" t="s">
        <v>50</v>
      </c>
      <c r="J7" s="46" t="str">
        <f>IF('TRA-M'!$A$2-F7&lt;=1,IF(W7&gt;=$Y$3,"YES",IF(AG7&gt;=$AI$3,"YES",IF(OR(AQ7&gt;=$AR$3, AT7&gt;=$AR$3),"YES",""))),"")</f>
        <v/>
      </c>
      <c r="K7" s="217" t="str">
        <f>IF(OR(W7&gt;=$Z$3,Z7&gt;=$Z$3),IF(I7="YES","YES",""),IF(OR(AG7&gt;=$AJ$3,AJ7&gt;=$AJ$3),IF(I7="YES","YES",""),IF(OR(AQ7&gt;=$AS$3,AT7&gt;=$AS$3),IF(I7="YES","YES",""),"")))</f>
        <v>YES</v>
      </c>
      <c r="L7" s="218" t="str">
        <f>IF(OR(W7&gt;=$AA$3,Z7&gt;=$AA$3),IF(I7="YES","YES",""),IF(OR(AG7&gt;=$AK$3,AJ7&gt;=$AK$3),IF(I7="YES","YES",""),IF(OR(AQ7&gt;=$AT$3,AT7&gt;=$AT$3),IF(I7="YES","YES",""),"")))</f>
        <v/>
      </c>
      <c r="M7" s="112">
        <f>MAX($W7,$AG7,$AQ7)</f>
        <v>137.6</v>
      </c>
      <c r="N7" s="11"/>
      <c r="O7" s="11">
        <f>IF(M7=$W7,MAX($AC7+$AD7,$AM7+$AN7),IF(M7=$AG7,MAX($S7+$T7,$AM7+$AN7),MAX($S7+$T7,$AC7+$AD7)))</f>
        <v>69.099999999999994</v>
      </c>
      <c r="P7" s="149">
        <f>IF(M7=$W7,MAX($AE7+$AF7,$AO7+$AP7),IF(M7=$AG7,MAX($U7+$V7,$AO7+$AP7),MAX($U7+$V7,$AE7+$AF7)))</f>
        <v>0</v>
      </c>
      <c r="Q7" s="110">
        <f>MAX($Z7,$AJ7,$AT7)</f>
        <v>65.800000000000011</v>
      </c>
      <c r="R7" s="107">
        <f>IF(MAX(AV7:AV7)&lt;=0,"",MAX(AV7:AV7))</f>
        <v>3.9999999999999858</v>
      </c>
      <c r="S7" s="154">
        <v>34.200000000000003</v>
      </c>
      <c r="T7" s="158">
        <v>34.1</v>
      </c>
      <c r="U7" s="158"/>
      <c r="V7" s="158"/>
      <c r="W7" s="155">
        <f>SUM(S7:V7)</f>
        <v>68.300000000000011</v>
      </c>
      <c r="X7" s="149">
        <v>30.3</v>
      </c>
      <c r="Y7" s="149">
        <v>32.9</v>
      </c>
      <c r="Z7" s="155">
        <f>+X7+Y7</f>
        <v>63.2</v>
      </c>
      <c r="AA7" s="155">
        <f>+W7+Z7</f>
        <v>131.5</v>
      </c>
      <c r="AB7" s="220">
        <v>2</v>
      </c>
      <c r="AC7" s="154">
        <v>34.799999999999997</v>
      </c>
      <c r="AD7" s="158">
        <v>34.299999999999997</v>
      </c>
      <c r="AE7" s="158"/>
      <c r="AF7" s="158"/>
      <c r="AG7" s="155">
        <f>SUM(AC7:AF7)</f>
        <v>69.099999999999994</v>
      </c>
      <c r="AH7" s="149">
        <v>32.6</v>
      </c>
      <c r="AI7" s="149">
        <v>33.200000000000003</v>
      </c>
      <c r="AJ7" s="155">
        <f>+AH7+AI7</f>
        <v>65.800000000000011</v>
      </c>
      <c r="AK7" s="155">
        <f>+AG7+AJ7</f>
        <v>134.9</v>
      </c>
      <c r="AL7" s="220">
        <v>2</v>
      </c>
      <c r="AM7" s="154">
        <v>33.9</v>
      </c>
      <c r="AN7" s="149">
        <v>36.1</v>
      </c>
      <c r="AO7" s="149">
        <v>33.799999999999997</v>
      </c>
      <c r="AP7" s="158">
        <v>33.799999999999997</v>
      </c>
      <c r="AQ7" s="160">
        <f>+SUM(AM7:AP7)</f>
        <v>137.6</v>
      </c>
      <c r="AR7" s="149">
        <v>34.5</v>
      </c>
      <c r="AS7" s="191">
        <v>23.3</v>
      </c>
      <c r="AT7" s="155">
        <f>+AR7+AS7</f>
        <v>57.8</v>
      </c>
      <c r="AU7" s="220">
        <v>4</v>
      </c>
      <c r="AV7" s="236">
        <f>IF($AW7="","",IF($O7&gt;$Q7,$AW7-Q7,$AW7-O7))</f>
        <v>3.9999999999999858</v>
      </c>
      <c r="AW7" s="237">
        <f>IF(MAX($AX7:$HK7)=0,"",MAX($AX7:$HK7))</f>
        <v>69.8</v>
      </c>
      <c r="AX7" s="112"/>
      <c r="AY7" s="150"/>
      <c r="AZ7" s="223">
        <f>34.4+35.4</f>
        <v>69.8</v>
      </c>
      <c r="BA7" s="196">
        <f>32.4+32</f>
        <v>64.400000000000006</v>
      </c>
      <c r="BB7" s="154"/>
      <c r="BC7" s="150"/>
      <c r="BD7" s="154"/>
      <c r="BE7" s="150"/>
      <c r="BF7" s="154"/>
      <c r="BG7" s="150"/>
      <c r="BH7" s="154"/>
      <c r="BI7" s="150"/>
      <c r="BJ7" s="154"/>
      <c r="BK7" s="150"/>
      <c r="BL7" s="154"/>
      <c r="BM7" s="150"/>
      <c r="BN7" s="154"/>
      <c r="BO7" s="150"/>
    </row>
    <row r="8" spans="1:67" s="12" customFormat="1">
      <c r="A8" s="15">
        <v>2</v>
      </c>
      <c r="B8" s="61" t="s">
        <v>146</v>
      </c>
      <c r="C8" s="234" t="s">
        <v>26</v>
      </c>
      <c r="D8" s="42" t="s">
        <v>73</v>
      </c>
      <c r="E8" s="130" t="s">
        <v>65</v>
      </c>
      <c r="F8" s="7">
        <v>2017</v>
      </c>
      <c r="G8" s="216">
        <v>2003</v>
      </c>
      <c r="H8" s="156">
        <f>IF(R8="",SUM(M8:Q8),SUM(M8:R8))</f>
        <v>275.20000000000005</v>
      </c>
      <c r="I8" s="45" t="s">
        <v>50</v>
      </c>
      <c r="J8" s="46" t="str">
        <f>IF('TRA-M'!$A$2-F8&lt;=1,IF(W8&gt;=$Y$3,"YES",IF(AG8&gt;=$AI$3,"YES",IF(OR(AQ8&gt;=$AR$3, AT8&gt;=$AR$3),"YES",""))),"")</f>
        <v>YES</v>
      </c>
      <c r="K8" s="217" t="str">
        <f>IF(OR(W8&gt;=$Z$3,Z8&gt;=$Z$3),IF(I8="YES","YES",""),IF(OR(AG8&gt;=$AJ$3,AJ8&gt;=$AJ$3),IF(I8="YES","YES",""),IF(OR(AQ8&gt;=$AS$3,AT8&gt;=$AS$3),IF(I8="YES","YES",""),"")))</f>
        <v>YES</v>
      </c>
      <c r="L8" s="218" t="str">
        <f>IF(OR(W8&gt;=$AA$3,Z8&gt;=$AA$3),IF(I8="YES","YES",""),IF(OR(AG8&gt;=$AK$3,AJ8&gt;=$AK$3),IF(I8="YES","YES",""),IF(OR(AQ8&gt;=$AT$3,AT8&gt;=$AT$3),IF(I8="YES","YES",""),"")))</f>
        <v>YES</v>
      </c>
      <c r="M8" s="112">
        <f>MAX($W8,$AG8,$AQ8)</f>
        <v>138.20000000000002</v>
      </c>
      <c r="N8" s="11"/>
      <c r="O8" s="11">
        <f>IF(M8=$W8,MAX($AC8+$AD8,$AM8+$AN8),IF(M8=$AG8,MAX($S8+$T8,$AM8+$AN8),MAX($S8+$T8,$AC8+$AD8)))</f>
        <v>67.5</v>
      </c>
      <c r="P8" s="149">
        <f>IF(M8=$W8,MAX($AE8+$AF8,$AO8+$AP8),IF(M8=$AG8,MAX($U8+$V8,$AO8+$AP8),MAX($U8+$V8,$AE8+$AF8)))</f>
        <v>0</v>
      </c>
      <c r="Q8" s="110">
        <f>MAX($Z8,$AJ8,$AT8)</f>
        <v>69.5</v>
      </c>
      <c r="R8" s="107" t="str">
        <f>IF(MAX(AV8:AV8)&lt;=0,"",MAX(AV8:AV8))</f>
        <v/>
      </c>
      <c r="S8" s="169">
        <v>32.799999999999997</v>
      </c>
      <c r="T8" s="170">
        <v>33.200000000000003</v>
      </c>
      <c r="U8" s="170"/>
      <c r="V8" s="170"/>
      <c r="W8" s="171">
        <f>SUM(S8:V8)</f>
        <v>66</v>
      </c>
      <c r="X8" s="191">
        <v>0</v>
      </c>
      <c r="Y8" s="172">
        <v>33.299999999999997</v>
      </c>
      <c r="Z8" s="171">
        <f>+X8+Y8</f>
        <v>33.299999999999997</v>
      </c>
      <c r="AA8" s="171">
        <f>+W8+Z8</f>
        <v>99.3</v>
      </c>
      <c r="AB8" s="219"/>
      <c r="AC8" s="169">
        <v>33.9</v>
      </c>
      <c r="AD8" s="170">
        <v>33.6</v>
      </c>
      <c r="AE8" s="170"/>
      <c r="AF8" s="170"/>
      <c r="AG8" s="171">
        <f>SUM(AC8:AF8)</f>
        <v>67.5</v>
      </c>
      <c r="AH8" s="172">
        <v>33.4</v>
      </c>
      <c r="AI8" s="172">
        <v>33.9</v>
      </c>
      <c r="AJ8" s="171">
        <f>+AH8+AI8</f>
        <v>67.3</v>
      </c>
      <c r="AK8" s="171">
        <f>+AG8+AJ8</f>
        <v>134.80000000000001</v>
      </c>
      <c r="AL8" s="219"/>
      <c r="AM8" s="154">
        <v>33.200000000000003</v>
      </c>
      <c r="AN8" s="149">
        <v>34.6</v>
      </c>
      <c r="AO8" s="149">
        <v>35.200000000000003</v>
      </c>
      <c r="AP8" s="158">
        <v>35.200000000000003</v>
      </c>
      <c r="AQ8" s="160">
        <f>+SUM(AM8:AP8)</f>
        <v>138.20000000000002</v>
      </c>
      <c r="AR8" s="149">
        <v>35</v>
      </c>
      <c r="AS8" s="149">
        <v>34.5</v>
      </c>
      <c r="AT8" s="155">
        <f>+AR8+AS8</f>
        <v>69.5</v>
      </c>
      <c r="AU8" s="220">
        <v>2</v>
      </c>
      <c r="AV8" s="236">
        <f>IF($AW8="","",IF($O8&gt;$Q8,$AW8-Q8,$AW8-O8))</f>
        <v>-0.5</v>
      </c>
      <c r="AW8" s="237">
        <f>IF(MAX($AX8:$HK8)=0,"",MAX($AX8:$HK8))</f>
        <v>67</v>
      </c>
      <c r="AX8" s="112"/>
      <c r="AY8" s="150"/>
      <c r="AZ8" s="284">
        <f>32.8+33.4</f>
        <v>66.199999999999989</v>
      </c>
      <c r="BA8" s="285">
        <f>33.3+33.7</f>
        <v>67</v>
      </c>
      <c r="BB8" s="154"/>
      <c r="BC8" s="150"/>
      <c r="BD8" s="154"/>
      <c r="BE8" s="150"/>
      <c r="BF8" s="154"/>
      <c r="BG8" s="150"/>
      <c r="BH8" s="154"/>
      <c r="BI8" s="150"/>
      <c r="BJ8" s="154"/>
      <c r="BK8" s="150"/>
      <c r="BL8" s="154"/>
      <c r="BM8" s="150"/>
      <c r="BN8" s="154"/>
      <c r="BO8" s="150"/>
    </row>
    <row r="9" spans="1:67" s="12" customFormat="1">
      <c r="A9" s="15">
        <v>3</v>
      </c>
      <c r="B9" s="61" t="s">
        <v>79</v>
      </c>
      <c r="C9" s="234" t="s">
        <v>26</v>
      </c>
      <c r="D9" s="185" t="s">
        <v>80</v>
      </c>
      <c r="E9" s="130" t="s">
        <v>65</v>
      </c>
      <c r="F9" s="7">
        <v>2016</v>
      </c>
      <c r="G9" s="216">
        <v>2001</v>
      </c>
      <c r="H9" s="156">
        <f>IF(R9="",SUM(M9:Q9),SUM(M9:R9))</f>
        <v>273.29999999999995</v>
      </c>
      <c r="I9" s="45" t="s">
        <v>50</v>
      </c>
      <c r="J9" s="46" t="str">
        <f>IF('TRA-M'!$A$2-F9&lt;=1,IF(W9&gt;=$Y$3,"YES",IF(AG9&gt;=$AI$3,"YES",IF(OR(AQ9&gt;=$AR$3, AT9&gt;=$AR$3),"YES",""))),"")</f>
        <v>YES</v>
      </c>
      <c r="K9" s="217" t="str">
        <f>IF(OR(W9&gt;=$Z$3,Z9&gt;=$Z$3),IF(I9="YES","YES",""),IF(OR(AG9&gt;=$AJ$3,AJ9&gt;=$AJ$3),IF(I9="YES","YES",""),IF(OR(AQ9&gt;=$AS$3,AT9&gt;=$AS$3),IF(I9="YES","YES",""),"")))</f>
        <v>YES</v>
      </c>
      <c r="L9" s="218" t="str">
        <f>IF(OR(W9&gt;=$AA$3,Z9&gt;=$AA$3),IF(I9="YES","YES",""),IF(OR(AG9&gt;=$AK$3,AJ9&gt;=$AK$3),IF(I9="YES","YES",""),IF(OR(AQ9&gt;=$AT$3,AT9&gt;=$AT$3),IF(I9="YES","YES",""),"")))</f>
        <v/>
      </c>
      <c r="M9" s="112">
        <f>MAX($W9,$AG9,$AQ9)</f>
        <v>137.29999999999998</v>
      </c>
      <c r="N9" s="11"/>
      <c r="O9" s="11">
        <f>IF(M9=$W9,MAX($AC9+$AD9,$AM9+$AN9),IF(M9=$AG9,MAX($S9+$T9,$AM9+$AN9),MAX($S9+$T9,$AC9+$AD9)))</f>
        <v>65.800000000000011</v>
      </c>
      <c r="P9" s="149">
        <f>IF(M9=$W9,MAX($AE9+$AF9,$AO9+$AP9),IF(M9=$AG9,MAX($U9+$V9,$AO9+$AP9),MAX($U9+$V9,$AE9+$AF9)))</f>
        <v>0</v>
      </c>
      <c r="Q9" s="110">
        <f>MAX($Z9,$AJ9,$AT9)</f>
        <v>67.3</v>
      </c>
      <c r="R9" s="107">
        <f>IF(MAX(AV9:AV9)&lt;=0,"",MAX(AV9:AV9))</f>
        <v>2.8999999999999915</v>
      </c>
      <c r="S9" s="154">
        <v>32.1</v>
      </c>
      <c r="T9" s="158">
        <v>30.8</v>
      </c>
      <c r="U9" s="158"/>
      <c r="V9" s="158"/>
      <c r="W9" s="155">
        <f>SUM(S9:V9)</f>
        <v>62.900000000000006</v>
      </c>
      <c r="X9" s="149">
        <v>27</v>
      </c>
      <c r="Y9" s="149">
        <v>32.200000000000003</v>
      </c>
      <c r="Z9" s="155">
        <f>+X9+Y9</f>
        <v>59.2</v>
      </c>
      <c r="AA9" s="155">
        <f>+W9+Z9</f>
        <v>122.10000000000001</v>
      </c>
      <c r="AB9" s="220">
        <v>3</v>
      </c>
      <c r="AC9" s="154">
        <v>32.1</v>
      </c>
      <c r="AD9" s="158">
        <v>33.700000000000003</v>
      </c>
      <c r="AE9" s="158"/>
      <c r="AF9" s="158"/>
      <c r="AG9" s="155">
        <f>SUM(AC9:AF9)</f>
        <v>65.800000000000011</v>
      </c>
      <c r="AH9" s="149">
        <v>33</v>
      </c>
      <c r="AI9" s="149">
        <v>33.299999999999997</v>
      </c>
      <c r="AJ9" s="155">
        <f>+AH9+AI9</f>
        <v>66.3</v>
      </c>
      <c r="AK9" s="155">
        <f>+AG9+AJ9</f>
        <v>132.10000000000002</v>
      </c>
      <c r="AL9" s="220">
        <v>4</v>
      </c>
      <c r="AM9" s="154">
        <v>35.4</v>
      </c>
      <c r="AN9" s="149">
        <v>33.799999999999997</v>
      </c>
      <c r="AO9" s="149">
        <v>33.700000000000003</v>
      </c>
      <c r="AP9" s="158">
        <v>34.4</v>
      </c>
      <c r="AQ9" s="160">
        <f>+SUM(AM9:AP9)</f>
        <v>137.29999999999998</v>
      </c>
      <c r="AR9" s="149">
        <v>32.299999999999997</v>
      </c>
      <c r="AS9" s="149">
        <v>35</v>
      </c>
      <c r="AT9" s="155">
        <f>+AR9+AS9</f>
        <v>67.3</v>
      </c>
      <c r="AU9" s="220">
        <v>3</v>
      </c>
      <c r="AV9" s="236">
        <f>IF($AW9="","",IF($O9&gt;$Q9,$AW9-Q9,$AW9-O9))</f>
        <v>2.8999999999999915</v>
      </c>
      <c r="AW9" s="237">
        <f>IF(MAX($AX9:$HK9)=0,"",MAX($AX9:$HK9))</f>
        <v>68.7</v>
      </c>
      <c r="AX9" s="112"/>
      <c r="AY9" s="150"/>
      <c r="AZ9" s="200">
        <f>35.1+30.8</f>
        <v>65.900000000000006</v>
      </c>
      <c r="BA9" s="224">
        <f>34.6+34.1</f>
        <v>68.7</v>
      </c>
      <c r="BB9" s="154"/>
      <c r="BC9" s="150"/>
      <c r="BD9" s="154"/>
      <c r="BE9" s="150"/>
      <c r="BF9" s="154"/>
      <c r="BG9" s="150"/>
      <c r="BH9" s="154"/>
      <c r="BI9" s="150"/>
      <c r="BJ9" s="154"/>
      <c r="BK9" s="150"/>
      <c r="BL9" s="154"/>
      <c r="BM9" s="150"/>
      <c r="BN9" s="154"/>
      <c r="BO9" s="150"/>
    </row>
    <row r="10" spans="1:67" s="12" customFormat="1">
      <c r="A10" s="15">
        <v>4</v>
      </c>
      <c r="B10" s="70" t="s">
        <v>75</v>
      </c>
      <c r="C10" s="15" t="s">
        <v>27</v>
      </c>
      <c r="D10" s="185" t="s">
        <v>137</v>
      </c>
      <c r="E10" s="130" t="s">
        <v>65</v>
      </c>
      <c r="F10" s="7">
        <v>2016</v>
      </c>
      <c r="G10" s="226">
        <v>1999</v>
      </c>
      <c r="H10" s="156">
        <f>IF(R10="",SUM(M10:Q10),SUM(M10:R10))</f>
        <v>239.89999999999998</v>
      </c>
      <c r="I10" s="45" t="s">
        <v>50</v>
      </c>
      <c r="J10" s="46" t="str">
        <f>IF('TRA-M'!$A$2-F10&lt;=1,IF(W10&gt;=$Y$3,"YES",IF(AG10&gt;=$AI$3,"YES",IF(OR(AQ10&gt;=$AR$3, AT10&gt;=$AR$3),"YES",""))),"")</f>
        <v>YES</v>
      </c>
      <c r="K10" s="217" t="str">
        <f>IF(OR(W10&gt;=$Z$3,Z10&gt;=$Z$3),IF(I10="YES","YES",""),IF(OR(AG10&gt;=$AJ$3,AJ10&gt;=$AJ$3),IF(I10="YES","YES",""),IF(OR(AQ10&gt;=$AS$3,AT10&gt;=$AS$3),IF(I10="YES","YES",""),"")))</f>
        <v>YES</v>
      </c>
      <c r="L10" s="218" t="str">
        <f>IF(OR(W10&gt;=$AA$3,Z10&gt;=$AA$3),IF(I10="YES","YES",""),IF(OR(AG10&gt;=$AK$3,AJ10&gt;=$AK$3),IF(I10="YES","YES",""),IF(OR(AQ10&gt;=$AT$3,AT10&gt;=$AT$3),IF(I10="YES","YES",""),"")))</f>
        <v/>
      </c>
      <c r="M10" s="112">
        <f>MAX($W10,$AG10,$AQ10)</f>
        <v>68.599999999999994</v>
      </c>
      <c r="N10" s="231">
        <v>33.799999999999997</v>
      </c>
      <c r="O10" s="11">
        <f>IF(M10=$W10,MAX($AC10+$AD10,$AM10+$AN10),IF(M10=$AG10,MAX($S10+$T10,$AM10+$AN10),MAX($S10+$T10,$AC10+$AD10)))</f>
        <v>63.3</v>
      </c>
      <c r="P10" s="149">
        <f>IF(M10=$W10,MAX($AE10+$AF10,$AO10+$AP10),IF(M10=$AG10,MAX($U10+$V10,$AO10+$AP10),MAX($U10+$V10,$AE10+$AF10)))</f>
        <v>0</v>
      </c>
      <c r="Q10" s="110">
        <f>MAX($Z10,$AJ10,$AT10)</f>
        <v>69.099999999999994</v>
      </c>
      <c r="R10" s="107">
        <f>IF(MAX(AV10:AV10)&lt;=0,"",MAX(AV10:AV10))</f>
        <v>5.1000000000000085</v>
      </c>
      <c r="S10" s="169">
        <v>32.799999999999997</v>
      </c>
      <c r="T10" s="170">
        <v>30.5</v>
      </c>
      <c r="U10" s="170"/>
      <c r="V10" s="170"/>
      <c r="W10" s="171">
        <f>SUM(S10:V10)</f>
        <v>63.3</v>
      </c>
      <c r="X10" s="172">
        <v>33.799999999999997</v>
      </c>
      <c r="Y10" s="191">
        <v>0</v>
      </c>
      <c r="Z10" s="230">
        <f>+X10+Y10</f>
        <v>33.799999999999997</v>
      </c>
      <c r="AA10" s="171">
        <f>+W10+Z10</f>
        <v>97.1</v>
      </c>
      <c r="AB10" s="219"/>
      <c r="AC10" s="154">
        <v>34.4</v>
      </c>
      <c r="AD10" s="158">
        <v>34.200000000000003</v>
      </c>
      <c r="AE10" s="158"/>
      <c r="AF10" s="158"/>
      <c r="AG10" s="155">
        <f>SUM(AC10:AF10)</f>
        <v>68.599999999999994</v>
      </c>
      <c r="AH10" s="149">
        <v>34.1</v>
      </c>
      <c r="AI10" s="149">
        <v>35</v>
      </c>
      <c r="AJ10" s="160">
        <f>+AH10+AI10</f>
        <v>69.099999999999994</v>
      </c>
      <c r="AK10" s="155">
        <f>+AG10+AJ10</f>
        <v>137.69999999999999</v>
      </c>
      <c r="AL10" s="220">
        <v>1</v>
      </c>
      <c r="AM10" s="154"/>
      <c r="AN10" s="149"/>
      <c r="AO10" s="149"/>
      <c r="AP10" s="158"/>
      <c r="AQ10" s="155">
        <f>+SUM(AM10:AP10)</f>
        <v>0</v>
      </c>
      <c r="AR10" s="149"/>
      <c r="AS10" s="149"/>
      <c r="AT10" s="155">
        <f>+AR10+AS10</f>
        <v>0</v>
      </c>
      <c r="AU10" s="220"/>
      <c r="AV10" s="236">
        <f>IF($AW10="","",IF($O10&gt;$Q10,$AW10-Q10,$AW10-O10))</f>
        <v>5.1000000000000085</v>
      </c>
      <c r="AW10" s="237">
        <f>IF(MAX($AX10:$HK10)=0,"",MAX($AX10:$HK10))</f>
        <v>68.400000000000006</v>
      </c>
      <c r="AX10" s="112">
        <f>33.6+34.3</f>
        <v>67.900000000000006</v>
      </c>
      <c r="AY10" s="221">
        <f>34.2+34.2</f>
        <v>68.400000000000006</v>
      </c>
      <c r="AZ10" s="112"/>
      <c r="BA10" s="150"/>
      <c r="BB10" s="154"/>
      <c r="BC10" s="150"/>
      <c r="BD10" s="154"/>
      <c r="BE10" s="150"/>
      <c r="BF10" s="154"/>
      <c r="BG10" s="150"/>
      <c r="BH10" s="154"/>
      <c r="BI10" s="150"/>
      <c r="BJ10" s="154"/>
      <c r="BK10" s="150"/>
      <c r="BL10" s="154"/>
      <c r="BM10" s="150"/>
      <c r="BN10" s="154"/>
      <c r="BO10" s="150"/>
    </row>
    <row r="11" spans="1:67" s="12" customFormat="1">
      <c r="A11" s="165"/>
      <c r="B11" s="80" t="s">
        <v>81</v>
      </c>
      <c r="C11" s="222" t="s">
        <v>27</v>
      </c>
      <c r="D11" s="208" t="s">
        <v>54</v>
      </c>
      <c r="E11" s="130" t="s">
        <v>65</v>
      </c>
      <c r="F11" s="7">
        <v>2016</v>
      </c>
      <c r="G11" s="216">
        <v>2000</v>
      </c>
      <c r="H11" s="156">
        <f>IF(R11="",SUM(M11:Q11),SUM(M11:R11))</f>
        <v>222.2</v>
      </c>
      <c r="I11" s="45" t="s">
        <v>50</v>
      </c>
      <c r="J11" s="46" t="str">
        <f>IF('TRA-M'!$A$2-F11&lt;=1,IF(W11&gt;=$Y$3,"YES",IF(AG11&gt;=$AI$3,"YES",IF(OR(AQ11&gt;=$AR$3, AT11&gt;=$AR$3),"YES",""))),"")</f>
        <v>YES</v>
      </c>
      <c r="K11" s="217" t="str">
        <f>IF(OR(W11&gt;=$Z$3,Z11&gt;=$Z$3),IF(I11="YES","YES",""),IF(OR(AG11&gt;=$AJ$3,AJ11&gt;=$AJ$3),IF(I11="YES","YES",""),IF(OR(AQ11&gt;=$AS$3,AT11&gt;=$AS$3),IF(I11="YES","YES",""),"")))</f>
        <v/>
      </c>
      <c r="L11" s="218" t="str">
        <f>IF(OR(W11&gt;=$AA$3,Z11&gt;=$AA$3),IF(I11="YES","YES",""),IF(OR(AG11&gt;=$AK$3,AJ11&gt;=$AK$3),IF(I11="YES","YES",""),IF(OR(AQ11&gt;=$AT$3,AT11&gt;=$AT$3),IF(I11="YES","YES",""),"")))</f>
        <v/>
      </c>
      <c r="M11" s="112">
        <f>MAX($W11,$AG11,$AQ11)</f>
        <v>68.099999999999994</v>
      </c>
      <c r="N11" s="231">
        <v>35</v>
      </c>
      <c r="O11" s="11">
        <f>IF(M11=$W11,MAX($AC11+$AD11,$AM11+$AN11),IF(M11=$AG11,MAX($S11+$T11,$AM11+$AN11),MAX($S11+$T11,$AC11+$AD11)))</f>
        <v>58.8</v>
      </c>
      <c r="P11" s="149">
        <f>IF(M11=$W11,MAX($AE11+$AF11,$AO11+$AP11),IF(M11=$AG11,MAX($U11+$V11,$AO11+$AP11),MAX($U11+$V11,$AE11+$AF11)))</f>
        <v>0</v>
      </c>
      <c r="Q11" s="110">
        <f>MAX($Z11,$AJ11,$AT11)</f>
        <v>60.3</v>
      </c>
      <c r="R11" s="107" t="str">
        <f>IF(MAX(AV11:AV11)&lt;=0,"",MAX(AV11:AV11))</f>
        <v/>
      </c>
      <c r="S11" s="154">
        <v>35.6</v>
      </c>
      <c r="T11" s="166">
        <v>23.2</v>
      </c>
      <c r="U11" s="166"/>
      <c r="V11" s="166"/>
      <c r="W11" s="155">
        <f>SUM(S11:V11)</f>
        <v>58.8</v>
      </c>
      <c r="X11" s="149">
        <v>31.9</v>
      </c>
      <c r="Y11" s="149">
        <v>28.4</v>
      </c>
      <c r="Z11" s="155">
        <f>+X11+Y11</f>
        <v>60.3</v>
      </c>
      <c r="AA11" s="155">
        <f>+W11+Z11</f>
        <v>119.1</v>
      </c>
      <c r="AB11" s="220">
        <v>4</v>
      </c>
      <c r="AC11" s="154">
        <v>33.5</v>
      </c>
      <c r="AD11" s="158">
        <v>34.6</v>
      </c>
      <c r="AE11" s="158"/>
      <c r="AF11" s="158"/>
      <c r="AG11" s="160">
        <f>SUM(AC11:AF11)</f>
        <v>68.099999999999994</v>
      </c>
      <c r="AH11" s="191">
        <v>0</v>
      </c>
      <c r="AI11" s="149">
        <v>35</v>
      </c>
      <c r="AJ11" s="230">
        <f>+AH11+AI11</f>
        <v>35</v>
      </c>
      <c r="AK11" s="155">
        <f>+AG11+AJ11</f>
        <v>103.1</v>
      </c>
      <c r="AL11" s="220">
        <v>6</v>
      </c>
      <c r="AM11" s="154"/>
      <c r="AN11" s="149"/>
      <c r="AO11" s="149"/>
      <c r="AP11" s="158"/>
      <c r="AQ11" s="155">
        <f>+SUM(AM11:AP11)</f>
        <v>0</v>
      </c>
      <c r="AR11" s="149"/>
      <c r="AS11" s="149"/>
      <c r="AT11" s="155">
        <f>+AR11+AS11</f>
        <v>0</v>
      </c>
      <c r="AU11" s="220"/>
      <c r="AV11" s="236" t="str">
        <f>IF($AW11="","",IF($O11&gt;$Q11,$AW11-Q11,$AW11-O11))</f>
        <v/>
      </c>
      <c r="AW11" s="237" t="str">
        <f>IF(MAX($AX11:$HK11)=0,"",MAX($AX11:$HK11))</f>
        <v/>
      </c>
      <c r="AX11" s="112"/>
      <c r="AY11" s="150"/>
      <c r="AZ11" s="154"/>
      <c r="BA11" s="150"/>
      <c r="BB11" s="154"/>
      <c r="BC11" s="150"/>
      <c r="BD11" s="154"/>
      <c r="BE11" s="150"/>
      <c r="BF11" s="154"/>
      <c r="BG11" s="150"/>
      <c r="BH11" s="154"/>
      <c r="BI11" s="150"/>
      <c r="BJ11" s="154"/>
      <c r="BK11" s="150"/>
      <c r="BL11" s="154"/>
      <c r="BM11" s="150"/>
      <c r="BN11" s="154"/>
      <c r="BO11" s="150"/>
    </row>
    <row r="12" spans="1:67" s="12" customFormat="1">
      <c r="A12" s="15"/>
      <c r="B12" s="70" t="s">
        <v>147</v>
      </c>
      <c r="C12" s="15" t="s">
        <v>24</v>
      </c>
      <c r="D12" s="42" t="s">
        <v>148</v>
      </c>
      <c r="E12" s="130" t="s">
        <v>65</v>
      </c>
      <c r="F12" s="7">
        <v>2017</v>
      </c>
      <c r="G12" s="226">
        <v>1999</v>
      </c>
      <c r="H12" s="156">
        <f>IF(R12="",SUM(M12:Q12),SUM(M12:R12))</f>
        <v>291.5</v>
      </c>
      <c r="I12" s="45"/>
      <c r="J12" s="46" t="str">
        <f>IF('TRA-M'!$A$2-F12&lt;=1,IF(W12&gt;=$Y$3,"YES",IF(AG12&gt;=$AI$3,"YES",IF(OR(AQ12&gt;=$AR$3, AT12&gt;=$AR$3),"YES",""))),"")</f>
        <v/>
      </c>
      <c r="K12" s="217" t="str">
        <f>IF(OR(W12&gt;=$Z$3,Z12&gt;=$Z$3),IF(I12="YES","YES",""),IF(OR(AG12&gt;=$AJ$3,AJ12&gt;=$AJ$3),IF(I12="YES","YES",""),IF(OR(AQ12&gt;=$AS$3,AT12&gt;=$AS$3),IF(I12="YES","YES",""),"")))</f>
        <v/>
      </c>
      <c r="L12" s="218" t="str">
        <f>IF(OR(W12&gt;=$AA$3,Z12&gt;=$AA$3),IF(I12="YES","YES",""),IF(OR(AG12&gt;=$AK$3,AJ12&gt;=$AK$3),IF(I12="YES","YES",""),IF(OR(AQ12&gt;=$AT$3,AT12&gt;=$AT$3),IF(I12="YES","YES",""),"")))</f>
        <v/>
      </c>
      <c r="M12" s="112">
        <f>MAX($W12,$AG12,$AQ12)</f>
        <v>96.6</v>
      </c>
      <c r="N12" s="231">
        <v>63.6</v>
      </c>
      <c r="O12" s="11">
        <f>IF(M12=$W12,MAX($AC12+$AD12,$AM12+$AN12),IF(M12=$AG12,MAX($S12+$T12,$AM12+$AN12),MAX($S12+$T12,$AC12+$AD12)))</f>
        <v>67.300000000000011</v>
      </c>
      <c r="P12" s="149">
        <f>IF(M12=$W12,MAX($AE12+$AF12,$AO12+$AP12),IF(M12=$AG12,MAX($U12+$V12,$AO12+$AP12),MAX($U12+$V12,$AE12+$AF12)))</f>
        <v>0</v>
      </c>
      <c r="Q12" s="110">
        <f>MAX($Z12,$AJ12,$AT12)</f>
        <v>64</v>
      </c>
      <c r="R12" s="107" t="str">
        <f>IF(MAX(AV12:AV12)&lt;=0,"",MAX(AV12:AV12))</f>
        <v/>
      </c>
      <c r="S12" s="169">
        <v>31.8</v>
      </c>
      <c r="T12" s="166">
        <v>22.2</v>
      </c>
      <c r="U12" s="166"/>
      <c r="V12" s="166"/>
      <c r="W12" s="171">
        <f>SUM(S12:V12)</f>
        <v>54</v>
      </c>
      <c r="X12" s="172">
        <v>31.1</v>
      </c>
      <c r="Y12" s="172">
        <v>32.5</v>
      </c>
      <c r="Z12" s="230">
        <f>+X12+Y12</f>
        <v>63.6</v>
      </c>
      <c r="AA12" s="171">
        <f>+W12+Z12</f>
        <v>117.6</v>
      </c>
      <c r="AB12" s="219"/>
      <c r="AC12" s="169">
        <v>33.700000000000003</v>
      </c>
      <c r="AD12" s="170">
        <v>33.6</v>
      </c>
      <c r="AE12" s="170"/>
      <c r="AF12" s="170"/>
      <c r="AG12" s="171">
        <f>SUM(AC12:AF12)</f>
        <v>67.300000000000011</v>
      </c>
      <c r="AH12" s="172">
        <v>31.7</v>
      </c>
      <c r="AI12" s="172">
        <v>32.299999999999997</v>
      </c>
      <c r="AJ12" s="171">
        <f>+AH12+AI12</f>
        <v>64</v>
      </c>
      <c r="AK12" s="171">
        <f>+AG12+AJ12</f>
        <v>131.30000000000001</v>
      </c>
      <c r="AL12" s="219"/>
      <c r="AM12" s="154">
        <v>31.9</v>
      </c>
      <c r="AN12" s="149">
        <v>32.200000000000003</v>
      </c>
      <c r="AO12" s="149">
        <v>32.5</v>
      </c>
      <c r="AP12" s="166">
        <v>0</v>
      </c>
      <c r="AQ12" s="155">
        <f>+SUM(AM12:AP12)</f>
        <v>96.6</v>
      </c>
      <c r="AR12" s="149"/>
      <c r="AS12" s="149"/>
      <c r="AT12" s="155">
        <f>+AR12+AS12</f>
        <v>0</v>
      </c>
      <c r="AU12" s="220">
        <v>5</v>
      </c>
      <c r="AV12" s="236" t="str">
        <f>IF($AW12="","",IF($O12&gt;$Q12,$AW12-Q12,$AW12-O12))</f>
        <v/>
      </c>
      <c r="AW12" s="237" t="str">
        <f>IF(MAX($AX12:$HK12)=0,"",MAX($AX12:$HK12))</f>
        <v/>
      </c>
      <c r="AX12" s="112"/>
      <c r="AY12" s="150"/>
      <c r="AZ12" s="154"/>
      <c r="BA12" s="150"/>
      <c r="BB12" s="154"/>
      <c r="BC12" s="150"/>
      <c r="BD12" s="154"/>
      <c r="BE12" s="150"/>
      <c r="BF12" s="154"/>
      <c r="BG12" s="150"/>
      <c r="BH12" s="154"/>
      <c r="BI12" s="150"/>
      <c r="BJ12" s="154"/>
      <c r="BK12" s="150"/>
      <c r="BL12" s="154"/>
      <c r="BM12" s="150"/>
      <c r="BN12" s="154"/>
      <c r="BO12" s="150"/>
    </row>
    <row r="13" spans="1:67" s="12" customFormat="1">
      <c r="A13" s="165">
        <v>5</v>
      </c>
      <c r="B13" s="70" t="s">
        <v>145</v>
      </c>
      <c r="C13" s="15" t="s">
        <v>26</v>
      </c>
      <c r="D13" s="42" t="s">
        <v>80</v>
      </c>
      <c r="E13" s="130" t="s">
        <v>65</v>
      </c>
      <c r="F13" s="7">
        <v>2017</v>
      </c>
      <c r="G13" s="216">
        <v>2001</v>
      </c>
      <c r="H13" s="156">
        <f>IF(R13="",SUM(M13:Q13),SUM(M13:R13))</f>
        <v>263.60000000000002</v>
      </c>
      <c r="I13" s="45"/>
      <c r="J13" s="46" t="str">
        <f>IF('TRA-M'!$A$2-F13&lt;=1,IF(W13&gt;=$Y$3,"YES",IF(AG13&gt;=$AI$3,"YES",IF(OR(AQ13&gt;=$AR$3, AT13&gt;=$AR$3),"YES",""))),"")</f>
        <v>YES</v>
      </c>
      <c r="K13" s="217" t="str">
        <f>IF(OR(W13&gt;=$Z$3,Z13&gt;=$Z$3),IF(I13="YES","YES",""),IF(OR(AG13&gt;=$AJ$3,AJ13&gt;=$AJ$3),IF(I13="YES","YES",""),IF(OR(AQ13&gt;=$AS$3,AT13&gt;=$AS$3),IF(I13="YES","YES",""),"")))</f>
        <v/>
      </c>
      <c r="L13" s="218" t="str">
        <f>IF(OR(W13&gt;=$AA$3,Z13&gt;=$AA$3),IF(I13="YES","YES",""),IF(OR(AG13&gt;=$AK$3,AJ13&gt;=$AK$3),IF(I13="YES","YES",""),IF(OR(AQ13&gt;=$AT$3,AT13&gt;=$AT$3),IF(I13="YES","YES",""),"")))</f>
        <v/>
      </c>
      <c r="M13" s="112">
        <f>MAX($W13,$AG13,$AQ13)</f>
        <v>132.5</v>
      </c>
      <c r="N13" s="11"/>
      <c r="O13" s="11">
        <f>IF(M13=$W13,MAX($AC13+$AD13,$AM13+$AN13),IF(M13=$AG13,MAX($S13+$T13,$AM13+$AN13),MAX($S13+$T13,$AC13+$AD13)))</f>
        <v>61.3</v>
      </c>
      <c r="P13" s="149">
        <f>IF(M13=$W13,MAX($AE13+$AF13,$AO13+$AP13),IF(M13=$AG13,MAX($U13+$V13,$AO13+$AP13),MAX($U13+$V13,$AE13+$AF13)))</f>
        <v>0</v>
      </c>
      <c r="Q13" s="110">
        <f>MAX($Z13,$AJ13,$AT13)</f>
        <v>69.800000000000011</v>
      </c>
      <c r="R13" s="107" t="str">
        <f>IF(MAX(AV13:AV13)&lt;=0,"",MAX(AV13:AV13))</f>
        <v/>
      </c>
      <c r="S13" s="169">
        <v>32</v>
      </c>
      <c r="T13" s="166">
        <v>22.3</v>
      </c>
      <c r="U13" s="166"/>
      <c r="V13" s="166"/>
      <c r="W13" s="171">
        <f>SUM(S13:V13)</f>
        <v>54.3</v>
      </c>
      <c r="X13" s="172">
        <v>31.1</v>
      </c>
      <c r="Y13" s="172">
        <v>28.8</v>
      </c>
      <c r="Z13" s="171">
        <f>+X13+Y13</f>
        <v>59.900000000000006</v>
      </c>
      <c r="AA13" s="171">
        <f>+W13+Z13</f>
        <v>114.2</v>
      </c>
      <c r="AB13" s="219"/>
      <c r="AC13" s="169">
        <v>30.5</v>
      </c>
      <c r="AD13" s="170">
        <v>30.8</v>
      </c>
      <c r="AE13" s="170"/>
      <c r="AF13" s="170"/>
      <c r="AG13" s="171">
        <f>SUM(AC13:AF13)</f>
        <v>61.3</v>
      </c>
      <c r="AH13" s="172">
        <v>32.4</v>
      </c>
      <c r="AI13" s="172">
        <v>28.3</v>
      </c>
      <c r="AJ13" s="171">
        <f>+AH13+AI13</f>
        <v>60.7</v>
      </c>
      <c r="AK13" s="171">
        <f>+AG13+AJ13</f>
        <v>122</v>
      </c>
      <c r="AL13" s="219"/>
      <c r="AM13" s="154">
        <v>32.299999999999997</v>
      </c>
      <c r="AN13" s="149">
        <v>33.9</v>
      </c>
      <c r="AO13" s="149">
        <v>34</v>
      </c>
      <c r="AP13" s="158">
        <v>32.299999999999997</v>
      </c>
      <c r="AQ13" s="155">
        <f>+SUM(AM13:AP13)</f>
        <v>132.5</v>
      </c>
      <c r="AR13" s="149">
        <v>35.200000000000003</v>
      </c>
      <c r="AS13" s="149">
        <v>34.6</v>
      </c>
      <c r="AT13" s="155">
        <f>+AR13+AS13</f>
        <v>69.800000000000011</v>
      </c>
      <c r="AU13" s="220">
        <v>1</v>
      </c>
      <c r="AV13" s="236" t="str">
        <f>IF($AW13="","",IF($O13&gt;$Q13,$AW13-Q13,$AW13-O13))</f>
        <v/>
      </c>
      <c r="AW13" s="237" t="str">
        <f>IF(MAX($AX13:$HK13)=0,"",MAX($AX13:$HK13))</f>
        <v/>
      </c>
      <c r="AX13" s="112"/>
      <c r="AY13" s="150"/>
      <c r="AZ13" s="154"/>
      <c r="BA13" s="150"/>
      <c r="BB13" s="154"/>
      <c r="BC13" s="150"/>
      <c r="BD13" s="154"/>
      <c r="BE13" s="150"/>
      <c r="BF13" s="154"/>
      <c r="BG13" s="150"/>
      <c r="BH13" s="154"/>
      <c r="BI13" s="150"/>
      <c r="BJ13" s="154"/>
      <c r="BK13" s="150"/>
      <c r="BL13" s="154"/>
      <c r="BM13" s="150"/>
      <c r="BN13" s="154"/>
      <c r="BO13" s="150"/>
    </row>
    <row r="14" spans="1:67" s="12" customFormat="1">
      <c r="A14" s="15"/>
      <c r="B14" s="70" t="s">
        <v>90</v>
      </c>
      <c r="C14" s="15" t="s">
        <v>91</v>
      </c>
      <c r="D14" s="42" t="s">
        <v>92</v>
      </c>
      <c r="E14" s="130" t="s">
        <v>65</v>
      </c>
      <c r="F14" s="7">
        <v>2016</v>
      </c>
      <c r="G14" s="216">
        <v>2001</v>
      </c>
      <c r="H14" s="156">
        <f>IF(R14="",SUM(M14:Q14),SUM(M14:R14))</f>
        <v>255.4</v>
      </c>
      <c r="I14" s="45"/>
      <c r="J14" s="46" t="str">
        <f>IF('TRA-M'!$A$2-F14&lt;=1,IF(W14&gt;=$Y$3,"YES",IF(AG14&gt;=$AI$3,"YES",IF(OR(AQ14&gt;=$AR$3, AT14&gt;=$AR$3),"YES",""))),"")</f>
        <v/>
      </c>
      <c r="K14" s="217" t="str">
        <f>IF(OR(W14&gt;=$Z$3,Z14&gt;=$Z$3),IF(I14="YES","YES",""),IF(OR(AG14&gt;=$AJ$3,AJ14&gt;=$AJ$3),IF(I14="YES","YES",""),IF(OR(AQ14&gt;=$AS$3,AT14&gt;=$AS$3),IF(I14="YES","YES",""),"")))</f>
        <v/>
      </c>
      <c r="L14" s="218" t="str">
        <f>IF(OR(W14&gt;=$AA$3,Z14&gt;=$AA$3),IF(I14="YES","YES",""),IF(OR(AG14&gt;=$AK$3,AJ14&gt;=$AK$3),IF(I14="YES","YES",""),IF(OR(AQ14&gt;=$AT$3,AT14&gt;=$AT$3),IF(I14="YES","YES",""),"")))</f>
        <v/>
      </c>
      <c r="M14" s="112">
        <f>MAX($W14,$AG14,$AQ14)</f>
        <v>66.900000000000006</v>
      </c>
      <c r="N14" s="231">
        <v>55.4</v>
      </c>
      <c r="O14" s="11">
        <f>IF(M14=$W14,MAX($AC14+$AD14,$AM14+$AN14),IF(M14=$AG14,MAX($S14+$T14,$AM14+$AN14),MAX($S14+$T14,$AC14+$AD14)))</f>
        <v>66.599999999999994</v>
      </c>
      <c r="P14" s="149">
        <f>IF(M14=$W14,MAX($AE14+$AF14,$AO14+$AP14),IF(M14=$AG14,MAX($U14+$V14,$AO14+$AP14),MAX($U14+$V14,$AE14+$AF14)))</f>
        <v>0</v>
      </c>
      <c r="Q14" s="110">
        <f>MAX($Z14,$AJ14,$AT14)</f>
        <v>66.400000000000006</v>
      </c>
      <c r="R14" s="107">
        <f>IF(MAX(AV14:AV14)&lt;=0,"",MAX(AV14:AV14))</f>
        <v>9.9999999999994316E-2</v>
      </c>
      <c r="S14" s="169">
        <v>33.799999999999997</v>
      </c>
      <c r="T14" s="170">
        <v>32.799999999999997</v>
      </c>
      <c r="U14" s="170"/>
      <c r="V14" s="170"/>
      <c r="W14" s="171">
        <f>SUM(S14:V14)</f>
        <v>66.599999999999994</v>
      </c>
      <c r="X14" s="172">
        <v>33.5</v>
      </c>
      <c r="Y14" s="172">
        <v>32.9</v>
      </c>
      <c r="Z14" s="171">
        <f>+X14+Y14</f>
        <v>66.400000000000006</v>
      </c>
      <c r="AA14" s="171">
        <f>+W14+Z14</f>
        <v>133</v>
      </c>
      <c r="AB14" s="219"/>
      <c r="AC14" s="154">
        <v>34.1</v>
      </c>
      <c r="AD14" s="158">
        <v>32.799999999999997</v>
      </c>
      <c r="AE14" s="158"/>
      <c r="AF14" s="158"/>
      <c r="AG14" s="155">
        <f>SUM(AC14:AF14)</f>
        <v>66.900000000000006</v>
      </c>
      <c r="AH14" s="191">
        <v>22.6</v>
      </c>
      <c r="AI14" s="149">
        <v>32.799999999999997</v>
      </c>
      <c r="AJ14" s="230">
        <f>+AH14+AI14</f>
        <v>55.4</v>
      </c>
      <c r="AK14" s="155">
        <f>+AG14+AJ14</f>
        <v>122.30000000000001</v>
      </c>
      <c r="AL14" s="220">
        <v>5</v>
      </c>
      <c r="AM14" s="154"/>
      <c r="AN14" s="149"/>
      <c r="AO14" s="149"/>
      <c r="AP14" s="158"/>
      <c r="AQ14" s="155">
        <f>+SUM(AM14:AP14)</f>
        <v>0</v>
      </c>
      <c r="AR14" s="149"/>
      <c r="AS14" s="149"/>
      <c r="AT14" s="155">
        <f>+AR14+AS14</f>
        <v>0</v>
      </c>
      <c r="AU14" s="220"/>
      <c r="AV14" s="236">
        <f>IF($AW14="","",IF($O14&gt;$Q14,$AW14-Q14,$AW14-O14))</f>
        <v>9.9999999999994316E-2</v>
      </c>
      <c r="AW14" s="237">
        <f>IF(MAX($AX14:$HK14)=0,"",MAX($AX14:$HK14))</f>
        <v>66.5</v>
      </c>
      <c r="AX14" s="112"/>
      <c r="AY14" s="150"/>
      <c r="AZ14" s="200">
        <f>33.2+33.2</f>
        <v>66.400000000000006</v>
      </c>
      <c r="BA14" s="203">
        <f>33.5+33</f>
        <v>66.5</v>
      </c>
      <c r="BB14" s="154"/>
      <c r="BC14" s="150"/>
      <c r="BD14" s="154"/>
      <c r="BE14" s="150"/>
      <c r="BF14" s="154"/>
      <c r="BG14" s="150"/>
      <c r="BH14" s="154"/>
      <c r="BI14" s="150"/>
      <c r="BJ14" s="154"/>
      <c r="BK14" s="150"/>
      <c r="BL14" s="154"/>
      <c r="BM14" s="150"/>
      <c r="BN14" s="154"/>
      <c r="BO14" s="150"/>
    </row>
    <row r="15" spans="1:67" s="12" customFormat="1">
      <c r="A15" s="15"/>
      <c r="B15" s="70"/>
      <c r="C15" s="15"/>
      <c r="D15" s="185"/>
      <c r="E15" s="43"/>
      <c r="F15" s="7"/>
      <c r="G15" s="225"/>
      <c r="H15" s="84"/>
      <c r="I15" s="84"/>
      <c r="J15" s="46"/>
      <c r="K15" s="47"/>
      <c r="L15" s="48"/>
      <c r="M15" s="11"/>
      <c r="N15" s="11"/>
      <c r="O15" s="11"/>
      <c r="P15" s="11"/>
      <c r="Q15" s="11"/>
      <c r="R15" s="11"/>
      <c r="S15" s="149"/>
      <c r="T15" s="158"/>
      <c r="U15" s="158"/>
      <c r="V15" s="158"/>
      <c r="W15" s="155"/>
      <c r="X15" s="149"/>
      <c r="Y15" s="149"/>
      <c r="Z15" s="155"/>
      <c r="AA15" s="155"/>
      <c r="AB15" s="220"/>
      <c r="AC15" s="149"/>
      <c r="AD15" s="158"/>
      <c r="AE15" s="158"/>
      <c r="AF15" s="158"/>
      <c r="AG15" s="155"/>
      <c r="AH15" s="149"/>
      <c r="AI15" s="149"/>
      <c r="AJ15" s="155"/>
      <c r="AK15" s="155"/>
      <c r="AL15" s="220"/>
      <c r="AM15" s="149"/>
      <c r="AN15" s="149"/>
      <c r="AO15" s="149"/>
      <c r="AP15" s="158"/>
      <c r="AQ15" s="155"/>
      <c r="AR15" s="149"/>
      <c r="AS15" s="149"/>
      <c r="AT15" s="155"/>
      <c r="AU15" s="220"/>
      <c r="AV15" s="162"/>
      <c r="AW15" s="11"/>
      <c r="AX15" s="11"/>
      <c r="AY15" s="149"/>
      <c r="AZ15" s="11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</row>
    <row r="16" spans="1:67" s="12" customFormat="1">
      <c r="A16" s="15"/>
      <c r="B16" s="70"/>
      <c r="C16" s="15"/>
      <c r="D16" s="185"/>
      <c r="E16" s="43"/>
      <c r="F16" s="7"/>
      <c r="G16" s="225"/>
      <c r="H16" s="84"/>
      <c r="I16" s="84"/>
      <c r="J16" s="46"/>
      <c r="K16" s="47"/>
      <c r="L16" s="48"/>
      <c r="M16" s="11"/>
      <c r="N16" s="11"/>
      <c r="O16" s="11"/>
      <c r="P16" s="11"/>
      <c r="Q16" s="11"/>
      <c r="R16" s="11"/>
      <c r="S16" s="149"/>
      <c r="T16" s="158"/>
      <c r="U16" s="158"/>
      <c r="V16" s="158"/>
      <c r="W16" s="155"/>
      <c r="X16" s="149"/>
      <c r="Y16" s="149"/>
      <c r="Z16" s="155"/>
      <c r="AA16" s="155"/>
      <c r="AB16" s="220"/>
      <c r="AC16" s="149"/>
      <c r="AD16" s="158"/>
      <c r="AE16" s="158"/>
      <c r="AF16" s="158"/>
      <c r="AG16" s="155"/>
      <c r="AH16" s="149"/>
      <c r="AI16" s="149"/>
      <c r="AJ16" s="155"/>
      <c r="AK16" s="155"/>
      <c r="AL16" s="220"/>
      <c r="AM16" s="149"/>
      <c r="AN16" s="149"/>
      <c r="AO16" s="149"/>
      <c r="AP16" s="158"/>
      <c r="AQ16" s="155"/>
      <c r="AR16" s="149"/>
      <c r="AS16" s="149"/>
      <c r="AT16" s="155"/>
      <c r="AU16" s="220"/>
      <c r="AV16" s="162"/>
      <c r="AW16" s="11"/>
      <c r="AX16" s="11"/>
      <c r="AY16" s="149"/>
      <c r="AZ16" s="11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</row>
    <row r="17" spans="1:113" s="12" customFormat="1">
      <c r="A17" s="15"/>
      <c r="B17" s="88" t="s">
        <v>45</v>
      </c>
      <c r="C17" s="15"/>
      <c r="D17" s="185"/>
      <c r="E17" s="43"/>
      <c r="F17" s="7"/>
      <c r="G17" s="225"/>
      <c r="H17" s="84"/>
      <c r="I17" s="84"/>
      <c r="J17" s="46"/>
      <c r="K17" s="47"/>
      <c r="L17" s="48"/>
      <c r="M17" s="11"/>
      <c r="N17" s="11"/>
      <c r="O17" s="11"/>
      <c r="P17" s="11"/>
      <c r="Q17" s="11"/>
      <c r="R17" s="11"/>
      <c r="S17" s="149"/>
      <c r="T17" s="158"/>
      <c r="U17" s="158"/>
      <c r="V17" s="158"/>
      <c r="W17" s="155"/>
      <c r="X17" s="149"/>
      <c r="Y17" s="149"/>
      <c r="Z17" s="155"/>
      <c r="AA17" s="155"/>
      <c r="AB17" s="220"/>
      <c r="AC17" s="149"/>
      <c r="AD17" s="158"/>
      <c r="AE17" s="158"/>
      <c r="AF17" s="158"/>
      <c r="AG17" s="155"/>
      <c r="AH17" s="149"/>
      <c r="AI17" s="149"/>
      <c r="AJ17" s="155"/>
      <c r="AK17" s="155"/>
      <c r="AL17" s="220"/>
      <c r="AM17" s="149"/>
      <c r="AN17" s="149"/>
      <c r="AO17" s="149"/>
      <c r="AP17" s="158"/>
      <c r="AQ17" s="155"/>
      <c r="AR17" s="149"/>
      <c r="AS17" s="149"/>
      <c r="AT17" s="155"/>
      <c r="AU17" s="220"/>
      <c r="AV17" s="162"/>
      <c r="AW17" s="11"/>
      <c r="AX17" s="11"/>
      <c r="AY17" s="149"/>
      <c r="AZ17" s="11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</row>
    <row r="18" spans="1:113" s="12" customFormat="1">
      <c r="A18" s="15"/>
      <c r="B18" s="90" t="s">
        <v>68</v>
      </c>
      <c r="C18" s="15"/>
      <c r="D18" s="185"/>
      <c r="E18" s="43"/>
      <c r="F18" s="7"/>
      <c r="G18" s="225"/>
      <c r="H18" s="84"/>
      <c r="I18" s="84"/>
      <c r="J18" s="46"/>
      <c r="K18" s="47"/>
      <c r="L18" s="48"/>
      <c r="M18" s="11"/>
      <c r="N18" s="11"/>
      <c r="O18" s="11"/>
      <c r="P18" s="11"/>
      <c r="Q18" s="11"/>
      <c r="R18" s="11"/>
      <c r="S18" s="149"/>
      <c r="T18" s="158"/>
      <c r="U18" s="158"/>
      <c r="V18" s="158"/>
      <c r="W18" s="155"/>
      <c r="X18" s="149"/>
      <c r="Y18" s="149"/>
      <c r="Z18" s="155"/>
      <c r="AA18" s="155"/>
      <c r="AB18" s="220"/>
      <c r="AC18" s="149"/>
      <c r="AD18" s="158"/>
      <c r="AE18" s="158"/>
      <c r="AF18" s="158"/>
      <c r="AG18" s="155"/>
      <c r="AH18" s="149"/>
      <c r="AI18" s="149"/>
      <c r="AJ18" s="155"/>
      <c r="AK18" s="155"/>
      <c r="AL18" s="220"/>
      <c r="AM18" s="149"/>
      <c r="AN18" s="149"/>
      <c r="AO18" s="149"/>
      <c r="AP18" s="158"/>
      <c r="AQ18" s="155"/>
      <c r="AR18" s="149"/>
      <c r="AS18" s="149"/>
      <c r="AT18" s="155"/>
      <c r="AU18" s="220"/>
      <c r="AV18" s="162"/>
      <c r="AW18" s="11"/>
      <c r="AX18" s="11"/>
      <c r="AY18" s="149"/>
      <c r="AZ18" s="11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</row>
    <row r="19" spans="1:113" s="12" customFormat="1">
      <c r="A19" s="15"/>
      <c r="B19" s="176" t="s">
        <v>153</v>
      </c>
      <c r="C19" s="101"/>
      <c r="D19" s="101"/>
      <c r="E19" s="43"/>
      <c r="F19" s="43"/>
      <c r="G19" s="225"/>
      <c r="H19" s="84"/>
      <c r="I19" s="84"/>
      <c r="J19" s="46"/>
      <c r="K19" s="47"/>
      <c r="L19" s="48"/>
      <c r="M19" s="11"/>
      <c r="N19" s="11"/>
      <c r="O19" s="11"/>
      <c r="P19" s="11"/>
      <c r="Q19" s="11"/>
      <c r="R19" s="11"/>
      <c r="S19" s="149"/>
      <c r="T19" s="158"/>
      <c r="U19" s="158"/>
      <c r="V19" s="158"/>
      <c r="W19" s="155"/>
      <c r="X19" s="149"/>
      <c r="Y19" s="149"/>
      <c r="Z19" s="155"/>
      <c r="AA19" s="155"/>
      <c r="AB19" s="220"/>
      <c r="AC19" s="149"/>
      <c r="AD19" s="158"/>
      <c r="AE19" s="158"/>
      <c r="AF19" s="158"/>
      <c r="AG19" s="155"/>
      <c r="AH19" s="149"/>
      <c r="AI19" s="149"/>
      <c r="AJ19" s="155"/>
      <c r="AK19" s="155"/>
      <c r="AL19" s="220"/>
      <c r="AM19" s="149"/>
      <c r="AN19" s="149"/>
      <c r="AO19" s="149"/>
      <c r="AP19" s="158"/>
      <c r="AQ19" s="155"/>
      <c r="AR19" s="149"/>
      <c r="AS19" s="149"/>
      <c r="AT19" s="155"/>
      <c r="AU19" s="220"/>
      <c r="AV19" s="162"/>
      <c r="AW19" s="11"/>
      <c r="AX19" s="11"/>
      <c r="AY19" s="149"/>
      <c r="AZ19" s="11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</row>
    <row r="20" spans="1:113" s="12" customFormat="1">
      <c r="A20" s="15"/>
      <c r="B20" s="175" t="s">
        <v>124</v>
      </c>
      <c r="C20" s="102"/>
      <c r="D20" s="102"/>
      <c r="E20" s="102"/>
      <c r="F20" s="102"/>
      <c r="G20" s="43"/>
      <c r="H20" s="261"/>
      <c r="I20" s="183"/>
      <c r="J20" s="46"/>
      <c r="K20" s="47"/>
      <c r="L20" s="48"/>
      <c r="M20" s="11"/>
      <c r="N20" s="11"/>
      <c r="O20" s="11"/>
      <c r="P20" s="11"/>
      <c r="Q20" s="11"/>
      <c r="R20" s="11"/>
      <c r="S20" s="149"/>
      <c r="T20" s="158"/>
      <c r="U20" s="158"/>
      <c r="V20" s="158"/>
      <c r="W20" s="155"/>
      <c r="X20" s="149"/>
      <c r="Y20" s="149"/>
      <c r="Z20" s="155"/>
      <c r="AA20" s="155"/>
      <c r="AB20" s="220"/>
      <c r="AC20" s="149"/>
      <c r="AD20" s="158"/>
      <c r="AE20" s="158"/>
      <c r="AF20" s="158"/>
      <c r="AG20" s="155"/>
      <c r="AH20" s="149"/>
      <c r="AI20" s="149"/>
      <c r="AJ20" s="155"/>
      <c r="AK20" s="155"/>
      <c r="AL20" s="220"/>
      <c r="AM20" s="149"/>
      <c r="AN20" s="149"/>
      <c r="AO20" s="149"/>
      <c r="AP20" s="158"/>
      <c r="AQ20" s="155"/>
      <c r="AR20" s="149"/>
      <c r="AS20" s="149"/>
      <c r="AT20" s="155"/>
      <c r="AU20" s="220"/>
      <c r="AV20" s="162"/>
      <c r="AW20" s="11"/>
      <c r="AX20" s="11"/>
      <c r="AY20" s="149"/>
      <c r="AZ20" s="11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</row>
    <row r="21" spans="1:113" s="12" customFormat="1">
      <c r="A21" s="15"/>
      <c r="B21" s="87" t="s">
        <v>155</v>
      </c>
      <c r="C21" s="15"/>
      <c r="D21" s="185"/>
      <c r="E21" s="43"/>
      <c r="F21" s="7"/>
      <c r="G21" s="225"/>
      <c r="H21" s="84"/>
      <c r="I21" s="84"/>
      <c r="J21" s="46"/>
      <c r="K21" s="47"/>
      <c r="L21" s="48"/>
      <c r="M21" s="11"/>
      <c r="N21" s="11"/>
      <c r="O21" s="11"/>
      <c r="P21" s="11"/>
      <c r="Q21" s="11"/>
      <c r="R21" s="11"/>
      <c r="S21" s="149"/>
      <c r="T21" s="158"/>
      <c r="U21" s="158"/>
      <c r="V21" s="158"/>
      <c r="W21" s="155"/>
      <c r="X21" s="149"/>
      <c r="Y21" s="149"/>
      <c r="Z21" s="155"/>
      <c r="AA21" s="155"/>
      <c r="AB21" s="220"/>
      <c r="AC21" s="149"/>
      <c r="AD21" s="158"/>
      <c r="AE21" s="158"/>
      <c r="AF21" s="158"/>
      <c r="AG21" s="155"/>
      <c r="AH21" s="149"/>
      <c r="AI21" s="149"/>
      <c r="AJ21" s="155"/>
      <c r="AK21" s="155"/>
      <c r="AL21" s="220"/>
      <c r="AM21" s="149"/>
      <c r="AN21" s="149"/>
      <c r="AO21" s="149"/>
      <c r="AP21" s="158"/>
      <c r="AQ21" s="155"/>
      <c r="AR21" s="149"/>
      <c r="AS21" s="149"/>
      <c r="AT21" s="155"/>
      <c r="AU21" s="220"/>
      <c r="AV21" s="162"/>
      <c r="AW21" s="11"/>
      <c r="AX21" s="11"/>
      <c r="AY21" s="149"/>
      <c r="AZ21" s="11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</row>
    <row r="22" spans="1:113">
      <c r="B22" s="87" t="s">
        <v>152</v>
      </c>
      <c r="C22" s="43"/>
      <c r="D22" s="43"/>
      <c r="E22" s="43"/>
      <c r="F22" s="4"/>
      <c r="H22" s="27"/>
      <c r="M22" s="86"/>
      <c r="N22" s="8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51"/>
      <c r="AY22" s="51"/>
      <c r="AZ22" s="51"/>
      <c r="BA22" s="51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</row>
    <row r="23" spans="1:113" ht="13.5" thickBot="1">
      <c r="AX23" s="149"/>
      <c r="AZ23" s="149"/>
      <c r="BB23" s="70"/>
      <c r="BC23" s="70"/>
      <c r="BD23" s="70"/>
      <c r="BE23" s="70"/>
    </row>
    <row r="24" spans="1:113">
      <c r="B24" s="93" t="s">
        <v>31</v>
      </c>
      <c r="C24" s="94">
        <v>2004</v>
      </c>
      <c r="D24" s="43"/>
      <c r="E24" s="43"/>
      <c r="AX24" s="149"/>
      <c r="AZ24" s="64" t="s">
        <v>107</v>
      </c>
      <c r="BB24" s="70"/>
      <c r="BC24" s="70"/>
      <c r="BD24" s="70"/>
      <c r="BE24" s="70"/>
    </row>
    <row r="25" spans="1:113">
      <c r="B25" s="95" t="s">
        <v>32</v>
      </c>
      <c r="C25" s="96">
        <v>2003</v>
      </c>
      <c r="D25" s="43"/>
      <c r="E25" s="43"/>
      <c r="AX25" s="149"/>
      <c r="AZ25" s="77" t="s">
        <v>46</v>
      </c>
      <c r="BB25" s="70"/>
      <c r="BC25" s="70"/>
      <c r="BD25" s="70"/>
      <c r="BE25" s="70"/>
    </row>
    <row r="26" spans="1:113">
      <c r="B26" s="95" t="s">
        <v>33</v>
      </c>
      <c r="C26" s="96">
        <v>2002</v>
      </c>
      <c r="D26" s="43"/>
      <c r="E26" s="43"/>
      <c r="AZ26" s="97" t="s">
        <v>47</v>
      </c>
      <c r="BB26" s="70"/>
      <c r="BC26" s="70"/>
      <c r="BD26" s="70"/>
      <c r="BE26" s="70"/>
    </row>
    <row r="27" spans="1:113">
      <c r="B27" s="95" t="s">
        <v>34</v>
      </c>
      <c r="C27" s="96">
        <v>2001</v>
      </c>
      <c r="D27" s="43"/>
      <c r="E27" s="43"/>
      <c r="BB27" s="70"/>
      <c r="BC27" s="70"/>
      <c r="BD27" s="70"/>
      <c r="BE27" s="70"/>
    </row>
    <row r="28" spans="1:113">
      <c r="B28" s="95" t="s">
        <v>35</v>
      </c>
      <c r="C28" s="96">
        <v>2000</v>
      </c>
      <c r="D28" s="43"/>
      <c r="E28" s="43"/>
      <c r="AZ28" s="149"/>
      <c r="BA28" s="149"/>
      <c r="BB28" s="51"/>
      <c r="BC28" s="70"/>
      <c r="BD28" s="51"/>
      <c r="BE28" s="70"/>
    </row>
    <row r="29" spans="1:113" ht="13.5" thickBot="1">
      <c r="B29" s="98" t="s">
        <v>64</v>
      </c>
      <c r="C29" s="99">
        <v>1999</v>
      </c>
      <c r="D29" s="43"/>
      <c r="E29" s="43"/>
      <c r="AZ29" s="149"/>
      <c r="BA29" s="149"/>
      <c r="BB29" s="149"/>
      <c r="BC29" s="149"/>
      <c r="BD29" s="149"/>
      <c r="BE29" s="149"/>
    </row>
    <row r="30" spans="1:113">
      <c r="AZ30" s="149"/>
      <c r="BA30" s="149"/>
    </row>
  </sheetData>
  <sortState ref="A7:DI14">
    <sortCondition descending="1" ref="I7:I14"/>
    <sortCondition descending="1" ref="K7:K14"/>
    <sortCondition descending="1" ref="H7:H14"/>
  </sortState>
  <mergeCells count="21">
    <mergeCell ref="BD3:BE3"/>
    <mergeCell ref="BB3:BC3"/>
    <mergeCell ref="M2:Q2"/>
    <mergeCell ref="S2:AB2"/>
    <mergeCell ref="AC2:AL2"/>
    <mergeCell ref="AM2:AU2"/>
    <mergeCell ref="M1:Q1"/>
    <mergeCell ref="S1:AB1"/>
    <mergeCell ref="AC1:AL1"/>
    <mergeCell ref="AM1:AU1"/>
    <mergeCell ref="AX3:AY3"/>
    <mergeCell ref="AX2:AY2"/>
    <mergeCell ref="AZ2:BA2"/>
    <mergeCell ref="AZ3:BA3"/>
    <mergeCell ref="AX1:AY1"/>
    <mergeCell ref="AZ1:BA1"/>
    <mergeCell ref="BL3:BM3"/>
    <mergeCell ref="BN3:BO3"/>
    <mergeCell ref="BF3:BG3"/>
    <mergeCell ref="BH3:BI3"/>
    <mergeCell ref="BJ3:BK3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29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DN29"/>
  <sheetViews>
    <sheetView view="pageBreakPreview" zoomScale="80" zoomScaleNormal="80" zoomScaleSheetLayoutView="8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defaultRowHeight="12.75"/>
  <cols>
    <col min="1" max="1" width="6.140625" style="7" customWidth="1"/>
    <col min="2" max="2" width="29.7109375" style="87" customWidth="1"/>
    <col min="3" max="3" width="7.7109375" style="7" customWidth="1"/>
    <col min="4" max="4" width="35.7109375" style="7" customWidth="1"/>
    <col min="5" max="5" width="7.7109375" style="7" customWidth="1"/>
    <col min="6" max="10" width="8.7109375" style="7" customWidth="1"/>
    <col min="11" max="11" width="8.7109375" style="91" customWidth="1"/>
    <col min="12" max="12" width="8.7109375" style="92" customWidth="1"/>
    <col min="13" max="18" width="8.7109375" style="7" customWidth="1"/>
    <col min="19" max="20" width="8.7109375" style="11" customWidth="1"/>
    <col min="21" max="22" width="8.7109375" style="11" hidden="1" customWidth="1"/>
    <col min="23" max="30" width="8.7109375" style="11" customWidth="1"/>
    <col min="31" max="32" width="8.7109375" style="11" hidden="1" customWidth="1"/>
    <col min="33" max="47" width="8.7109375" style="11" customWidth="1"/>
    <col min="48" max="49" width="17.85546875" style="11" customWidth="1"/>
    <col min="50" max="51" width="17.7109375" style="149" customWidth="1"/>
    <col min="52" max="55" width="8.7109375" style="149" customWidth="1"/>
    <col min="56" max="91" width="8.7109375" style="11" customWidth="1"/>
    <col min="92" max="16384" width="9.140625" style="87"/>
  </cols>
  <sheetData>
    <row r="1" spans="1:91" s="12" customFormat="1">
      <c r="A1" s="1"/>
      <c r="B1" s="2" t="s">
        <v>63</v>
      </c>
      <c r="C1" s="2"/>
      <c r="D1" s="2"/>
      <c r="E1" s="2"/>
      <c r="F1" s="15"/>
      <c r="G1" s="15"/>
      <c r="H1" s="20"/>
      <c r="I1" s="7"/>
      <c r="J1" s="7"/>
      <c r="K1" s="8"/>
      <c r="L1" s="9"/>
      <c r="M1" s="238" t="s">
        <v>12</v>
      </c>
      <c r="N1" s="239"/>
      <c r="O1" s="239"/>
      <c r="P1" s="239"/>
      <c r="Q1" s="239"/>
      <c r="R1" s="107" t="s">
        <v>133</v>
      </c>
      <c r="S1" s="238" t="s">
        <v>77</v>
      </c>
      <c r="T1" s="239"/>
      <c r="U1" s="239"/>
      <c r="V1" s="239"/>
      <c r="W1" s="239"/>
      <c r="X1" s="239"/>
      <c r="Y1" s="239"/>
      <c r="Z1" s="239"/>
      <c r="AA1" s="239"/>
      <c r="AB1" s="239"/>
      <c r="AC1" s="238" t="s">
        <v>88</v>
      </c>
      <c r="AD1" s="239"/>
      <c r="AE1" s="239"/>
      <c r="AF1" s="239"/>
      <c r="AG1" s="239"/>
      <c r="AH1" s="239"/>
      <c r="AI1" s="239"/>
      <c r="AJ1" s="239"/>
      <c r="AK1" s="239"/>
      <c r="AL1" s="239"/>
      <c r="AM1" s="238" t="s">
        <v>109</v>
      </c>
      <c r="AN1" s="239"/>
      <c r="AO1" s="239"/>
      <c r="AP1" s="239"/>
      <c r="AQ1" s="239"/>
      <c r="AR1" s="239"/>
      <c r="AS1" s="239"/>
      <c r="AT1" s="239"/>
      <c r="AU1" s="239"/>
      <c r="AV1" s="112" t="s">
        <v>16</v>
      </c>
      <c r="AW1" s="112" t="s">
        <v>10</v>
      </c>
      <c r="AX1" s="253" t="s">
        <v>106</v>
      </c>
      <c r="AY1" s="258"/>
      <c r="AZ1" s="253"/>
      <c r="BA1" s="258"/>
      <c r="BB1" s="258"/>
      <c r="BC1" s="259"/>
      <c r="BD1" s="238"/>
      <c r="BE1" s="262"/>
      <c r="BF1" s="262"/>
      <c r="BG1" s="263"/>
      <c r="BH1" s="238"/>
      <c r="BI1" s="239"/>
      <c r="BJ1" s="239"/>
      <c r="BK1" s="240"/>
      <c r="BL1" s="238"/>
      <c r="BM1" s="239"/>
      <c r="BN1" s="239"/>
      <c r="BO1" s="240"/>
      <c r="BP1" s="238"/>
      <c r="BQ1" s="239"/>
      <c r="BR1" s="239"/>
      <c r="BS1" s="240"/>
      <c r="BT1" s="238"/>
      <c r="BU1" s="239"/>
      <c r="BV1" s="239"/>
      <c r="BW1" s="240"/>
      <c r="BX1" s="238"/>
      <c r="BY1" s="239"/>
      <c r="BZ1" s="239"/>
      <c r="CA1" s="240"/>
      <c r="CB1" s="238"/>
      <c r="CC1" s="239"/>
      <c r="CD1" s="239"/>
      <c r="CE1" s="240"/>
      <c r="CF1" s="238"/>
      <c r="CG1" s="239"/>
      <c r="CH1" s="239"/>
      <c r="CI1" s="240"/>
      <c r="CJ1" s="238"/>
      <c r="CK1" s="239"/>
      <c r="CL1" s="239"/>
      <c r="CM1" s="240"/>
    </row>
    <row r="2" spans="1:91" s="12" customFormat="1">
      <c r="A2" s="15"/>
      <c r="B2" s="6" t="s">
        <v>20</v>
      </c>
      <c r="C2" s="6"/>
      <c r="D2" s="6"/>
      <c r="E2" s="6"/>
      <c r="F2" s="7"/>
      <c r="G2" s="7"/>
      <c r="H2" s="20"/>
      <c r="I2" s="7"/>
      <c r="J2" s="6"/>
      <c r="K2" s="145">
        <v>255.6</v>
      </c>
      <c r="L2" s="145">
        <v>262.39999999999998</v>
      </c>
      <c r="M2" s="238" t="s">
        <v>11</v>
      </c>
      <c r="N2" s="239"/>
      <c r="O2" s="239"/>
      <c r="P2" s="239"/>
      <c r="Q2" s="239"/>
      <c r="R2" s="107" t="s">
        <v>11</v>
      </c>
      <c r="S2" s="238" t="s">
        <v>78</v>
      </c>
      <c r="T2" s="239"/>
      <c r="U2" s="239"/>
      <c r="V2" s="239"/>
      <c r="W2" s="239"/>
      <c r="X2" s="239"/>
      <c r="Y2" s="239"/>
      <c r="Z2" s="239"/>
      <c r="AA2" s="239"/>
      <c r="AB2" s="239"/>
      <c r="AC2" s="238" t="s">
        <v>89</v>
      </c>
      <c r="AD2" s="239"/>
      <c r="AE2" s="239"/>
      <c r="AF2" s="239"/>
      <c r="AG2" s="239"/>
      <c r="AH2" s="239"/>
      <c r="AI2" s="239"/>
      <c r="AJ2" s="239"/>
      <c r="AK2" s="239"/>
      <c r="AL2" s="239"/>
      <c r="AM2" s="238" t="s">
        <v>110</v>
      </c>
      <c r="AN2" s="239"/>
      <c r="AO2" s="239"/>
      <c r="AP2" s="239"/>
      <c r="AQ2" s="239"/>
      <c r="AR2" s="239"/>
      <c r="AS2" s="239"/>
      <c r="AT2" s="239"/>
      <c r="AU2" s="239"/>
      <c r="AV2" s="112" t="s">
        <v>17</v>
      </c>
      <c r="AW2" s="112" t="s">
        <v>11</v>
      </c>
      <c r="AX2" s="253" t="s">
        <v>108</v>
      </c>
      <c r="AY2" s="254"/>
      <c r="AZ2" s="253"/>
      <c r="BA2" s="254"/>
      <c r="BB2" s="254"/>
      <c r="BC2" s="254"/>
      <c r="BD2" s="238"/>
      <c r="BE2" s="239"/>
      <c r="BF2" s="239"/>
      <c r="BG2" s="239"/>
      <c r="BH2" s="238"/>
      <c r="BI2" s="239"/>
      <c r="BJ2" s="239"/>
      <c r="BK2" s="240"/>
      <c r="BL2" s="238"/>
      <c r="BM2" s="239"/>
      <c r="BN2" s="239"/>
      <c r="BO2" s="240"/>
      <c r="BP2" s="238"/>
      <c r="BQ2" s="239"/>
      <c r="BR2" s="239"/>
      <c r="BS2" s="240"/>
      <c r="BT2" s="238"/>
      <c r="BU2" s="239"/>
      <c r="BV2" s="239"/>
      <c r="BW2" s="240"/>
      <c r="BX2" s="238"/>
      <c r="BY2" s="239"/>
      <c r="BZ2" s="239"/>
      <c r="CA2" s="240"/>
      <c r="CB2" s="238"/>
      <c r="CC2" s="239"/>
      <c r="CD2" s="239"/>
      <c r="CE2" s="240"/>
      <c r="CF2" s="238"/>
      <c r="CG2" s="239"/>
      <c r="CH2" s="239"/>
      <c r="CI2" s="240"/>
      <c r="CJ2" s="238"/>
      <c r="CK2" s="239"/>
      <c r="CL2" s="239"/>
      <c r="CM2" s="240"/>
    </row>
    <row r="3" spans="1:91" s="12" customFormat="1">
      <c r="A3" s="15"/>
      <c r="B3" s="2" t="s">
        <v>28</v>
      </c>
      <c r="C3" s="2"/>
      <c r="D3" s="2"/>
      <c r="E3" s="2"/>
      <c r="F3" s="15"/>
      <c r="G3" s="15"/>
      <c r="H3" s="20"/>
      <c r="I3" s="7"/>
      <c r="J3" s="7"/>
      <c r="K3" s="17"/>
      <c r="L3" s="18"/>
      <c r="M3" s="20"/>
      <c r="N3" s="7"/>
      <c r="O3" s="7"/>
      <c r="P3" s="7"/>
      <c r="Q3" s="7"/>
      <c r="R3" s="108"/>
      <c r="S3" s="209"/>
      <c r="T3" s="17"/>
      <c r="U3" s="17"/>
      <c r="V3" s="17"/>
      <c r="W3" s="11"/>
      <c r="X3" s="210"/>
      <c r="Y3" s="211">
        <v>64</v>
      </c>
      <c r="Z3" s="17">
        <v>64.8</v>
      </c>
      <c r="AA3" s="210">
        <v>66.2</v>
      </c>
      <c r="AB3" s="264"/>
      <c r="AC3" s="209"/>
      <c r="AD3" s="17"/>
      <c r="AE3" s="17"/>
      <c r="AF3" s="17"/>
      <c r="AG3" s="11"/>
      <c r="AH3" s="210"/>
      <c r="AI3" s="211">
        <v>64</v>
      </c>
      <c r="AJ3" s="17">
        <v>64.8</v>
      </c>
      <c r="AK3" s="210">
        <v>66.2</v>
      </c>
      <c r="AL3" s="264"/>
      <c r="AM3" s="209"/>
      <c r="AN3" s="17"/>
      <c r="AO3" s="17"/>
      <c r="AP3" s="17"/>
      <c r="AQ3" s="11"/>
      <c r="AR3" s="211">
        <v>127.8</v>
      </c>
      <c r="AS3" s="17">
        <v>130.6</v>
      </c>
      <c r="AT3" s="210">
        <v>131.19999999999999</v>
      </c>
      <c r="AU3" s="264"/>
      <c r="AV3" s="112"/>
      <c r="AW3" s="112"/>
      <c r="AX3" s="255"/>
      <c r="AY3" s="256"/>
      <c r="AZ3" s="255"/>
      <c r="BA3" s="256"/>
      <c r="BB3" s="256"/>
      <c r="BC3" s="257"/>
      <c r="BD3" s="250"/>
      <c r="BE3" s="251"/>
      <c r="BF3" s="251"/>
      <c r="BG3" s="252"/>
      <c r="BH3" s="112"/>
      <c r="BI3" s="11"/>
      <c r="BJ3" s="11"/>
      <c r="BK3" s="110"/>
      <c r="BL3" s="112"/>
      <c r="BM3" s="11"/>
      <c r="BN3" s="11"/>
      <c r="BO3" s="110"/>
      <c r="BP3" s="112"/>
      <c r="BQ3" s="11"/>
      <c r="BR3" s="11"/>
      <c r="BS3" s="110"/>
      <c r="BT3" s="112"/>
      <c r="BU3" s="11"/>
      <c r="BV3" s="11"/>
      <c r="BW3" s="110"/>
      <c r="BX3" s="112"/>
      <c r="BY3" s="11"/>
      <c r="BZ3" s="11"/>
      <c r="CA3" s="110"/>
      <c r="CB3" s="112"/>
      <c r="CC3" s="11"/>
      <c r="CD3" s="11"/>
      <c r="CE3" s="110"/>
      <c r="CF3" s="112"/>
      <c r="CG3" s="11"/>
      <c r="CH3" s="11"/>
      <c r="CI3" s="110"/>
      <c r="CJ3" s="112"/>
      <c r="CK3" s="11"/>
      <c r="CL3" s="11"/>
      <c r="CM3" s="110"/>
    </row>
    <row r="4" spans="1:91" s="12" customFormat="1">
      <c r="A4" s="15"/>
      <c r="B4" s="2" t="s">
        <v>19</v>
      </c>
      <c r="C4" s="2"/>
      <c r="D4" s="2"/>
      <c r="E4" s="2"/>
      <c r="F4" s="7" t="s">
        <v>36</v>
      </c>
      <c r="G4" s="7"/>
      <c r="H4" s="20" t="s">
        <v>8</v>
      </c>
      <c r="I4" s="197" t="s">
        <v>49</v>
      </c>
      <c r="J4" s="30" t="s">
        <v>30</v>
      </c>
      <c r="K4" s="8" t="s">
        <v>9</v>
      </c>
      <c r="L4" s="9" t="s">
        <v>14</v>
      </c>
      <c r="M4" s="20" t="s">
        <v>4</v>
      </c>
      <c r="N4" s="114" t="s">
        <v>125</v>
      </c>
      <c r="O4" s="7" t="s">
        <v>4</v>
      </c>
      <c r="P4" s="7" t="s">
        <v>4</v>
      </c>
      <c r="Q4" s="7" t="s">
        <v>4</v>
      </c>
      <c r="R4" s="108" t="s">
        <v>4</v>
      </c>
      <c r="S4" s="213"/>
      <c r="T4" s="8"/>
      <c r="U4" s="8"/>
      <c r="V4" s="8"/>
      <c r="W4" s="11"/>
      <c r="X4" s="92"/>
      <c r="Y4" s="30" t="s">
        <v>30</v>
      </c>
      <c r="Z4" s="8" t="s">
        <v>9</v>
      </c>
      <c r="AA4" s="92" t="s">
        <v>14</v>
      </c>
      <c r="AB4" s="264"/>
      <c r="AC4" s="213"/>
      <c r="AD4" s="8"/>
      <c r="AE4" s="8"/>
      <c r="AF4" s="8"/>
      <c r="AG4" s="11"/>
      <c r="AH4" s="92"/>
      <c r="AI4" s="30" t="s">
        <v>30</v>
      </c>
      <c r="AJ4" s="8" t="s">
        <v>9</v>
      </c>
      <c r="AK4" s="92" t="s">
        <v>14</v>
      </c>
      <c r="AL4" s="264"/>
      <c r="AM4" s="213"/>
      <c r="AN4" s="8"/>
      <c r="AO4" s="8"/>
      <c r="AP4" s="8"/>
      <c r="AQ4" s="11"/>
      <c r="AR4" s="30" t="s">
        <v>30</v>
      </c>
      <c r="AS4" s="8" t="s">
        <v>9</v>
      </c>
      <c r="AT4" s="92" t="s">
        <v>14</v>
      </c>
      <c r="AU4" s="264"/>
      <c r="AV4" s="112" t="s">
        <v>4</v>
      </c>
      <c r="AW4" s="112" t="s">
        <v>4</v>
      </c>
      <c r="AX4" s="154"/>
      <c r="AY4" s="149"/>
      <c r="AZ4" s="154"/>
      <c r="BA4" s="149"/>
      <c r="BB4" s="149"/>
      <c r="BC4" s="150"/>
      <c r="BD4" s="112"/>
      <c r="BE4" s="11"/>
      <c r="BF4" s="11"/>
      <c r="BG4" s="110"/>
      <c r="BH4" s="112"/>
      <c r="BI4" s="11"/>
      <c r="BJ4" s="11"/>
      <c r="BK4" s="110"/>
      <c r="BL4" s="112"/>
      <c r="BM4" s="11"/>
      <c r="BN4" s="11"/>
      <c r="BO4" s="110"/>
      <c r="BP4" s="112"/>
      <c r="BQ4" s="11"/>
      <c r="BR4" s="11"/>
      <c r="BS4" s="110"/>
      <c r="BT4" s="112"/>
      <c r="BU4" s="11"/>
      <c r="BV4" s="11"/>
      <c r="BW4" s="110"/>
      <c r="BX4" s="112"/>
      <c r="BY4" s="11"/>
      <c r="BZ4" s="11"/>
      <c r="CA4" s="110"/>
      <c r="CB4" s="112"/>
      <c r="CC4" s="11"/>
      <c r="CD4" s="11"/>
      <c r="CE4" s="110"/>
      <c r="CF4" s="112"/>
      <c r="CG4" s="11"/>
      <c r="CH4" s="11"/>
      <c r="CI4" s="110"/>
      <c r="CJ4" s="112"/>
      <c r="CK4" s="11"/>
      <c r="CL4" s="11"/>
      <c r="CM4" s="110"/>
    </row>
    <row r="5" spans="1:91" s="12" customFormat="1">
      <c r="A5" s="15"/>
      <c r="B5" s="35" t="str">
        <f>+'TRA-M'!A1</f>
        <v>MAY 2017</v>
      </c>
      <c r="C5" s="37" t="s">
        <v>23</v>
      </c>
      <c r="D5" s="37" t="s">
        <v>52</v>
      </c>
      <c r="E5" s="37" t="s">
        <v>51</v>
      </c>
      <c r="F5" s="15" t="s">
        <v>66</v>
      </c>
      <c r="G5" s="15" t="s">
        <v>22</v>
      </c>
      <c r="H5" s="20" t="s">
        <v>7</v>
      </c>
      <c r="I5" s="197">
        <v>19.2</v>
      </c>
      <c r="J5" s="30" t="s">
        <v>13</v>
      </c>
      <c r="K5" s="8" t="s">
        <v>13</v>
      </c>
      <c r="L5" s="9" t="s">
        <v>13</v>
      </c>
      <c r="M5" s="20" t="s">
        <v>2</v>
      </c>
      <c r="N5" s="115" t="s">
        <v>126</v>
      </c>
      <c r="O5" s="229" t="s">
        <v>150</v>
      </c>
      <c r="P5" s="229" t="s">
        <v>151</v>
      </c>
      <c r="Q5" s="7" t="s">
        <v>37</v>
      </c>
      <c r="R5" s="108" t="s">
        <v>15</v>
      </c>
      <c r="S5" s="112" t="s">
        <v>43</v>
      </c>
      <c r="T5" s="11" t="s">
        <v>44</v>
      </c>
      <c r="U5" s="11" t="s">
        <v>143</v>
      </c>
      <c r="V5" s="11" t="s">
        <v>144</v>
      </c>
      <c r="W5" s="214" t="s">
        <v>38</v>
      </c>
      <c r="X5" s="11" t="s">
        <v>39</v>
      </c>
      <c r="Y5" s="11" t="s">
        <v>40</v>
      </c>
      <c r="Z5" s="214" t="s">
        <v>41</v>
      </c>
      <c r="AA5" s="214" t="s">
        <v>8</v>
      </c>
      <c r="AB5" s="265" t="s">
        <v>42</v>
      </c>
      <c r="AC5" s="112" t="s">
        <v>43</v>
      </c>
      <c r="AD5" s="11" t="s">
        <v>44</v>
      </c>
      <c r="AE5" s="11" t="s">
        <v>143</v>
      </c>
      <c r="AF5" s="11" t="s">
        <v>144</v>
      </c>
      <c r="AG5" s="214" t="s">
        <v>38</v>
      </c>
      <c r="AH5" s="11" t="s">
        <v>39</v>
      </c>
      <c r="AI5" s="11" t="s">
        <v>40</v>
      </c>
      <c r="AJ5" s="214" t="s">
        <v>41</v>
      </c>
      <c r="AK5" s="214" t="s">
        <v>8</v>
      </c>
      <c r="AL5" s="265" t="s">
        <v>42</v>
      </c>
      <c r="AM5" s="112" t="s">
        <v>43</v>
      </c>
      <c r="AN5" s="11" t="s">
        <v>44</v>
      </c>
      <c r="AO5" s="11" t="s">
        <v>143</v>
      </c>
      <c r="AP5" s="11" t="s">
        <v>144</v>
      </c>
      <c r="AQ5" s="214" t="s">
        <v>38</v>
      </c>
      <c r="AR5" s="11" t="s">
        <v>39</v>
      </c>
      <c r="AS5" s="11" t="s">
        <v>40</v>
      </c>
      <c r="AT5" s="214" t="s">
        <v>41</v>
      </c>
      <c r="AU5" s="265" t="s">
        <v>42</v>
      </c>
      <c r="AV5" s="112" t="s">
        <v>37</v>
      </c>
      <c r="AW5" s="112" t="s">
        <v>37</v>
      </c>
      <c r="AX5" s="154" t="s">
        <v>2</v>
      </c>
      <c r="AY5" s="149" t="s">
        <v>3</v>
      </c>
      <c r="AZ5" s="154" t="s">
        <v>43</v>
      </c>
      <c r="BA5" s="149" t="s">
        <v>44</v>
      </c>
      <c r="BB5" s="149" t="s">
        <v>39</v>
      </c>
      <c r="BC5" s="149" t="s">
        <v>40</v>
      </c>
      <c r="BD5" s="112" t="s">
        <v>43</v>
      </c>
      <c r="BE5" s="11" t="s">
        <v>44</v>
      </c>
      <c r="BF5" s="11" t="s">
        <v>39</v>
      </c>
      <c r="BG5" s="11" t="s">
        <v>40</v>
      </c>
      <c r="BH5" s="112" t="s">
        <v>43</v>
      </c>
      <c r="BI5" s="11" t="s">
        <v>44</v>
      </c>
      <c r="BJ5" s="11" t="s">
        <v>39</v>
      </c>
      <c r="BK5" s="11" t="s">
        <v>40</v>
      </c>
      <c r="BL5" s="112" t="s">
        <v>43</v>
      </c>
      <c r="BM5" s="11" t="s">
        <v>44</v>
      </c>
      <c r="BN5" s="11" t="s">
        <v>39</v>
      </c>
      <c r="BO5" s="11" t="s">
        <v>40</v>
      </c>
      <c r="BP5" s="112"/>
      <c r="BQ5" s="11"/>
      <c r="BR5" s="11"/>
      <c r="BS5" s="110"/>
      <c r="BT5" s="112"/>
      <c r="BU5" s="11"/>
      <c r="BV5" s="11"/>
      <c r="BW5" s="110"/>
      <c r="BX5" s="112"/>
      <c r="BY5" s="11"/>
      <c r="BZ5" s="11"/>
      <c r="CA5" s="110"/>
      <c r="CB5" s="112"/>
      <c r="CC5" s="11"/>
      <c r="CD5" s="11"/>
      <c r="CE5" s="110"/>
      <c r="CF5" s="112"/>
      <c r="CG5" s="11"/>
      <c r="CH5" s="11"/>
      <c r="CI5" s="110"/>
      <c r="CJ5" s="112"/>
      <c r="CK5" s="11"/>
      <c r="CL5" s="11"/>
      <c r="CM5" s="110"/>
    </row>
    <row r="6" spans="1:91" s="12" customFormat="1">
      <c r="A6" s="15"/>
      <c r="C6" s="15"/>
      <c r="D6" s="15"/>
      <c r="E6" s="15"/>
      <c r="F6" s="15"/>
      <c r="G6" s="15"/>
      <c r="H6" s="20"/>
      <c r="I6" s="7"/>
      <c r="J6" s="30"/>
      <c r="K6" s="8"/>
      <c r="L6" s="9"/>
      <c r="M6" s="20"/>
      <c r="N6" s="7"/>
      <c r="O6" s="7"/>
      <c r="P6" s="7"/>
      <c r="Q6" s="7"/>
      <c r="R6" s="108"/>
      <c r="S6" s="112"/>
      <c r="T6" s="11"/>
      <c r="U6" s="11"/>
      <c r="V6" s="11"/>
      <c r="W6" s="11"/>
      <c r="X6" s="11"/>
      <c r="Y6" s="11"/>
      <c r="Z6" s="11"/>
      <c r="AA6" s="11"/>
      <c r="AB6" s="11"/>
      <c r="AC6" s="112"/>
      <c r="AD6" s="11"/>
      <c r="AE6" s="11"/>
      <c r="AF6" s="11"/>
      <c r="AG6" s="11"/>
      <c r="AH6" s="11"/>
      <c r="AI6" s="11"/>
      <c r="AJ6" s="11"/>
      <c r="AK6" s="11"/>
      <c r="AL6" s="11"/>
      <c r="AM6" s="112"/>
      <c r="AN6" s="11"/>
      <c r="AO6" s="11"/>
      <c r="AP6" s="11"/>
      <c r="AQ6" s="11"/>
      <c r="AR6" s="11"/>
      <c r="AS6" s="11"/>
      <c r="AT6" s="11"/>
      <c r="AU6" s="11"/>
      <c r="AV6" s="112"/>
      <c r="AW6" s="112"/>
      <c r="AX6" s="154"/>
      <c r="AY6" s="149"/>
      <c r="AZ6" s="154"/>
      <c r="BA6" s="149"/>
      <c r="BB6" s="149"/>
      <c r="BC6" s="150"/>
      <c r="BD6" s="112"/>
      <c r="BE6" s="11"/>
      <c r="BF6" s="11"/>
      <c r="BG6" s="110"/>
      <c r="BH6" s="112"/>
      <c r="BI6" s="11"/>
      <c r="BJ6" s="11"/>
      <c r="BK6" s="110"/>
      <c r="BL6" s="112"/>
      <c r="BM6" s="11"/>
      <c r="BN6" s="11"/>
      <c r="BO6" s="110"/>
      <c r="BP6" s="112"/>
      <c r="BQ6" s="11"/>
      <c r="BR6" s="11"/>
      <c r="BS6" s="110"/>
      <c r="BT6" s="112"/>
      <c r="BU6" s="11"/>
      <c r="BV6" s="11"/>
      <c r="BW6" s="110"/>
      <c r="BX6" s="112"/>
      <c r="BY6" s="11"/>
      <c r="BZ6" s="11"/>
      <c r="CA6" s="110"/>
      <c r="CB6" s="112"/>
      <c r="CC6" s="11"/>
      <c r="CD6" s="11"/>
      <c r="CE6" s="110"/>
      <c r="CF6" s="112"/>
      <c r="CG6" s="11"/>
      <c r="CH6" s="11"/>
      <c r="CI6" s="110"/>
      <c r="CJ6" s="112"/>
      <c r="CK6" s="11"/>
      <c r="CL6" s="11"/>
      <c r="CM6" s="110"/>
    </row>
    <row r="7" spans="1:91" s="12" customFormat="1">
      <c r="A7" s="15">
        <v>1</v>
      </c>
      <c r="B7" s="232" t="s">
        <v>82</v>
      </c>
      <c r="C7" s="233" t="s">
        <v>25</v>
      </c>
      <c r="D7" s="185" t="s">
        <v>83</v>
      </c>
      <c r="E7" s="15" t="s">
        <v>65</v>
      </c>
      <c r="F7" s="43">
        <v>2017</v>
      </c>
      <c r="G7" s="144">
        <v>2000</v>
      </c>
      <c r="H7" s="266">
        <f>IF(R7="",SUM(M7:Q7),SUM(M7:R7))</f>
        <v>265</v>
      </c>
      <c r="I7" s="157" t="s">
        <v>50</v>
      </c>
      <c r="J7" s="267" t="str">
        <f>IF('TRA-M'!$A$2-F7&lt;=1,IF(W7&gt;=$Y$3,"YES",IF(AG7&gt;=$AI$3,"YES",IF(OR(AQ7&gt;=$AR$3, AT7&gt;=$AR$3),"YES",""))),"")</f>
        <v>YES</v>
      </c>
      <c r="K7" s="217" t="str">
        <f>IF(OR(W7&gt;=$Z$3,Z7&gt;=$Z$3),IF(I7="YES","YES",""),IF(OR(AG7&gt;=$AJ$3,AJ7&gt;=$AJ$3),IF(I7="YES","YES",""),IF(OR(AQ7&gt;=$AS$3,AT7&gt;=$AS$3),IF(I7="YES","YES",""),"")))</f>
        <v>YES</v>
      </c>
      <c r="L7" s="218" t="str">
        <f>IF(OR(W7&gt;=$AA$3,Z7&gt;=$AA$3),IF(I7="YES","YES",""),IF(OR(AG7&gt;=$AK$3,AJ7&gt;=$AK$3),IF(I7="YES","YES",""),IF(OR(AQ7&gt;=$AT$3,AT7&gt;=$AT$3),IF(I7="YES","YES",""),"")))</f>
        <v>YES</v>
      </c>
      <c r="M7" s="112">
        <f>MAX($W7,$AG7,$AQ7)</f>
        <v>132.4</v>
      </c>
      <c r="N7" s="11"/>
      <c r="O7" s="11">
        <f>IF(M7=$W7,MAX($AC7+$AD7,$AM7+$AN7),IF(M7=$AG7,MAX($S7+$T7,$AM7+$AN7),MAX($S7+$T7,$AC7+$AD7)))</f>
        <v>65.3</v>
      </c>
      <c r="P7" s="149">
        <f>IF(M7=$W7,MAX($AE7+$AF7,$AO7+$AP7),IF(M7=$AG7,MAX($U7+$V7,$AO7+$AP7),MAX($U7+$V7,$AE7+$AF7)))</f>
        <v>0</v>
      </c>
      <c r="Q7" s="110">
        <f>MAX($Z7,$AJ7,$AT7)</f>
        <v>67</v>
      </c>
      <c r="R7" s="107">
        <f>IF(MAX(AV7:AV7)&lt;=0,"",MAX(AV7:AV7))</f>
        <v>0.29999999999999716</v>
      </c>
      <c r="S7" s="169">
        <v>32.9</v>
      </c>
      <c r="T7" s="170">
        <v>32.1</v>
      </c>
      <c r="U7" s="170"/>
      <c r="V7" s="170"/>
      <c r="W7" s="171">
        <f>+SUM(S7:V7)</f>
        <v>65</v>
      </c>
      <c r="X7" s="172">
        <v>32.4</v>
      </c>
      <c r="Y7" s="191">
        <v>0</v>
      </c>
      <c r="Z7" s="171">
        <f>+X7+Y7</f>
        <v>32.4</v>
      </c>
      <c r="AA7" s="171">
        <f>+W7+Z7</f>
        <v>97.4</v>
      </c>
      <c r="AB7" s="271"/>
      <c r="AC7" s="169">
        <v>33.299999999999997</v>
      </c>
      <c r="AD7" s="170">
        <v>32</v>
      </c>
      <c r="AE7" s="170"/>
      <c r="AF7" s="170"/>
      <c r="AG7" s="171">
        <f>+SUM(AC7:AF7)</f>
        <v>65.3</v>
      </c>
      <c r="AH7" s="172">
        <v>32.299999999999997</v>
      </c>
      <c r="AI7" s="172">
        <v>30.2</v>
      </c>
      <c r="AJ7" s="171">
        <f>+AH7+AI7</f>
        <v>62.5</v>
      </c>
      <c r="AK7" s="171">
        <f>+AG7+AJ7</f>
        <v>127.8</v>
      </c>
      <c r="AL7" s="271"/>
      <c r="AM7" s="154">
        <v>33.9</v>
      </c>
      <c r="AN7" s="158">
        <v>32.6</v>
      </c>
      <c r="AO7" s="158">
        <v>32.9</v>
      </c>
      <c r="AP7" s="158">
        <v>33</v>
      </c>
      <c r="AQ7" s="160">
        <f>+SUM(AM7:AP7)</f>
        <v>132.4</v>
      </c>
      <c r="AR7" s="149">
        <v>33.5</v>
      </c>
      <c r="AS7" s="149">
        <v>33.5</v>
      </c>
      <c r="AT7" s="155">
        <f>+AR7+AS7</f>
        <v>67</v>
      </c>
      <c r="AU7" s="268">
        <v>1</v>
      </c>
      <c r="AV7" s="269">
        <f>IF($AW7="","",$AW7-Q7)</f>
        <v>0.29999999999999716</v>
      </c>
      <c r="AW7" s="149">
        <f>IF(MAX($AX7:$HK7)=0,"",MAX($AX7:$HK7))</f>
        <v>67.3</v>
      </c>
      <c r="AX7" s="282">
        <f>33.9+33.4</f>
        <v>67.3</v>
      </c>
      <c r="AY7" s="283">
        <f>32.1+31.9</f>
        <v>64</v>
      </c>
      <c r="AZ7" s="154"/>
      <c r="BA7" s="158"/>
      <c r="BB7" s="158"/>
      <c r="BC7" s="150"/>
      <c r="BD7" s="154"/>
      <c r="BE7" s="158"/>
      <c r="BF7" s="158"/>
      <c r="BG7" s="150"/>
      <c r="BH7" s="158"/>
      <c r="BI7" s="158"/>
      <c r="BJ7" s="158"/>
      <c r="BK7" s="150"/>
      <c r="BL7" s="158"/>
      <c r="BM7" s="158"/>
      <c r="BN7" s="158"/>
      <c r="BO7" s="150"/>
      <c r="BP7" s="158"/>
      <c r="BQ7" s="158"/>
      <c r="BR7" s="158"/>
      <c r="BS7" s="150"/>
      <c r="BT7" s="158"/>
      <c r="BU7" s="158"/>
      <c r="BV7" s="158"/>
      <c r="BW7" s="150"/>
      <c r="BX7" s="158"/>
      <c r="BY7" s="158"/>
      <c r="BZ7" s="158"/>
      <c r="CA7" s="150"/>
      <c r="CB7" s="158"/>
      <c r="CC7" s="158"/>
      <c r="CD7" s="158"/>
      <c r="CE7" s="158"/>
      <c r="CF7" s="158"/>
      <c r="CG7" s="158"/>
      <c r="CH7" s="158"/>
      <c r="CI7" s="158"/>
      <c r="CJ7" s="158"/>
      <c r="CK7" s="158"/>
      <c r="CL7" s="158"/>
      <c r="CM7" s="158"/>
    </row>
    <row r="8" spans="1:91" s="12" customFormat="1">
      <c r="A8" s="15">
        <v>2</v>
      </c>
      <c r="B8" s="70" t="s">
        <v>69</v>
      </c>
      <c r="C8" s="144" t="s">
        <v>25</v>
      </c>
      <c r="D8" s="185" t="s">
        <v>70</v>
      </c>
      <c r="E8" s="15" t="s">
        <v>65</v>
      </c>
      <c r="F8" s="43">
        <v>2014</v>
      </c>
      <c r="G8" s="233">
        <v>1999</v>
      </c>
      <c r="H8" s="266">
        <f>IF(R8="",SUM(M8:Q8),SUM(M8:R8))</f>
        <v>255.5</v>
      </c>
      <c r="I8" s="157" t="s">
        <v>50</v>
      </c>
      <c r="J8" s="267" t="str">
        <f>IF('TRA-M'!$A$2-F8&lt;=1,IF(W8&gt;=$Y$3,"YES",IF(AG8&gt;=$AI$3,"YES",IF(OR(AQ8&gt;=$AR$3, AT8&gt;=$AR$3),"YES",""))),"")</f>
        <v/>
      </c>
      <c r="K8" s="217" t="str">
        <f>IF(OR(W8&gt;=$Z$3,Z8&gt;=$Z$3),IF(I8="YES","YES",""),IF(OR(AG8&gt;=$AJ$3,AJ8&gt;=$AJ$3),IF(I8="YES","YES",""),IF(OR(AQ8&gt;=$AS$3,AT8&gt;=$AS$3),IF(I8="YES","YES",""),"")))</f>
        <v>YES</v>
      </c>
      <c r="L8" s="218" t="str">
        <f>IF(OR(W8&gt;=$AA$3,Z8&gt;=$AA$3),IF(I8="YES","YES",""),IF(OR(AG8&gt;=$AK$3,AJ8&gt;=$AK$3),IF(I8="YES","YES",""),IF(OR(AQ8&gt;=$AT$3,AT8&gt;=$AT$3),IF(I8="YES","YES",""),"")))</f>
        <v/>
      </c>
      <c r="M8" s="112">
        <f>MAX($W8,$AG8,$AQ8)</f>
        <v>124</v>
      </c>
      <c r="N8" s="11"/>
      <c r="O8" s="11">
        <f>IF(M8=$W8,MAX($AC8+$AD8,$AM8+$AN8),IF(M8=$AG8,MAX($S8+$T8,$AM8+$AN8),MAX($S8+$T8,$AC8+$AD8)))</f>
        <v>64.599999999999994</v>
      </c>
      <c r="P8" s="149">
        <f>IF(M8=$W8,MAX($AE8+$AF8,$AO8+$AP8),IF(M8=$AG8,MAX($U8+$V8,$AO8+$AP8),MAX($U8+$V8,$AE8+$AF8)))</f>
        <v>0</v>
      </c>
      <c r="Q8" s="110">
        <f>MAX($Z8,$AJ8,$AT8)</f>
        <v>66.900000000000006</v>
      </c>
      <c r="R8" s="107" t="str">
        <f>IF(MAX(AV8:AV8)&lt;=0,"",MAX(AV8:AV8))</f>
        <v/>
      </c>
      <c r="S8" s="154">
        <v>32.4</v>
      </c>
      <c r="T8" s="166">
        <v>22.8</v>
      </c>
      <c r="U8" s="166"/>
      <c r="V8" s="166"/>
      <c r="W8" s="155">
        <f>+SUM(S8:V8)</f>
        <v>55.2</v>
      </c>
      <c r="X8" s="149">
        <v>32.200000000000003</v>
      </c>
      <c r="Y8" s="149">
        <v>33.6</v>
      </c>
      <c r="Z8" s="160">
        <f>+X8+Y8</f>
        <v>65.800000000000011</v>
      </c>
      <c r="AA8" s="155">
        <f>+W8+Z8</f>
        <v>121.00000000000001</v>
      </c>
      <c r="AB8" s="268">
        <v>3</v>
      </c>
      <c r="AC8" s="154">
        <v>32.6</v>
      </c>
      <c r="AD8" s="158">
        <v>32</v>
      </c>
      <c r="AE8" s="158"/>
      <c r="AF8" s="158"/>
      <c r="AG8" s="160">
        <f>+SUM(AC8:AF8)</f>
        <v>64.599999999999994</v>
      </c>
      <c r="AH8" s="149">
        <v>32</v>
      </c>
      <c r="AI8" s="149">
        <v>33.4</v>
      </c>
      <c r="AJ8" s="160">
        <f>+AH8+AI8</f>
        <v>65.400000000000006</v>
      </c>
      <c r="AK8" s="155">
        <f>+AG8+AJ8</f>
        <v>130</v>
      </c>
      <c r="AL8" s="268">
        <v>2</v>
      </c>
      <c r="AM8" s="154">
        <v>34</v>
      </c>
      <c r="AN8" s="166">
        <v>23.4</v>
      </c>
      <c r="AO8" s="158">
        <v>32.9</v>
      </c>
      <c r="AP8" s="158">
        <v>33.700000000000003</v>
      </c>
      <c r="AQ8" s="155">
        <f>+SUM(AM8:AP8)</f>
        <v>124</v>
      </c>
      <c r="AR8" s="149">
        <v>33.5</v>
      </c>
      <c r="AS8" s="149">
        <v>33.4</v>
      </c>
      <c r="AT8" s="155">
        <f>+AR8+AS8</f>
        <v>66.900000000000006</v>
      </c>
      <c r="AU8" s="268">
        <v>2</v>
      </c>
      <c r="AV8" s="269">
        <f>IF($AW8="","",$AW8-Q8)</f>
        <v>-0.40000000000000568</v>
      </c>
      <c r="AW8" s="149">
        <f>IF(MAX($AX8:$HK8)=0,"",MAX($AX8:$HK8))</f>
        <v>66.5</v>
      </c>
      <c r="AX8" s="223">
        <f>32.7+33.8</f>
        <v>66.5</v>
      </c>
      <c r="AY8" s="270">
        <f>33.5+32.7</f>
        <v>66.2</v>
      </c>
      <c r="AZ8" s="154"/>
      <c r="BA8" s="158"/>
      <c r="BB8" s="158"/>
      <c r="BC8" s="150"/>
      <c r="BD8" s="154"/>
      <c r="BE8" s="158"/>
      <c r="BF8" s="158"/>
      <c r="BG8" s="150"/>
      <c r="BH8" s="158"/>
      <c r="BI8" s="158"/>
      <c r="BJ8" s="158"/>
      <c r="BK8" s="150"/>
      <c r="BL8" s="158"/>
      <c r="BM8" s="158"/>
      <c r="BN8" s="158"/>
      <c r="BO8" s="150"/>
      <c r="BP8" s="158"/>
      <c r="BQ8" s="158"/>
      <c r="BR8" s="158"/>
      <c r="BS8" s="150"/>
      <c r="BT8" s="158"/>
      <c r="BU8" s="158"/>
      <c r="BV8" s="158"/>
      <c r="BW8" s="150"/>
      <c r="BX8" s="158"/>
      <c r="BY8" s="158"/>
      <c r="BZ8" s="158"/>
      <c r="CA8" s="150"/>
      <c r="CB8" s="158"/>
      <c r="CC8" s="158"/>
      <c r="CD8" s="158"/>
      <c r="CE8" s="158"/>
      <c r="CF8" s="158"/>
      <c r="CG8" s="158"/>
      <c r="CH8" s="158"/>
      <c r="CI8" s="158"/>
      <c r="CJ8" s="158"/>
      <c r="CK8" s="158"/>
      <c r="CL8" s="158"/>
      <c r="CM8" s="158"/>
    </row>
    <row r="9" spans="1:91" s="12" customFormat="1">
      <c r="A9" s="165">
        <v>3</v>
      </c>
      <c r="B9" s="70" t="s">
        <v>156</v>
      </c>
      <c r="C9" s="144" t="s">
        <v>25</v>
      </c>
      <c r="D9" s="185" t="s">
        <v>83</v>
      </c>
      <c r="E9" s="15" t="s">
        <v>65</v>
      </c>
      <c r="F9" s="43">
        <v>2017</v>
      </c>
      <c r="G9" s="144">
        <v>2000</v>
      </c>
      <c r="H9" s="266">
        <f>IF(R9="",SUM(M9:Q9),SUM(M9:R9))</f>
        <v>255</v>
      </c>
      <c r="I9" s="157"/>
      <c r="J9" s="267" t="str">
        <f>IF('TRA-M'!$A$2-F9&lt;=1,IF(W9&gt;=$Y$3,"YES",IF(AG9&gt;=$AI$3,"YES",IF(OR(AQ9&gt;=$AR$3, AT9&gt;=$AR$3),"YES",""))),"")</f>
        <v>YES</v>
      </c>
      <c r="K9" s="217" t="str">
        <f>IF(OR(W9&gt;=$Z$3,Z9&gt;=$Z$3),IF(I9="YES","YES",""),IF(OR(AG9&gt;=$AJ$3,AJ9&gt;=$AJ$3),IF(I9="YES","YES",""),IF(OR(AQ9&gt;=$AS$3,AT9&gt;=$AS$3),IF(I9="YES","YES",""),"")))</f>
        <v/>
      </c>
      <c r="L9" s="218" t="str">
        <f>IF(OR(W9&gt;=$AA$3,Z9&gt;=$AA$3),IF(I9="YES","YES",""),IF(OR(AG9&gt;=$AK$3,AJ9&gt;=$AK$3),IF(I9="YES","YES",""),IF(OR(AQ9&gt;=$AT$3,AT9&gt;=$AT$3),IF(I9="YES","YES",""),"")))</f>
        <v/>
      </c>
      <c r="M9" s="112">
        <f>MAX($W9,$AG9,$AQ9)</f>
        <v>128.30000000000001</v>
      </c>
      <c r="N9" s="11"/>
      <c r="O9" s="11">
        <f>IF(M9=$W9,MAX($AC9+$AD9,$AM9+$AN9),IF(M9=$AG9,MAX($S9+$T9,$AM9+$AN9),MAX($S9+$T9,$AC9+$AD9)))</f>
        <v>63.1</v>
      </c>
      <c r="P9" s="149">
        <f>IF(M9=$W9,MAX($AE9+$AF9,$AO9+$AP9),IF(M9=$AG9,MAX($U9+$V9,$AO9+$AP9),MAX($U9+$V9,$AE9+$AF9)))</f>
        <v>0</v>
      </c>
      <c r="Q9" s="110">
        <f>MAX($Z9,$AJ9,$AT9)</f>
        <v>63.599999999999994</v>
      </c>
      <c r="R9" s="107" t="str">
        <f>IF(MAX(AV9:AV9)&lt;=0,"",MAX(AV9:AV9))</f>
        <v/>
      </c>
      <c r="S9" s="169">
        <v>32.5</v>
      </c>
      <c r="T9" s="170">
        <v>30.6</v>
      </c>
      <c r="U9" s="170"/>
      <c r="V9" s="170"/>
      <c r="W9" s="171">
        <f>+SUM(S9:V9)</f>
        <v>63.1</v>
      </c>
      <c r="X9" s="172">
        <v>32.299999999999997</v>
      </c>
      <c r="Y9" s="172">
        <v>30.6</v>
      </c>
      <c r="Z9" s="171">
        <f>+X9+Y9</f>
        <v>62.9</v>
      </c>
      <c r="AA9" s="171">
        <f>+W9+Z9</f>
        <v>126</v>
      </c>
      <c r="AB9" s="271"/>
      <c r="AC9" s="169">
        <v>30.1</v>
      </c>
      <c r="AD9" s="170">
        <v>32.5</v>
      </c>
      <c r="AE9" s="170"/>
      <c r="AF9" s="170"/>
      <c r="AG9" s="171">
        <f>+SUM(AC9:AF9)</f>
        <v>62.6</v>
      </c>
      <c r="AH9" s="172">
        <v>32.4</v>
      </c>
      <c r="AI9" s="172">
        <v>30.8</v>
      </c>
      <c r="AJ9" s="171">
        <f>+AH9+AI9</f>
        <v>63.2</v>
      </c>
      <c r="AK9" s="171">
        <f>+AG9+AJ9</f>
        <v>125.80000000000001</v>
      </c>
      <c r="AL9" s="271"/>
      <c r="AM9" s="154">
        <v>32.4</v>
      </c>
      <c r="AN9" s="158">
        <v>32.1</v>
      </c>
      <c r="AO9" s="158">
        <v>32.700000000000003</v>
      </c>
      <c r="AP9" s="158">
        <v>31.1</v>
      </c>
      <c r="AQ9" s="155">
        <f>+SUM(AM9:AP9)</f>
        <v>128.30000000000001</v>
      </c>
      <c r="AR9" s="149">
        <v>31.3</v>
      </c>
      <c r="AS9" s="149">
        <v>32.299999999999997</v>
      </c>
      <c r="AT9" s="155">
        <f>+AR9+AS9</f>
        <v>63.599999999999994</v>
      </c>
      <c r="AU9" s="268">
        <v>3</v>
      </c>
      <c r="AV9" s="269" t="str">
        <f>IF($AW9="","",$AW9-Q9)</f>
        <v/>
      </c>
      <c r="AW9" s="149" t="str">
        <f>IF(MAX($AX9:$HK9)=0,"",MAX($AX9:$HK9))</f>
        <v/>
      </c>
      <c r="AX9" s="272"/>
      <c r="AY9" s="273"/>
      <c r="AZ9" s="154"/>
      <c r="BA9" s="158"/>
      <c r="BB9" s="158"/>
      <c r="BC9" s="150"/>
      <c r="BD9" s="154"/>
      <c r="BE9" s="158"/>
      <c r="BF9" s="158"/>
      <c r="BG9" s="150"/>
      <c r="BH9" s="158"/>
      <c r="BI9" s="158"/>
      <c r="BJ9" s="158"/>
      <c r="BK9" s="150"/>
      <c r="BL9" s="158"/>
      <c r="BM9" s="158"/>
      <c r="BN9" s="158"/>
      <c r="BO9" s="150"/>
      <c r="BP9" s="158"/>
      <c r="BQ9" s="158"/>
      <c r="BR9" s="158"/>
      <c r="BS9" s="150"/>
      <c r="BT9" s="158"/>
      <c r="BU9" s="158"/>
      <c r="BV9" s="158"/>
      <c r="BW9" s="150"/>
      <c r="BX9" s="158"/>
      <c r="BY9" s="158"/>
      <c r="BZ9" s="158"/>
      <c r="CA9" s="150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58"/>
    </row>
    <row r="10" spans="1:91" s="129" customFormat="1">
      <c r="A10" s="274"/>
      <c r="B10" s="70"/>
      <c r="C10" s="144"/>
      <c r="D10" s="185"/>
      <c r="E10" s="144"/>
      <c r="F10" s="275"/>
      <c r="G10" s="144"/>
      <c r="H10" s="276"/>
      <c r="I10" s="157"/>
      <c r="J10" s="46"/>
      <c r="K10" s="47"/>
      <c r="L10" s="48"/>
      <c r="M10" s="149"/>
      <c r="N10" s="149"/>
      <c r="O10" s="149"/>
      <c r="P10" s="149"/>
      <c r="Q10" s="149"/>
      <c r="R10" s="149"/>
      <c r="S10" s="158"/>
      <c r="T10" s="158"/>
      <c r="U10" s="158"/>
      <c r="V10" s="158"/>
      <c r="W10" s="155"/>
      <c r="X10" s="149"/>
      <c r="Y10" s="149"/>
      <c r="Z10" s="155"/>
      <c r="AA10" s="155"/>
      <c r="AB10" s="220"/>
      <c r="AC10" s="158"/>
      <c r="AD10" s="158"/>
      <c r="AE10" s="158"/>
      <c r="AF10" s="158"/>
      <c r="AG10" s="155"/>
      <c r="AH10" s="149"/>
      <c r="AI10" s="149"/>
      <c r="AJ10" s="155"/>
      <c r="AK10" s="155"/>
      <c r="AL10" s="220"/>
      <c r="AM10" s="158"/>
      <c r="AN10" s="158"/>
      <c r="AO10" s="158"/>
      <c r="AP10" s="158"/>
      <c r="AQ10" s="155"/>
      <c r="AR10" s="149"/>
      <c r="AS10" s="149"/>
      <c r="AT10" s="155"/>
      <c r="AU10" s="220"/>
      <c r="AV10" s="277"/>
      <c r="AW10" s="149"/>
      <c r="AX10" s="149"/>
      <c r="AY10" s="158"/>
      <c r="AZ10" s="149"/>
      <c r="BA10" s="158"/>
      <c r="BB10" s="158"/>
      <c r="BC10" s="149"/>
      <c r="BD10" s="149"/>
      <c r="BE10" s="158"/>
      <c r="BF10" s="158"/>
      <c r="BG10" s="149"/>
      <c r="BH10" s="158"/>
      <c r="BI10" s="158"/>
      <c r="BJ10" s="158"/>
      <c r="BK10" s="149"/>
      <c r="BL10" s="158"/>
      <c r="BM10" s="158"/>
      <c r="BN10" s="158"/>
      <c r="BO10" s="149"/>
      <c r="BP10" s="158"/>
      <c r="BQ10" s="158"/>
      <c r="BR10" s="158"/>
      <c r="BS10" s="149"/>
      <c r="BT10" s="158"/>
      <c r="BU10" s="158"/>
      <c r="BV10" s="158"/>
      <c r="BW10" s="149"/>
      <c r="BX10" s="158"/>
      <c r="BY10" s="158"/>
      <c r="BZ10" s="158"/>
      <c r="CA10" s="149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</row>
    <row r="11" spans="1:91" s="129" customFormat="1">
      <c r="A11" s="274"/>
      <c r="B11" s="70"/>
      <c r="C11" s="144"/>
      <c r="D11" s="185"/>
      <c r="E11" s="144"/>
      <c r="F11" s="275"/>
      <c r="G11" s="144"/>
      <c r="H11" s="276"/>
      <c r="I11" s="157"/>
      <c r="J11" s="46"/>
      <c r="K11" s="47"/>
      <c r="L11" s="48"/>
      <c r="M11" s="149"/>
      <c r="N11" s="149"/>
      <c r="O11" s="149"/>
      <c r="P11" s="149"/>
      <c r="Q11" s="149"/>
      <c r="R11" s="149"/>
      <c r="S11" s="158"/>
      <c r="T11" s="158"/>
      <c r="U11" s="158"/>
      <c r="V11" s="158"/>
      <c r="W11" s="155"/>
      <c r="X11" s="149"/>
      <c r="Y11" s="149"/>
      <c r="Z11" s="155"/>
      <c r="AA11" s="155"/>
      <c r="AB11" s="220"/>
      <c r="AC11" s="158"/>
      <c r="AD11" s="158"/>
      <c r="AE11" s="158"/>
      <c r="AF11" s="158"/>
      <c r="AG11" s="155"/>
      <c r="AH11" s="149"/>
      <c r="AI11" s="149"/>
      <c r="AJ11" s="155"/>
      <c r="AK11" s="155"/>
      <c r="AL11" s="220"/>
      <c r="AM11" s="158"/>
      <c r="AN11" s="158"/>
      <c r="AO11" s="158"/>
      <c r="AP11" s="158"/>
      <c r="AQ11" s="155"/>
      <c r="AR11" s="149"/>
      <c r="AS11" s="149"/>
      <c r="AT11" s="155"/>
      <c r="AU11" s="220"/>
      <c r="AV11" s="277"/>
      <c r="AW11" s="149"/>
      <c r="AX11" s="149"/>
      <c r="AY11" s="158"/>
      <c r="AZ11" s="149"/>
      <c r="BA11" s="158"/>
      <c r="BB11" s="158"/>
      <c r="BC11" s="149"/>
      <c r="BD11" s="149"/>
      <c r="BE11" s="158"/>
      <c r="BF11" s="158"/>
      <c r="BG11" s="149"/>
      <c r="BH11" s="158"/>
      <c r="BI11" s="158"/>
      <c r="BJ11" s="158"/>
      <c r="BK11" s="149"/>
      <c r="BL11" s="158"/>
      <c r="BM11" s="158"/>
      <c r="BN11" s="158"/>
      <c r="BO11" s="149"/>
      <c r="BP11" s="158"/>
      <c r="BQ11" s="158"/>
      <c r="BR11" s="158"/>
      <c r="BS11" s="149"/>
      <c r="BT11" s="158"/>
      <c r="BU11" s="158"/>
      <c r="BV11" s="158"/>
      <c r="BW11" s="149"/>
      <c r="BX11" s="158"/>
      <c r="BY11" s="158"/>
      <c r="BZ11" s="158"/>
      <c r="CA11" s="149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</row>
    <row r="12" spans="1:91" s="129" customFormat="1">
      <c r="A12" s="274"/>
      <c r="B12" s="70"/>
      <c r="C12" s="144"/>
      <c r="D12" s="185"/>
      <c r="E12" s="144"/>
      <c r="F12" s="275"/>
      <c r="G12" s="144"/>
      <c r="H12" s="276"/>
      <c r="I12" s="157"/>
      <c r="J12" s="46"/>
      <c r="K12" s="47"/>
      <c r="L12" s="48"/>
      <c r="M12" s="149"/>
      <c r="N12" s="149"/>
      <c r="O12" s="149"/>
      <c r="P12" s="149"/>
      <c r="Q12" s="149"/>
      <c r="R12" s="149"/>
      <c r="S12" s="158"/>
      <c r="T12" s="158"/>
      <c r="U12" s="158"/>
      <c r="V12" s="158"/>
      <c r="W12" s="155"/>
      <c r="X12" s="149"/>
      <c r="Y12" s="149"/>
      <c r="Z12" s="155"/>
      <c r="AA12" s="155"/>
      <c r="AB12" s="220"/>
      <c r="AC12" s="158"/>
      <c r="AD12" s="158"/>
      <c r="AE12" s="158"/>
      <c r="AF12" s="158"/>
      <c r="AG12" s="155"/>
      <c r="AH12" s="149"/>
      <c r="AI12" s="149"/>
      <c r="AJ12" s="155"/>
      <c r="AK12" s="155"/>
      <c r="AL12" s="220"/>
      <c r="AM12" s="158"/>
      <c r="AN12" s="158"/>
      <c r="AO12" s="158"/>
      <c r="AP12" s="158"/>
      <c r="AQ12" s="155"/>
      <c r="AR12" s="149"/>
      <c r="AS12" s="149"/>
      <c r="AT12" s="155"/>
      <c r="AU12" s="220"/>
      <c r="AV12" s="277"/>
      <c r="AW12" s="149"/>
      <c r="AX12" s="149"/>
      <c r="AY12" s="158"/>
      <c r="AZ12" s="149"/>
      <c r="BA12" s="158"/>
      <c r="BB12" s="158"/>
      <c r="BC12" s="149"/>
      <c r="BD12" s="149"/>
      <c r="BE12" s="158"/>
      <c r="BF12" s="158"/>
      <c r="BG12" s="149"/>
      <c r="BH12" s="158"/>
      <c r="BI12" s="158"/>
      <c r="BJ12" s="158"/>
      <c r="BK12" s="149"/>
      <c r="BL12" s="158"/>
      <c r="BM12" s="158"/>
      <c r="BN12" s="158"/>
      <c r="BO12" s="149"/>
      <c r="BP12" s="158"/>
      <c r="BQ12" s="158"/>
      <c r="BR12" s="158"/>
      <c r="BS12" s="149"/>
      <c r="BT12" s="158"/>
      <c r="BU12" s="158"/>
      <c r="BV12" s="158"/>
      <c r="BW12" s="149"/>
      <c r="BX12" s="158"/>
      <c r="BY12" s="158"/>
      <c r="BZ12" s="158"/>
      <c r="CA12" s="149"/>
      <c r="CB12" s="158"/>
      <c r="CC12" s="158"/>
      <c r="CD12" s="158"/>
      <c r="CE12" s="158"/>
      <c r="CF12" s="158"/>
      <c r="CG12" s="158"/>
      <c r="CH12" s="158"/>
      <c r="CI12" s="158"/>
      <c r="CJ12" s="158"/>
      <c r="CK12" s="158"/>
      <c r="CL12" s="158"/>
      <c r="CM12" s="158"/>
    </row>
    <row r="13" spans="1:91" s="129" customFormat="1">
      <c r="A13" s="274"/>
      <c r="B13" s="70"/>
      <c r="C13" s="144"/>
      <c r="D13" s="185"/>
      <c r="E13" s="144"/>
      <c r="F13" s="275"/>
      <c r="G13" s="144"/>
      <c r="H13" s="276"/>
      <c r="I13" s="157"/>
      <c r="J13" s="46"/>
      <c r="K13" s="47"/>
      <c r="L13" s="48"/>
      <c r="M13" s="149"/>
      <c r="N13" s="149"/>
      <c r="O13" s="149"/>
      <c r="P13" s="149"/>
      <c r="Q13" s="149"/>
      <c r="R13" s="149"/>
      <c r="S13" s="158"/>
      <c r="T13" s="158"/>
      <c r="U13" s="158"/>
      <c r="V13" s="158"/>
      <c r="W13" s="155"/>
      <c r="X13" s="149"/>
      <c r="Y13" s="149"/>
      <c r="Z13" s="155"/>
      <c r="AA13" s="155"/>
      <c r="AB13" s="220"/>
      <c r="AC13" s="158"/>
      <c r="AD13" s="158"/>
      <c r="AE13" s="158"/>
      <c r="AF13" s="158"/>
      <c r="AG13" s="155"/>
      <c r="AH13" s="149"/>
      <c r="AI13" s="149"/>
      <c r="AJ13" s="155"/>
      <c r="AK13" s="155"/>
      <c r="AL13" s="220"/>
      <c r="AM13" s="158"/>
      <c r="AN13" s="158"/>
      <c r="AO13" s="158"/>
      <c r="AP13" s="158"/>
      <c r="AQ13" s="155"/>
      <c r="AR13" s="149"/>
      <c r="AS13" s="149"/>
      <c r="AT13" s="155"/>
      <c r="AU13" s="220"/>
      <c r="AV13" s="277"/>
      <c r="AW13" s="149"/>
      <c r="AX13" s="149"/>
      <c r="AY13" s="158"/>
      <c r="AZ13" s="149"/>
      <c r="BA13" s="158"/>
      <c r="BB13" s="158"/>
      <c r="BC13" s="149"/>
      <c r="BD13" s="149"/>
      <c r="BE13" s="158"/>
      <c r="BF13" s="158"/>
      <c r="BG13" s="149"/>
      <c r="BH13" s="158"/>
      <c r="BI13" s="158"/>
      <c r="BJ13" s="158"/>
      <c r="BK13" s="149"/>
      <c r="BL13" s="158"/>
      <c r="BM13" s="158"/>
      <c r="BN13" s="158"/>
      <c r="BO13" s="149"/>
      <c r="BP13" s="158"/>
      <c r="BQ13" s="158"/>
      <c r="BR13" s="158"/>
      <c r="BS13" s="149"/>
      <c r="BT13" s="158"/>
      <c r="BU13" s="158"/>
      <c r="BV13" s="158"/>
      <c r="BW13" s="149"/>
      <c r="BX13" s="158"/>
      <c r="BY13" s="158"/>
      <c r="BZ13" s="158"/>
      <c r="CA13" s="149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</row>
    <row r="14" spans="1:91" s="129" customFormat="1">
      <c r="A14" s="274"/>
      <c r="B14" s="70"/>
      <c r="C14" s="144"/>
      <c r="D14" s="185"/>
      <c r="E14" s="144"/>
      <c r="F14" s="275"/>
      <c r="G14" s="144"/>
      <c r="H14" s="276"/>
      <c r="I14" s="157"/>
      <c r="J14" s="46"/>
      <c r="K14" s="47"/>
      <c r="L14" s="48"/>
      <c r="M14" s="149"/>
      <c r="N14" s="149"/>
      <c r="O14" s="149"/>
      <c r="P14" s="149"/>
      <c r="Q14" s="149"/>
      <c r="R14" s="149"/>
      <c r="S14" s="158"/>
      <c r="T14" s="158"/>
      <c r="U14" s="158"/>
      <c r="V14" s="158"/>
      <c r="W14" s="155"/>
      <c r="X14" s="149"/>
      <c r="Y14" s="149"/>
      <c r="Z14" s="155"/>
      <c r="AA14" s="155"/>
      <c r="AB14" s="220"/>
      <c r="AC14" s="158"/>
      <c r="AD14" s="158"/>
      <c r="AE14" s="158"/>
      <c r="AF14" s="158"/>
      <c r="AG14" s="155"/>
      <c r="AH14" s="149"/>
      <c r="AI14" s="149"/>
      <c r="AJ14" s="155"/>
      <c r="AK14" s="155"/>
      <c r="AL14" s="220"/>
      <c r="AM14" s="158"/>
      <c r="AN14" s="158"/>
      <c r="AO14" s="158"/>
      <c r="AP14" s="158"/>
      <c r="AQ14" s="155"/>
      <c r="AR14" s="149"/>
      <c r="AS14" s="149"/>
      <c r="AT14" s="155"/>
      <c r="AU14" s="220"/>
      <c r="AV14" s="277"/>
      <c r="AW14" s="149"/>
      <c r="AX14" s="149"/>
      <c r="AY14" s="158"/>
      <c r="AZ14" s="149"/>
      <c r="BA14" s="158"/>
      <c r="BB14" s="158"/>
      <c r="BC14" s="149"/>
      <c r="BD14" s="149"/>
      <c r="BE14" s="158"/>
      <c r="BF14" s="158"/>
      <c r="BG14" s="149"/>
      <c r="BH14" s="158"/>
      <c r="BI14" s="158"/>
      <c r="BJ14" s="158"/>
      <c r="BK14" s="149"/>
      <c r="BL14" s="158"/>
      <c r="BM14" s="158"/>
      <c r="BN14" s="158"/>
      <c r="BO14" s="149"/>
      <c r="BP14" s="158"/>
      <c r="BQ14" s="158"/>
      <c r="BR14" s="158"/>
      <c r="BS14" s="149"/>
      <c r="BT14" s="158"/>
      <c r="BU14" s="158"/>
      <c r="BV14" s="158"/>
      <c r="BW14" s="149"/>
      <c r="BX14" s="158"/>
      <c r="BY14" s="158"/>
      <c r="BZ14" s="158"/>
      <c r="CA14" s="149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</row>
    <row r="15" spans="1:91" s="129" customFormat="1">
      <c r="A15" s="274"/>
      <c r="B15" s="70"/>
      <c r="C15" s="144"/>
      <c r="D15" s="185"/>
      <c r="E15" s="144"/>
      <c r="F15" s="275"/>
      <c r="G15" s="144"/>
      <c r="H15" s="276"/>
      <c r="I15" s="157"/>
      <c r="J15" s="46"/>
      <c r="K15" s="47"/>
      <c r="L15" s="48"/>
      <c r="M15" s="149"/>
      <c r="N15" s="149"/>
      <c r="O15" s="149"/>
      <c r="P15" s="149"/>
      <c r="Q15" s="149"/>
      <c r="R15" s="149"/>
      <c r="S15" s="158"/>
      <c r="T15" s="158"/>
      <c r="U15" s="158"/>
      <c r="V15" s="158"/>
      <c r="W15" s="155"/>
      <c r="X15" s="149"/>
      <c r="Y15" s="149"/>
      <c r="Z15" s="155"/>
      <c r="AA15" s="155"/>
      <c r="AB15" s="220"/>
      <c r="AC15" s="158"/>
      <c r="AD15" s="158"/>
      <c r="AE15" s="158"/>
      <c r="AF15" s="158"/>
      <c r="AG15" s="155"/>
      <c r="AH15" s="149"/>
      <c r="AI15" s="149"/>
      <c r="AJ15" s="155"/>
      <c r="AK15" s="155"/>
      <c r="AL15" s="220"/>
      <c r="AM15" s="158"/>
      <c r="AN15" s="158"/>
      <c r="AO15" s="158"/>
      <c r="AP15" s="158"/>
      <c r="AQ15" s="155"/>
      <c r="AR15" s="149"/>
      <c r="AS15" s="149"/>
      <c r="AT15" s="155"/>
      <c r="AU15" s="220"/>
      <c r="AV15" s="277"/>
      <c r="AW15" s="149"/>
      <c r="AX15" s="149"/>
      <c r="AY15" s="158"/>
      <c r="AZ15" s="149"/>
      <c r="BA15" s="158"/>
      <c r="BB15" s="158"/>
      <c r="BC15" s="149"/>
      <c r="BD15" s="149"/>
      <c r="BE15" s="158"/>
      <c r="BF15" s="158"/>
      <c r="BG15" s="149"/>
      <c r="BH15" s="158"/>
      <c r="BI15" s="158"/>
      <c r="BJ15" s="158"/>
      <c r="BK15" s="149"/>
      <c r="BL15" s="158"/>
      <c r="BM15" s="158"/>
      <c r="BN15" s="158"/>
      <c r="BO15" s="149"/>
      <c r="BP15" s="158"/>
      <c r="BQ15" s="158"/>
      <c r="BR15" s="158"/>
      <c r="BS15" s="149"/>
      <c r="BT15" s="158"/>
      <c r="BU15" s="158"/>
      <c r="BV15" s="158"/>
      <c r="BW15" s="149"/>
      <c r="BX15" s="158"/>
      <c r="BY15" s="158"/>
      <c r="BZ15" s="158"/>
      <c r="CA15" s="149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</row>
    <row r="16" spans="1:91" s="12" customFormat="1">
      <c r="A16" s="278"/>
      <c r="B16" s="70"/>
      <c r="C16" s="15"/>
      <c r="D16" s="279"/>
      <c r="E16" s="15"/>
      <c r="F16" s="71"/>
      <c r="G16" s="15"/>
      <c r="H16" s="84"/>
      <c r="I16" s="157"/>
      <c r="J16" s="46"/>
      <c r="K16" s="47"/>
      <c r="L16" s="48"/>
      <c r="M16" s="11"/>
      <c r="N16" s="11"/>
      <c r="O16" s="11"/>
      <c r="P16" s="11"/>
      <c r="Q16" s="11"/>
      <c r="R16" s="11"/>
      <c r="S16" s="158"/>
      <c r="T16" s="158"/>
      <c r="U16" s="158"/>
      <c r="V16" s="158"/>
      <c r="W16" s="155"/>
      <c r="X16" s="149"/>
      <c r="Y16" s="149"/>
      <c r="Z16" s="155"/>
      <c r="AA16" s="155"/>
      <c r="AB16" s="220"/>
      <c r="AC16" s="158"/>
      <c r="AD16" s="158"/>
      <c r="AE16" s="158"/>
      <c r="AF16" s="158"/>
      <c r="AG16" s="155"/>
      <c r="AH16" s="149"/>
      <c r="AI16" s="149"/>
      <c r="AJ16" s="155"/>
      <c r="AK16" s="155"/>
      <c r="AL16" s="220"/>
      <c r="AM16" s="158"/>
      <c r="AN16" s="158"/>
      <c r="AO16" s="158"/>
      <c r="AP16" s="158"/>
      <c r="AQ16" s="155"/>
      <c r="AR16" s="149"/>
      <c r="AS16" s="149"/>
      <c r="AT16" s="155"/>
      <c r="AU16" s="220"/>
      <c r="AV16" s="277"/>
      <c r="AW16" s="11"/>
      <c r="AX16" s="280"/>
      <c r="AY16" s="158"/>
      <c r="AZ16" s="280"/>
      <c r="BA16" s="281"/>
      <c r="BB16" s="158"/>
      <c r="BC16" s="158"/>
      <c r="BD16" s="280"/>
      <c r="BE16" s="281"/>
      <c r="BF16" s="158"/>
      <c r="BG16" s="158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</row>
    <row r="17" spans="1:118" s="12" customFormat="1">
      <c r="A17" s="15"/>
      <c r="B17" s="88" t="s">
        <v>45</v>
      </c>
      <c r="C17" s="15"/>
      <c r="D17" s="185"/>
      <c r="E17" s="43"/>
      <c r="F17" s="7"/>
      <c r="G17" s="225"/>
      <c r="H17" s="84"/>
      <c r="I17" s="84"/>
      <c r="J17" s="46"/>
      <c r="K17" s="47"/>
      <c r="L17" s="48"/>
      <c r="M17" s="11"/>
      <c r="N17" s="11"/>
      <c r="O17" s="11"/>
      <c r="P17" s="11"/>
      <c r="Q17" s="11"/>
      <c r="R17" s="11"/>
      <c r="S17" s="149"/>
      <c r="T17" s="155"/>
      <c r="U17" s="155"/>
      <c r="V17" s="155"/>
      <c r="W17" s="155"/>
      <c r="X17" s="220"/>
      <c r="Y17" s="149"/>
      <c r="Z17" s="158"/>
      <c r="AA17" s="158"/>
      <c r="AB17" s="158"/>
      <c r="AC17" s="155"/>
      <c r="AD17" s="149"/>
      <c r="AE17" s="149"/>
      <c r="AF17" s="149"/>
      <c r="AG17" s="149"/>
      <c r="AH17" s="155"/>
      <c r="AI17" s="155"/>
      <c r="AJ17" s="220"/>
      <c r="AK17" s="149"/>
      <c r="AL17" s="149"/>
      <c r="AM17" s="155"/>
      <c r="AN17" s="149"/>
      <c r="AO17" s="149"/>
      <c r="AP17" s="149"/>
      <c r="AQ17" s="149"/>
      <c r="AR17" s="155"/>
      <c r="AS17" s="155"/>
      <c r="AT17" s="220"/>
      <c r="AU17" s="149"/>
      <c r="AV17" s="149"/>
      <c r="AW17" s="158"/>
      <c r="AX17" s="155"/>
      <c r="AY17" s="149"/>
      <c r="AZ17" s="220"/>
      <c r="BA17" s="162"/>
      <c r="BB17" s="11"/>
      <c r="BC17" s="11"/>
      <c r="BD17" s="149"/>
      <c r="BE17" s="11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</row>
    <row r="18" spans="1:118" s="12" customFormat="1">
      <c r="A18" s="15"/>
      <c r="B18" s="90" t="s">
        <v>68</v>
      </c>
      <c r="C18" s="15"/>
      <c r="D18" s="185"/>
      <c r="E18" s="43"/>
      <c r="F18" s="7"/>
      <c r="G18" s="225"/>
      <c r="H18" s="84"/>
      <c r="I18" s="84"/>
      <c r="J18" s="46"/>
      <c r="K18" s="47"/>
      <c r="L18" s="48"/>
      <c r="M18" s="11"/>
      <c r="N18" s="11"/>
      <c r="O18" s="11"/>
      <c r="P18" s="11"/>
      <c r="Q18" s="11"/>
      <c r="R18" s="11"/>
      <c r="S18" s="149"/>
      <c r="T18" s="155"/>
      <c r="U18" s="155"/>
      <c r="V18" s="155"/>
      <c r="W18" s="155"/>
      <c r="X18" s="220"/>
      <c r="Y18" s="149"/>
      <c r="Z18" s="158"/>
      <c r="AA18" s="158"/>
      <c r="AB18" s="158"/>
      <c r="AC18" s="155"/>
      <c r="AD18" s="149"/>
      <c r="AE18" s="149"/>
      <c r="AF18" s="149"/>
      <c r="AG18" s="149"/>
      <c r="AH18" s="155"/>
      <c r="AI18" s="155"/>
      <c r="AJ18" s="220"/>
      <c r="AK18" s="149"/>
      <c r="AL18" s="149"/>
      <c r="AM18" s="155"/>
      <c r="AN18" s="149"/>
      <c r="AO18" s="149"/>
      <c r="AP18" s="149"/>
      <c r="AQ18" s="149"/>
      <c r="AR18" s="155"/>
      <c r="AS18" s="155"/>
      <c r="AT18" s="220"/>
      <c r="AU18" s="149"/>
      <c r="AV18" s="149"/>
      <c r="AW18" s="158"/>
      <c r="AX18" s="155"/>
      <c r="AY18" s="149"/>
      <c r="AZ18" s="220"/>
      <c r="BA18" s="162"/>
      <c r="BB18" s="11"/>
      <c r="BC18" s="11"/>
      <c r="BD18" s="149"/>
      <c r="BE18" s="11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</row>
    <row r="19" spans="1:118" s="12" customFormat="1">
      <c r="A19" s="15"/>
      <c r="B19" s="176" t="s">
        <v>153</v>
      </c>
      <c r="C19" s="101"/>
      <c r="D19" s="101"/>
      <c r="E19" s="43"/>
      <c r="F19" s="43"/>
      <c r="G19" s="225"/>
      <c r="H19" s="84"/>
      <c r="I19" s="84"/>
      <c r="J19" s="46"/>
      <c r="K19" s="47"/>
      <c r="L19" s="48"/>
      <c r="M19" s="11"/>
      <c r="N19" s="11"/>
      <c r="O19" s="11"/>
      <c r="P19" s="11"/>
      <c r="Q19" s="11"/>
      <c r="R19" s="11"/>
      <c r="S19" s="149"/>
      <c r="T19" s="155"/>
      <c r="U19" s="155"/>
      <c r="V19" s="155"/>
      <c r="W19" s="155"/>
      <c r="X19" s="220"/>
      <c r="Y19" s="149"/>
      <c r="Z19" s="158"/>
      <c r="AA19" s="158"/>
      <c r="AB19" s="158"/>
      <c r="AC19" s="155"/>
      <c r="AD19" s="149"/>
      <c r="AE19" s="149"/>
      <c r="AF19" s="149"/>
      <c r="AG19" s="149"/>
      <c r="AH19" s="155"/>
      <c r="AI19" s="155"/>
      <c r="AJ19" s="220"/>
      <c r="AK19" s="149"/>
      <c r="AL19" s="149"/>
      <c r="AM19" s="155"/>
      <c r="AN19" s="149"/>
      <c r="AO19" s="149"/>
      <c r="AP19" s="149"/>
      <c r="AQ19" s="149"/>
      <c r="AR19" s="155"/>
      <c r="AS19" s="155"/>
      <c r="AT19" s="220"/>
      <c r="AU19" s="149"/>
      <c r="AV19" s="149"/>
      <c r="AW19" s="158"/>
      <c r="AX19" s="155"/>
      <c r="AY19" s="149"/>
      <c r="AZ19" s="220"/>
      <c r="BA19" s="162"/>
      <c r="BB19" s="11"/>
      <c r="BC19" s="11"/>
      <c r="BD19" s="149"/>
      <c r="BE19" s="11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</row>
    <row r="20" spans="1:118" s="12" customFormat="1">
      <c r="A20" s="15"/>
      <c r="B20" s="175" t="s">
        <v>124</v>
      </c>
      <c r="C20" s="102"/>
      <c r="D20" s="102"/>
      <c r="E20" s="102"/>
      <c r="F20" s="102"/>
      <c r="G20" s="102"/>
      <c r="H20" s="261"/>
      <c r="I20" s="183"/>
      <c r="J20" s="46"/>
      <c r="K20" s="47"/>
      <c r="L20" s="48"/>
      <c r="M20" s="11"/>
      <c r="N20" s="11"/>
      <c r="O20" s="11"/>
      <c r="P20" s="11"/>
      <c r="Q20" s="11"/>
      <c r="R20" s="11"/>
      <c r="S20" s="149"/>
      <c r="T20" s="155"/>
      <c r="U20" s="155"/>
      <c r="V20" s="155"/>
      <c r="W20" s="155"/>
      <c r="X20" s="220"/>
      <c r="Y20" s="149"/>
      <c r="Z20" s="158"/>
      <c r="AA20" s="158"/>
      <c r="AB20" s="158"/>
      <c r="AC20" s="155"/>
      <c r="AD20" s="149"/>
      <c r="AE20" s="149"/>
      <c r="AF20" s="149"/>
      <c r="AG20" s="149"/>
      <c r="AH20" s="155"/>
      <c r="AI20" s="155"/>
      <c r="AJ20" s="220"/>
      <c r="AK20" s="149"/>
      <c r="AL20" s="149"/>
      <c r="AM20" s="155"/>
      <c r="AN20" s="149"/>
      <c r="AO20" s="149"/>
      <c r="AP20" s="149"/>
      <c r="AQ20" s="149"/>
      <c r="AR20" s="155"/>
      <c r="AS20" s="155"/>
      <c r="AT20" s="220"/>
      <c r="AU20" s="149"/>
      <c r="AV20" s="149"/>
      <c r="AW20" s="158"/>
      <c r="AX20" s="155"/>
      <c r="AY20" s="149"/>
      <c r="AZ20" s="220"/>
      <c r="BA20" s="162"/>
      <c r="BB20" s="11"/>
      <c r="BC20" s="11"/>
      <c r="BD20" s="149"/>
      <c r="BE20" s="11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</row>
    <row r="21" spans="1:118" s="12" customFormat="1">
      <c r="A21" s="15"/>
      <c r="B21" s="87" t="s">
        <v>154</v>
      </c>
      <c r="C21" s="15"/>
      <c r="D21" s="185"/>
      <c r="E21" s="43"/>
      <c r="F21" s="7"/>
      <c r="G21" s="225"/>
      <c r="H21" s="84"/>
      <c r="I21" s="84"/>
      <c r="J21" s="46"/>
      <c r="K21" s="47"/>
      <c r="L21" s="48"/>
      <c r="M21" s="11"/>
      <c r="N21" s="11"/>
      <c r="O21" s="11"/>
      <c r="P21" s="11"/>
      <c r="Q21" s="11"/>
      <c r="R21" s="11"/>
      <c r="S21" s="149"/>
      <c r="T21" s="155"/>
      <c r="U21" s="155"/>
      <c r="V21" s="155"/>
      <c r="W21" s="155"/>
      <c r="X21" s="220"/>
      <c r="Y21" s="149"/>
      <c r="Z21" s="158"/>
      <c r="AA21" s="158"/>
      <c r="AB21" s="158"/>
      <c r="AC21" s="155"/>
      <c r="AD21" s="149"/>
      <c r="AE21" s="149"/>
      <c r="AF21" s="149"/>
      <c r="AG21" s="149"/>
      <c r="AH21" s="155"/>
      <c r="AI21" s="155"/>
      <c r="AJ21" s="220"/>
      <c r="AK21" s="149"/>
      <c r="AL21" s="149"/>
      <c r="AM21" s="155"/>
      <c r="AN21" s="149"/>
      <c r="AO21" s="149"/>
      <c r="AP21" s="149"/>
      <c r="AQ21" s="149"/>
      <c r="AR21" s="155"/>
      <c r="AS21" s="155"/>
      <c r="AT21" s="220"/>
      <c r="AU21" s="149"/>
      <c r="AV21" s="149"/>
      <c r="AW21" s="158"/>
      <c r="AX21" s="155"/>
      <c r="AY21" s="149"/>
      <c r="AZ21" s="220"/>
      <c r="BA21" s="162"/>
      <c r="BB21" s="11"/>
      <c r="BC21" s="11"/>
      <c r="BD21" s="149"/>
      <c r="BE21" s="11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</row>
    <row r="22" spans="1:118">
      <c r="B22" s="87" t="s">
        <v>152</v>
      </c>
      <c r="C22" s="43"/>
      <c r="D22" s="43"/>
      <c r="E22" s="43"/>
      <c r="F22" s="4"/>
      <c r="H22" s="27"/>
      <c r="M22" s="86"/>
      <c r="N22" s="86"/>
      <c r="O22" s="86"/>
      <c r="P22" s="8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51"/>
      <c r="BD22" s="51"/>
      <c r="BE22" s="51"/>
      <c r="BF22" s="51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</row>
    <row r="23" spans="1:118" ht="13.5" thickBot="1">
      <c r="BD23" s="149"/>
      <c r="BE23" s="149"/>
      <c r="BF23" s="149"/>
      <c r="BG23" s="149"/>
    </row>
    <row r="24" spans="1:118">
      <c r="B24" s="93" t="s">
        <v>31</v>
      </c>
      <c r="C24" s="94">
        <v>2004</v>
      </c>
      <c r="D24" s="43"/>
      <c r="E24" s="43"/>
      <c r="AX24" s="64" t="s">
        <v>107</v>
      </c>
      <c r="BD24" s="149"/>
      <c r="BE24" s="149"/>
      <c r="BF24" s="149"/>
      <c r="BG24" s="149"/>
    </row>
    <row r="25" spans="1:118">
      <c r="B25" s="95" t="s">
        <v>32</v>
      </c>
      <c r="C25" s="96">
        <v>2003</v>
      </c>
      <c r="D25" s="43"/>
      <c r="E25" s="43"/>
      <c r="AX25" s="77" t="s">
        <v>46</v>
      </c>
      <c r="BD25" s="149"/>
      <c r="BE25" s="149"/>
      <c r="BF25" s="149"/>
      <c r="BG25" s="149"/>
    </row>
    <row r="26" spans="1:118">
      <c r="B26" s="95" t="s">
        <v>33</v>
      </c>
      <c r="C26" s="96">
        <v>2002</v>
      </c>
      <c r="D26" s="43"/>
      <c r="E26" s="43"/>
      <c r="AX26" s="97" t="s">
        <v>47</v>
      </c>
      <c r="BD26" s="149"/>
      <c r="BE26" s="149"/>
      <c r="BF26" s="149"/>
      <c r="BG26" s="149"/>
    </row>
    <row r="27" spans="1:118">
      <c r="B27" s="95" t="s">
        <v>34</v>
      </c>
      <c r="C27" s="96">
        <v>2001</v>
      </c>
      <c r="D27" s="43"/>
      <c r="E27" s="43"/>
      <c r="BD27" s="149"/>
      <c r="BE27" s="149"/>
      <c r="BF27" s="149"/>
      <c r="BG27" s="149"/>
    </row>
    <row r="28" spans="1:118">
      <c r="B28" s="95" t="s">
        <v>35</v>
      </c>
      <c r="C28" s="96">
        <v>2000</v>
      </c>
      <c r="D28" s="43"/>
      <c r="E28" s="43"/>
      <c r="BD28" s="149"/>
      <c r="BE28" s="149"/>
      <c r="BF28" s="149"/>
      <c r="BG28" s="149"/>
    </row>
    <row r="29" spans="1:118" ht="13.5" thickBot="1">
      <c r="B29" s="98" t="s">
        <v>64</v>
      </c>
      <c r="C29" s="99">
        <v>1999</v>
      </c>
      <c r="D29" s="43"/>
      <c r="E29" s="43"/>
      <c r="BD29" s="149"/>
      <c r="BE29" s="149"/>
      <c r="BF29" s="149"/>
      <c r="BG29" s="149"/>
    </row>
  </sheetData>
  <sortState ref="A7:FB9">
    <sortCondition descending="1" ref="I7:I9"/>
    <sortCondition descending="1" ref="K7:K9"/>
    <sortCondition descending="1" ref="H7:H9"/>
  </sortState>
  <mergeCells count="33">
    <mergeCell ref="M2:Q2"/>
    <mergeCell ref="S2:AB2"/>
    <mergeCell ref="AC2:AL2"/>
    <mergeCell ref="AM2:AU2"/>
    <mergeCell ref="BD3:BG3"/>
    <mergeCell ref="AZ3:BC3"/>
    <mergeCell ref="AZ2:BC2"/>
    <mergeCell ref="BD2:BG2"/>
    <mergeCell ref="AX3:AY3"/>
    <mergeCell ref="BX1:CA1"/>
    <mergeCell ref="M1:Q1"/>
    <mergeCell ref="S1:AB1"/>
    <mergeCell ref="AC1:AL1"/>
    <mergeCell ref="AM1:AU1"/>
    <mergeCell ref="AZ1:BC1"/>
    <mergeCell ref="BD1:BG1"/>
    <mergeCell ref="AX1:AY1"/>
    <mergeCell ref="CF2:CI2"/>
    <mergeCell ref="CB1:CE1"/>
    <mergeCell ref="CF1:CI1"/>
    <mergeCell ref="CJ1:CM1"/>
    <mergeCell ref="AX2:AY2"/>
    <mergeCell ref="CJ2:CM2"/>
    <mergeCell ref="BH2:BK2"/>
    <mergeCell ref="BL2:BO2"/>
    <mergeCell ref="BP2:BS2"/>
    <mergeCell ref="BT2:BW2"/>
    <mergeCell ref="BX2:CA2"/>
    <mergeCell ref="CB2:CE2"/>
    <mergeCell ref="BH1:BK1"/>
    <mergeCell ref="BL1:BO1"/>
    <mergeCell ref="BP1:BS1"/>
    <mergeCell ref="BT1:BW1"/>
  </mergeCells>
  <phoneticPr fontId="0" type="noConversion"/>
  <pageMargins left="0.59055118110236227" right="0.59055118110236227" top="0.78740157480314965" bottom="0.78740157480314965" header="0.51181102362204722" footer="0.51181102362204722"/>
  <pageSetup scale="38" orientation="landscape" r:id="rId1"/>
  <headerFooter alignWithMargins="0">
    <oddHeader>&amp;F</oddHeader>
  </headerFooter>
  <colBreaks count="1" manualBreakCount="1">
    <brk id="2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TRA-M</vt:lpstr>
      <vt:lpstr>TRA-W</vt:lpstr>
      <vt:lpstr>TUM-M</vt:lpstr>
      <vt:lpstr>TUM-W</vt:lpstr>
      <vt:lpstr>DMT-M</vt:lpstr>
      <vt:lpstr>DMT-W</vt:lpstr>
      <vt:lpstr>'DMT-M'!Print_Area</vt:lpstr>
      <vt:lpstr>'DMT-W'!Print_Area</vt:lpstr>
      <vt:lpstr>'TRA-M'!Print_Area</vt:lpstr>
      <vt:lpstr>'TRA-W'!Print_Area</vt:lpstr>
      <vt:lpstr>'TUM-M'!Print_Area</vt:lpstr>
      <vt:lpstr>'TUM-W'!Print_Area</vt:lpstr>
    </vt:vector>
  </TitlesOfParts>
  <Company>Technologies Azur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w-rd-010</dc:creator>
  <cp:lastModifiedBy>Stephan Duchesne</cp:lastModifiedBy>
  <cp:lastPrinted>2007-06-04T14:03:48Z</cp:lastPrinted>
  <dcterms:created xsi:type="dcterms:W3CDTF">2004-04-14T14:55:58Z</dcterms:created>
  <dcterms:modified xsi:type="dcterms:W3CDTF">2017-05-23T16:25:30Z</dcterms:modified>
</cp:coreProperties>
</file>