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stirling/Desktop/"/>
    </mc:Choice>
  </mc:AlternateContent>
  <xr:revisionPtr revIDLastSave="0" documentId="13_ncr:1_{3D80BC96-A3F8-C84E-8FF3-E804B4849CD0}" xr6:coauthVersionLast="33" xr6:coauthVersionMax="33" xr10:uidLastSave="{00000000-0000-0000-0000-000000000000}"/>
  <bookViews>
    <workbookView xWindow="0" yWindow="0" windowWidth="33600" windowHeight="21000" xr2:uid="{00000000-000D-0000-FFFF-FFFF00000000}"/>
  </bookViews>
  <sheets>
    <sheet name="TRA-M" sheetId="1" r:id="rId1"/>
    <sheet name="TRA-W" sheetId="4" r:id="rId2"/>
    <sheet name="SYN-M" sheetId="7" r:id="rId3"/>
    <sheet name="SYN-W" sheetId="8" r:id="rId4"/>
    <sheet name="TUM-M" sheetId="3" r:id="rId5"/>
    <sheet name="TUM-W" sheetId="5" r:id="rId6"/>
    <sheet name="DMT-M" sheetId="2" r:id="rId7"/>
    <sheet name="DMT-W" sheetId="6" r:id="rId8"/>
  </sheets>
  <definedNames>
    <definedName name="_xlnm.Print_Area" localSheetId="6">'DMT-M'!$A$1:$AZ$30</definedName>
    <definedName name="_xlnm.Print_Area" localSheetId="7">'DMT-W'!$A$1:$AZ$30</definedName>
    <definedName name="_xlnm.Print_Area" localSheetId="2">'SYN-M'!$A$1:$AO$30</definedName>
    <definedName name="_xlnm.Print_Area" localSheetId="3">'SYN-W'!$A$1:$AS$27</definedName>
    <definedName name="_xlnm.Print_Area" localSheetId="0">'TRA-M'!$A$1:$BY$30</definedName>
    <definedName name="_xlnm.Print_Area" localSheetId="1">'TRA-W'!$A$1:$CT$30</definedName>
    <definedName name="_xlnm.Print_Area" localSheetId="4">'TUM-M'!$A$1:$AZ$30</definedName>
    <definedName name="_xlnm.Print_Area" localSheetId="5">'TUM-W'!$A$1:$AV$30</definedName>
  </definedNames>
  <calcPr calcId="179017"/>
</workbook>
</file>

<file path=xl/calcChain.xml><?xml version="1.0" encoding="utf-8"?>
<calcChain xmlns="http://schemas.openxmlformats.org/spreadsheetml/2006/main">
  <c r="AC11" i="5" l="1"/>
  <c r="AC9" i="5"/>
  <c r="AC8" i="5"/>
  <c r="AC10" i="5"/>
  <c r="AC7" i="5"/>
  <c r="AI18" i="4"/>
  <c r="N18" i="4" s="1"/>
  <c r="AI15" i="4"/>
  <c r="AI17" i="4"/>
  <c r="N17" i="4" s="1"/>
  <c r="AI14" i="4"/>
  <c r="AI16" i="4"/>
  <c r="AI12" i="4"/>
  <c r="AI10" i="4"/>
  <c r="AI9" i="4"/>
  <c r="AI8" i="4"/>
  <c r="AI7" i="4"/>
  <c r="AF20" i="1"/>
  <c r="AF19" i="1"/>
  <c r="AD19" i="1"/>
  <c r="AF16" i="1"/>
  <c r="AD16" i="1"/>
  <c r="AF17" i="1"/>
  <c r="AD17" i="1"/>
  <c r="AF18" i="1"/>
  <c r="AI18" i="1"/>
  <c r="N18" i="1" s="1"/>
  <c r="AI14" i="1"/>
  <c r="AI15" i="1"/>
  <c r="AI13" i="1"/>
  <c r="AI12" i="1"/>
  <c r="AI11" i="1"/>
  <c r="AI10" i="1"/>
  <c r="AI8" i="1"/>
  <c r="AI9" i="1"/>
  <c r="AI7" i="1"/>
  <c r="AB10" i="3"/>
  <c r="AC13" i="3"/>
  <c r="AC12" i="3"/>
  <c r="AC8" i="3"/>
  <c r="AC7" i="3"/>
  <c r="AD18" i="1"/>
  <c r="AF14" i="1"/>
  <c r="AH14" i="1" s="1"/>
  <c r="AD14" i="1"/>
  <c r="AF13" i="1"/>
  <c r="AD13" i="1"/>
  <c r="AF15" i="1"/>
  <c r="AD15" i="1"/>
  <c r="AF12" i="1"/>
  <c r="AD12" i="1"/>
  <c r="AF11" i="1"/>
  <c r="AH11" i="1" s="1"/>
  <c r="K11" i="1" s="1"/>
  <c r="AD11" i="1"/>
  <c r="AF10" i="1"/>
  <c r="AF9" i="1"/>
  <c r="AD9" i="1"/>
  <c r="AD10" i="1"/>
  <c r="AF8" i="1"/>
  <c r="AD8" i="1"/>
  <c r="AF7" i="1"/>
  <c r="AH7" i="1" s="1"/>
  <c r="K7" i="1" s="1"/>
  <c r="L7" i="1" s="1"/>
  <c r="AD7" i="1"/>
  <c r="AF9" i="4"/>
  <c r="AF15" i="4"/>
  <c r="AD15" i="4"/>
  <c r="AF19" i="4"/>
  <c r="AD19" i="4"/>
  <c r="AF18" i="4"/>
  <c r="AD18" i="4"/>
  <c r="AH18" i="4" s="1"/>
  <c r="K18" i="4" s="1"/>
  <c r="M18" i="4" s="1"/>
  <c r="EO18" i="4"/>
  <c r="EH18" i="4"/>
  <c r="EA18" i="4"/>
  <c r="DT18" i="4"/>
  <c r="DM18" i="4"/>
  <c r="DF18" i="4"/>
  <c r="CY18" i="4"/>
  <c r="CR18" i="4"/>
  <c r="CK18" i="4"/>
  <c r="CD18" i="4"/>
  <c r="BW18" i="4"/>
  <c r="BP18" i="4"/>
  <c r="BI18" i="4"/>
  <c r="BB18" i="4"/>
  <c r="AU18" i="4"/>
  <c r="AP18" i="4"/>
  <c r="AM18" i="4" s="1"/>
  <c r="O18" i="4" s="1"/>
  <c r="AO18" i="4"/>
  <c r="AL18" i="4"/>
  <c r="AN18" i="4"/>
  <c r="AK18" i="4"/>
  <c r="AA18" i="4"/>
  <c r="T18" i="4"/>
  <c r="AF17" i="4"/>
  <c r="AD17" i="4"/>
  <c r="AF14" i="4"/>
  <c r="AD14" i="4"/>
  <c r="AF16" i="4"/>
  <c r="AD16" i="4"/>
  <c r="AF12" i="4"/>
  <c r="AH12" i="4" s="1"/>
  <c r="AD12" i="4"/>
  <c r="AF10" i="4"/>
  <c r="AD10" i="4"/>
  <c r="AD9" i="4"/>
  <c r="AF8" i="4"/>
  <c r="AD8" i="4"/>
  <c r="AF7" i="4"/>
  <c r="AD7" i="4"/>
  <c r="AH7" i="4" s="1"/>
  <c r="AB14" i="6"/>
  <c r="Y14" i="6"/>
  <c r="AB13" i="6"/>
  <c r="Y13" i="6"/>
  <c r="AB12" i="6"/>
  <c r="Y12" i="6"/>
  <c r="AB10" i="6"/>
  <c r="Y10" i="6"/>
  <c r="AB11" i="6"/>
  <c r="Y11" i="6"/>
  <c r="AB9" i="6"/>
  <c r="Y9" i="6"/>
  <c r="AB8" i="6"/>
  <c r="Y8" i="6"/>
  <c r="AB7" i="6"/>
  <c r="Y7" i="6"/>
  <c r="AC7" i="6" s="1"/>
  <c r="T14" i="6"/>
  <c r="Q14" i="6"/>
  <c r="T13" i="6"/>
  <c r="Q13" i="6"/>
  <c r="T12" i="6"/>
  <c r="Q12" i="6"/>
  <c r="T10" i="6"/>
  <c r="Q10" i="6"/>
  <c r="T11" i="6"/>
  <c r="Q11" i="6"/>
  <c r="T9" i="6"/>
  <c r="Q9" i="6"/>
  <c r="T8" i="6"/>
  <c r="Q8" i="6"/>
  <c r="T7" i="6"/>
  <c r="Q7" i="6"/>
  <c r="AN17" i="2"/>
  <c r="AM17" i="2"/>
  <c r="N17" i="2"/>
  <c r="AJ17" i="2"/>
  <c r="AG17" i="2"/>
  <c r="AK17" i="2" s="1"/>
  <c r="AB17" i="2"/>
  <c r="Y17" i="2"/>
  <c r="T17" i="2"/>
  <c r="Q17" i="2"/>
  <c r="AN18" i="2"/>
  <c r="AM18" i="2"/>
  <c r="N18" i="2" s="1"/>
  <c r="AJ18" i="2"/>
  <c r="AG18" i="2"/>
  <c r="AB18" i="2"/>
  <c r="Y18" i="2"/>
  <c r="T18" i="2"/>
  <c r="Q18" i="2"/>
  <c r="AB19" i="2"/>
  <c r="Y19" i="2"/>
  <c r="AB12" i="2"/>
  <c r="Y12" i="2"/>
  <c r="AB15" i="2"/>
  <c r="Y15" i="2"/>
  <c r="AB14" i="2"/>
  <c r="Y14" i="2"/>
  <c r="AB13" i="2"/>
  <c r="AC13" i="2" s="1"/>
  <c r="Y13" i="2"/>
  <c r="AB16" i="2"/>
  <c r="Y16" i="2"/>
  <c r="AB11" i="2"/>
  <c r="Y11" i="2"/>
  <c r="AB10" i="2"/>
  <c r="Y10" i="2"/>
  <c r="AB8" i="2"/>
  <c r="Y8" i="2"/>
  <c r="AB7" i="2"/>
  <c r="Y7" i="2"/>
  <c r="AB9" i="2"/>
  <c r="Y9" i="2"/>
  <c r="T19" i="2"/>
  <c r="Q19" i="2"/>
  <c r="T12" i="2"/>
  <c r="Q12" i="2"/>
  <c r="T15" i="2"/>
  <c r="Q15" i="2"/>
  <c r="T14" i="2"/>
  <c r="Q14" i="2"/>
  <c r="T13" i="2"/>
  <c r="Q13" i="2"/>
  <c r="T16" i="2"/>
  <c r="U16" i="2" s="1"/>
  <c r="Q16" i="2"/>
  <c r="T11" i="2"/>
  <c r="Q11" i="2"/>
  <c r="T10" i="2"/>
  <c r="Q10" i="2"/>
  <c r="T8" i="2"/>
  <c r="Q8" i="2"/>
  <c r="T7" i="2"/>
  <c r="Q7" i="2"/>
  <c r="T9" i="2"/>
  <c r="Q9" i="2"/>
  <c r="BW10" i="5"/>
  <c r="BS10" i="5"/>
  <c r="BO10" i="5"/>
  <c r="BK10" i="5"/>
  <c r="BG10" i="5"/>
  <c r="BC10" i="5"/>
  <c r="AY10" i="5"/>
  <c r="AU10" i="5"/>
  <c r="AQ10" i="5"/>
  <c r="AM10" i="5"/>
  <c r="AJ10" i="5"/>
  <c r="AG10" i="5"/>
  <c r="AI10" i="5"/>
  <c r="AF10" i="5" s="1"/>
  <c r="AH10" i="5"/>
  <c r="AE10" i="5"/>
  <c r="AB10" i="5"/>
  <c r="W10" i="5"/>
  <c r="R10" i="5"/>
  <c r="H10" i="5" s="1"/>
  <c r="N10" i="5"/>
  <c r="BK13" i="3"/>
  <c r="BG13" i="3"/>
  <c r="BC13" i="3"/>
  <c r="AY13" i="3"/>
  <c r="AU13" i="3"/>
  <c r="AQ13" i="3"/>
  <c r="AM13" i="3"/>
  <c r="AJ13" i="3"/>
  <c r="AG13" i="3"/>
  <c r="AI13" i="3"/>
  <c r="AF13" i="3" s="1"/>
  <c r="O13" i="3" s="1"/>
  <c r="AH13" i="3"/>
  <c r="AE13" i="3"/>
  <c r="AB13" i="3"/>
  <c r="W13" i="3"/>
  <c r="K13" i="3" s="1"/>
  <c r="R13" i="3"/>
  <c r="N13" i="3"/>
  <c r="AU7" i="5"/>
  <c r="AU8" i="5"/>
  <c r="AV7" i="5"/>
  <c r="AV8" i="5"/>
  <c r="AQ13" i="5"/>
  <c r="AQ11" i="5"/>
  <c r="AQ12" i="5"/>
  <c r="AQ9" i="5"/>
  <c r="AQ8" i="5"/>
  <c r="AR7" i="5"/>
  <c r="AQ7" i="5"/>
  <c r="AM13" i="5"/>
  <c r="AM11" i="5"/>
  <c r="AM12" i="5"/>
  <c r="AM9" i="5"/>
  <c r="AN8" i="5"/>
  <c r="AM8" i="5"/>
  <c r="AM7" i="5"/>
  <c r="W13" i="5"/>
  <c r="W11" i="5"/>
  <c r="W12" i="5"/>
  <c r="W9" i="5"/>
  <c r="X8" i="5"/>
  <c r="W8" i="5"/>
  <c r="W7" i="5"/>
  <c r="R13" i="5"/>
  <c r="R11" i="5"/>
  <c r="R12" i="5"/>
  <c r="S9" i="5"/>
  <c r="R9" i="5"/>
  <c r="R8" i="5"/>
  <c r="R7" i="5"/>
  <c r="AZ7" i="3"/>
  <c r="AJ7" i="3" s="1"/>
  <c r="AU12" i="3"/>
  <c r="AU10" i="3"/>
  <c r="AU8" i="3"/>
  <c r="AU11" i="3"/>
  <c r="AU9" i="3"/>
  <c r="AU7" i="3"/>
  <c r="AQ12" i="3"/>
  <c r="AQ10" i="3"/>
  <c r="AQ8" i="3"/>
  <c r="AQ11" i="3"/>
  <c r="AQ9" i="3"/>
  <c r="AQ7" i="3"/>
  <c r="AM12" i="3"/>
  <c r="AM10" i="3"/>
  <c r="AM8" i="3"/>
  <c r="AM11" i="3"/>
  <c r="AM9" i="3"/>
  <c r="AN7" i="3"/>
  <c r="AM7" i="3"/>
  <c r="W12" i="3"/>
  <c r="W10" i="3"/>
  <c r="K10" i="3" s="1"/>
  <c r="W8" i="3"/>
  <c r="W11" i="3"/>
  <c r="W9" i="3"/>
  <c r="I9" i="3" s="1"/>
  <c r="X7" i="3"/>
  <c r="W7" i="3"/>
  <c r="R12" i="3"/>
  <c r="R10" i="3"/>
  <c r="S8" i="3"/>
  <c r="R8" i="3"/>
  <c r="R11" i="3"/>
  <c r="S9" i="3"/>
  <c r="N9" i="3" s="1"/>
  <c r="R9" i="3"/>
  <c r="R7" i="3"/>
  <c r="BX10" i="8"/>
  <c r="BT10" i="8"/>
  <c r="BP10" i="8"/>
  <c r="BL10" i="8"/>
  <c r="BH10" i="8"/>
  <c r="BD10" i="8"/>
  <c r="AZ10" i="8"/>
  <c r="AV10" i="8"/>
  <c r="AR10" i="8"/>
  <c r="AN10" i="8"/>
  <c r="AJ10" i="8"/>
  <c r="AG10" i="8"/>
  <c r="AD10" i="8"/>
  <c r="AF10" i="8"/>
  <c r="AC10" i="8" s="1"/>
  <c r="AE10" i="8"/>
  <c r="Z10" i="8"/>
  <c r="V10" i="8"/>
  <c r="R10" i="8"/>
  <c r="N10" i="8"/>
  <c r="AN8" i="8"/>
  <c r="AN7" i="8"/>
  <c r="AN9" i="8"/>
  <c r="AJ8" i="8"/>
  <c r="AJ7" i="8"/>
  <c r="AJ9" i="8"/>
  <c r="V8" i="8"/>
  <c r="V7" i="8"/>
  <c r="V9" i="8"/>
  <c r="R8" i="8"/>
  <c r="R7" i="8"/>
  <c r="R9" i="8"/>
  <c r="AN10" i="7"/>
  <c r="AN9" i="7"/>
  <c r="AN8" i="7"/>
  <c r="AN7" i="7"/>
  <c r="AJ10" i="7"/>
  <c r="AJ9" i="7"/>
  <c r="AJ8" i="7"/>
  <c r="AJ7" i="7"/>
  <c r="BX10" i="7"/>
  <c r="BT10" i="7"/>
  <c r="BP10" i="7"/>
  <c r="BL10" i="7"/>
  <c r="BH10" i="7"/>
  <c r="BD10" i="7"/>
  <c r="AZ10" i="7"/>
  <c r="AV10" i="7"/>
  <c r="AR10" i="7"/>
  <c r="AG10" i="7"/>
  <c r="AD10" i="7"/>
  <c r="AF10" i="7"/>
  <c r="AC10" i="7" s="1"/>
  <c r="AE10" i="7"/>
  <c r="AB10" i="7"/>
  <c r="O10" i="7" s="1"/>
  <c r="E10" i="7" s="1"/>
  <c r="Z10" i="7"/>
  <c r="V10" i="7"/>
  <c r="R10" i="7"/>
  <c r="N10" i="7"/>
  <c r="V8" i="7"/>
  <c r="V9" i="7"/>
  <c r="V7" i="7"/>
  <c r="R8" i="7"/>
  <c r="R9" i="7"/>
  <c r="R7" i="7"/>
  <c r="BW15" i="1"/>
  <c r="BW17" i="1"/>
  <c r="BW19" i="1"/>
  <c r="BW20" i="1"/>
  <c r="BW18" i="1"/>
  <c r="BW16" i="1"/>
  <c r="BW12" i="1"/>
  <c r="BW11" i="1"/>
  <c r="BW13" i="1"/>
  <c r="BW14" i="1"/>
  <c r="BW10" i="1"/>
  <c r="BW9" i="1"/>
  <c r="BW8" i="1"/>
  <c r="BU7" i="1"/>
  <c r="BS7" i="1"/>
  <c r="BP15" i="1"/>
  <c r="BP17" i="1"/>
  <c r="BP19" i="1"/>
  <c r="BP20" i="1"/>
  <c r="BP18" i="1"/>
  <c r="BP16" i="1"/>
  <c r="BP12" i="1"/>
  <c r="BP11" i="1"/>
  <c r="BP13" i="1"/>
  <c r="BP14" i="1"/>
  <c r="BP10" i="1"/>
  <c r="BP9" i="1"/>
  <c r="BP8" i="1"/>
  <c r="BN7" i="1"/>
  <c r="BP7" i="1"/>
  <c r="BI15" i="1"/>
  <c r="BI17" i="1"/>
  <c r="BI19" i="1"/>
  <c r="BI20" i="1"/>
  <c r="BI18" i="1"/>
  <c r="BI16" i="1"/>
  <c r="BI12" i="1"/>
  <c r="BI11" i="1"/>
  <c r="BI13" i="1"/>
  <c r="BI14" i="1"/>
  <c r="BG10" i="1"/>
  <c r="BE10" i="1"/>
  <c r="BG9" i="1"/>
  <c r="BE9" i="1"/>
  <c r="BG8" i="1"/>
  <c r="BE8" i="1"/>
  <c r="BI8" i="1"/>
  <c r="BG7" i="1"/>
  <c r="BE7" i="1"/>
  <c r="BB15" i="1"/>
  <c r="BB17" i="1"/>
  <c r="BB19" i="1"/>
  <c r="BB20" i="1"/>
  <c r="BB18" i="1"/>
  <c r="BB16" i="1"/>
  <c r="BB12" i="1"/>
  <c r="BB11" i="1"/>
  <c r="BB13" i="1"/>
  <c r="BB14" i="1"/>
  <c r="AZ10" i="1"/>
  <c r="AX10" i="1"/>
  <c r="BB9" i="1"/>
  <c r="BB8" i="1"/>
  <c r="AZ7" i="1"/>
  <c r="AX7" i="1"/>
  <c r="BB7" i="1" s="1"/>
  <c r="AU15" i="1"/>
  <c r="AU17" i="1"/>
  <c r="AU19" i="1"/>
  <c r="AU20" i="1"/>
  <c r="AU18" i="1"/>
  <c r="AU16" i="1"/>
  <c r="AU12" i="1"/>
  <c r="AU11" i="1"/>
  <c r="AU13" i="1"/>
  <c r="AU14" i="1"/>
  <c r="AU10" i="1"/>
  <c r="AU9" i="1"/>
  <c r="AV8" i="1"/>
  <c r="AS8" i="1"/>
  <c r="AQ8" i="1"/>
  <c r="AV7" i="1"/>
  <c r="AP7" i="1" s="1"/>
  <c r="AS7" i="1"/>
  <c r="AQ7" i="1"/>
  <c r="AU7" i="1" s="1"/>
  <c r="Y15" i="1"/>
  <c r="AA15" i="1" s="1"/>
  <c r="W15" i="1"/>
  <c r="Y17" i="1"/>
  <c r="W17" i="1"/>
  <c r="AA17" i="1"/>
  <c r="AA19" i="1"/>
  <c r="G19" i="1" s="1"/>
  <c r="AA20" i="1"/>
  <c r="AA18" i="1"/>
  <c r="AB16" i="1"/>
  <c r="N16" i="1" s="1"/>
  <c r="Y16" i="1"/>
  <c r="W16" i="1"/>
  <c r="AA16" i="1"/>
  <c r="AB12" i="1"/>
  <c r="Y12" i="1"/>
  <c r="AA12" i="1" s="1"/>
  <c r="J12" i="1" s="1"/>
  <c r="W12" i="1"/>
  <c r="AB11" i="1"/>
  <c r="Y11" i="1"/>
  <c r="AA11" i="1" s="1"/>
  <c r="W11" i="1"/>
  <c r="AB13" i="1"/>
  <c r="Y13" i="1"/>
  <c r="W13" i="1"/>
  <c r="AA13" i="1" s="1"/>
  <c r="H13" i="1" s="1"/>
  <c r="AB14" i="1"/>
  <c r="Y14" i="1"/>
  <c r="W14" i="1"/>
  <c r="Y10" i="1"/>
  <c r="W10" i="1"/>
  <c r="AA10" i="1"/>
  <c r="AB9" i="1"/>
  <c r="Y9" i="1"/>
  <c r="W9" i="1"/>
  <c r="AA9" i="1" s="1"/>
  <c r="AB8" i="1"/>
  <c r="Y8" i="1"/>
  <c r="W8" i="1"/>
  <c r="AB7" i="1"/>
  <c r="Y7" i="1"/>
  <c r="W7" i="1"/>
  <c r="AA7" i="1" s="1"/>
  <c r="T15" i="1"/>
  <c r="T17" i="1"/>
  <c r="T19" i="1"/>
  <c r="T20" i="1"/>
  <c r="T18" i="1"/>
  <c r="T16" i="1"/>
  <c r="T12" i="1"/>
  <c r="T11" i="1"/>
  <c r="H11" i="1" s="1"/>
  <c r="T13" i="1"/>
  <c r="T14" i="1"/>
  <c r="T10" i="1"/>
  <c r="U9" i="1"/>
  <c r="R9" i="1"/>
  <c r="P9" i="1"/>
  <c r="T8" i="1"/>
  <c r="T7" i="1"/>
  <c r="H7" i="1" s="1"/>
  <c r="AA17" i="4"/>
  <c r="Y19" i="4"/>
  <c r="W19" i="4"/>
  <c r="AA19" i="4" s="1"/>
  <c r="Y15" i="4"/>
  <c r="W15" i="4"/>
  <c r="AB14" i="4"/>
  <c r="Y14" i="4"/>
  <c r="W14" i="4"/>
  <c r="AA14" i="4" s="1"/>
  <c r="AA16" i="4"/>
  <c r="AB12" i="4"/>
  <c r="Y12" i="4"/>
  <c r="AA12" i="4" s="1"/>
  <c r="W12" i="4"/>
  <c r="AB10" i="4"/>
  <c r="Y10" i="4"/>
  <c r="W10" i="4"/>
  <c r="AB11" i="4"/>
  <c r="Y11" i="4"/>
  <c r="W11" i="4"/>
  <c r="AB8" i="4"/>
  <c r="N8" i="4" s="1"/>
  <c r="Y8" i="4"/>
  <c r="W8" i="4"/>
  <c r="AB9" i="4"/>
  <c r="Y9" i="4"/>
  <c r="W9" i="4"/>
  <c r="AA9" i="4" s="1"/>
  <c r="AB13" i="4"/>
  <c r="Y13" i="4"/>
  <c r="AA13" i="4"/>
  <c r="W13" i="4"/>
  <c r="AB7" i="4"/>
  <c r="Y7" i="4"/>
  <c r="W7" i="4"/>
  <c r="AA7" i="4"/>
  <c r="T17" i="4"/>
  <c r="T19" i="4"/>
  <c r="G19" i="4" s="1"/>
  <c r="T15" i="4"/>
  <c r="T14" i="4"/>
  <c r="R16" i="4"/>
  <c r="P16" i="4"/>
  <c r="T16" i="4"/>
  <c r="T12" i="4"/>
  <c r="T10" i="4"/>
  <c r="U11" i="4"/>
  <c r="R11" i="4"/>
  <c r="T11" i="4" s="1"/>
  <c r="P11" i="4"/>
  <c r="R8" i="4"/>
  <c r="P8" i="4"/>
  <c r="U9" i="4"/>
  <c r="R9" i="4"/>
  <c r="T9" i="4" s="1"/>
  <c r="H9" i="4" s="1"/>
  <c r="P9" i="4"/>
  <c r="T13" i="4"/>
  <c r="J13" i="4" s="1"/>
  <c r="T7" i="4"/>
  <c r="CR17" i="4"/>
  <c r="CR19" i="4"/>
  <c r="CR15" i="4"/>
  <c r="CR14" i="4"/>
  <c r="CR16" i="4"/>
  <c r="CP12" i="4"/>
  <c r="CN12" i="4"/>
  <c r="CR12" i="4" s="1"/>
  <c r="CP10" i="4"/>
  <c r="CN10" i="4"/>
  <c r="CR11" i="4"/>
  <c r="CR8" i="4"/>
  <c r="CR9" i="4"/>
  <c r="CR13" i="4"/>
  <c r="CR7" i="4"/>
  <c r="CK17" i="4"/>
  <c r="CK19" i="4"/>
  <c r="CK15" i="4"/>
  <c r="CK14" i="4"/>
  <c r="CK16" i="4"/>
  <c r="CI12" i="4"/>
  <c r="CG12" i="4"/>
  <c r="CI10" i="4"/>
  <c r="AO10" i="4" s="1"/>
  <c r="CK10" i="4"/>
  <c r="CG10" i="4"/>
  <c r="CK11" i="4"/>
  <c r="CK8" i="4"/>
  <c r="CK9" i="4"/>
  <c r="CK13" i="4"/>
  <c r="CK7" i="4"/>
  <c r="CD17" i="4"/>
  <c r="CD19" i="4"/>
  <c r="CD15" i="4"/>
  <c r="CD14" i="4"/>
  <c r="CD16" i="4"/>
  <c r="CD12" i="4"/>
  <c r="CD10" i="4"/>
  <c r="CD11" i="4"/>
  <c r="CD8" i="4"/>
  <c r="CD9" i="4"/>
  <c r="CB13" i="4"/>
  <c r="CD13" i="4"/>
  <c r="CB7" i="4"/>
  <c r="CD7" i="4"/>
  <c r="BW17" i="4"/>
  <c r="BW19" i="4"/>
  <c r="BW15" i="4"/>
  <c r="BW14" i="4"/>
  <c r="BW16" i="4"/>
  <c r="BW12" i="4"/>
  <c r="BW10" i="4"/>
  <c r="BW11" i="4"/>
  <c r="BW8" i="4"/>
  <c r="BX9" i="4"/>
  <c r="BW9" i="4"/>
  <c r="BX13" i="4"/>
  <c r="BW13" i="4"/>
  <c r="BX7" i="4"/>
  <c r="BW7" i="4"/>
  <c r="BP17" i="4"/>
  <c r="BP19" i="4"/>
  <c r="BP15" i="4"/>
  <c r="BP14" i="4"/>
  <c r="BP16" i="4"/>
  <c r="BP12" i="4"/>
  <c r="BP10" i="4"/>
  <c r="BP11" i="4"/>
  <c r="BN8" i="4"/>
  <c r="BL8" i="4"/>
  <c r="BP8" i="4" s="1"/>
  <c r="BN9" i="4"/>
  <c r="BL9" i="4"/>
  <c r="BN13" i="4"/>
  <c r="BL13" i="4"/>
  <c r="BP13" i="4" s="1"/>
  <c r="BQ7" i="4"/>
  <c r="BN7" i="4"/>
  <c r="BL7" i="4"/>
  <c r="BI17" i="4"/>
  <c r="BI19" i="4"/>
  <c r="BI15" i="4"/>
  <c r="BI14" i="4"/>
  <c r="BG16" i="4"/>
  <c r="BE16" i="4"/>
  <c r="BI12" i="4"/>
  <c r="BI10" i="4"/>
  <c r="BG11" i="4"/>
  <c r="BE11" i="4"/>
  <c r="AN11" i="4" s="1"/>
  <c r="BI8" i="4"/>
  <c r="BI9" i="4"/>
  <c r="BI13" i="4"/>
  <c r="BI7" i="4"/>
  <c r="BB17" i="4"/>
  <c r="BB19" i="4"/>
  <c r="BB15" i="4"/>
  <c r="BB14" i="4"/>
  <c r="BB16" i="4"/>
  <c r="BB12" i="4"/>
  <c r="BB10" i="4"/>
  <c r="BB11" i="4"/>
  <c r="BC8" i="4"/>
  <c r="AP8" i="4" s="1"/>
  <c r="AM8" i="4" s="1"/>
  <c r="AZ8" i="4"/>
  <c r="BB8" i="4" s="1"/>
  <c r="AX8" i="4"/>
  <c r="BC9" i="4"/>
  <c r="AZ9" i="4"/>
  <c r="AX9" i="4"/>
  <c r="AZ13" i="4"/>
  <c r="AX13" i="4"/>
  <c r="BB7" i="4"/>
  <c r="AU17" i="4"/>
  <c r="AU19" i="4"/>
  <c r="AU15" i="4"/>
  <c r="AU14" i="4"/>
  <c r="AU16" i="4"/>
  <c r="AU12" i="4"/>
  <c r="AU10" i="4"/>
  <c r="AU11" i="4"/>
  <c r="AU8" i="4"/>
  <c r="AU9" i="4"/>
  <c r="AV13" i="4"/>
  <c r="AS13" i="4"/>
  <c r="AQ13" i="4"/>
  <c r="AV7" i="4"/>
  <c r="AS7" i="4"/>
  <c r="AQ7" i="4"/>
  <c r="AN7" i="4" s="1"/>
  <c r="I10" i="5"/>
  <c r="AC10" i="2"/>
  <c r="AC14" i="2"/>
  <c r="AC18" i="2"/>
  <c r="U14" i="2"/>
  <c r="AC9" i="2"/>
  <c r="AC8" i="2"/>
  <c r="AC11" i="2"/>
  <c r="AC15" i="2"/>
  <c r="AC19" i="2"/>
  <c r="K19" i="2" s="1"/>
  <c r="U18" i="2"/>
  <c r="AK18" i="2"/>
  <c r="U9" i="6"/>
  <c r="U13" i="6"/>
  <c r="AC13" i="6"/>
  <c r="I13" i="3"/>
  <c r="J18" i="4"/>
  <c r="U8" i="6"/>
  <c r="U11" i="6"/>
  <c r="U12" i="6"/>
  <c r="U14" i="6"/>
  <c r="AC8" i="6"/>
  <c r="AC12" i="6"/>
  <c r="AC14" i="6"/>
  <c r="AC11" i="6"/>
  <c r="AC9" i="6"/>
  <c r="AC10" i="6"/>
  <c r="U17" i="2"/>
  <c r="U10" i="2"/>
  <c r="U19" i="2"/>
  <c r="U8" i="2"/>
  <c r="U12" i="2"/>
  <c r="U7" i="2"/>
  <c r="U13" i="2"/>
  <c r="K13" i="2" s="1"/>
  <c r="J10" i="8"/>
  <c r="K10" i="8"/>
  <c r="L10" i="8" s="1"/>
  <c r="AB10" i="8"/>
  <c r="G10" i="8"/>
  <c r="I10" i="8"/>
  <c r="H10" i="8"/>
  <c r="M10" i="8"/>
  <c r="H10" i="7"/>
  <c r="I10" i="7"/>
  <c r="G10" i="7"/>
  <c r="K10" i="7"/>
  <c r="J10" i="7"/>
  <c r="BB9" i="4"/>
  <c r="T9" i="1"/>
  <c r="AU8" i="1"/>
  <c r="AA15" i="4"/>
  <c r="AA8" i="1"/>
  <c r="AA14" i="1"/>
  <c r="BI7" i="1"/>
  <c r="AU13" i="4"/>
  <c r="BI16" i="4"/>
  <c r="AA8" i="4"/>
  <c r="AA10" i="4"/>
  <c r="CR10" i="4"/>
  <c r="T8" i="4"/>
  <c r="AA11" i="4"/>
  <c r="BB13" i="4"/>
  <c r="BX8" i="7"/>
  <c r="BT8" i="7"/>
  <c r="BP8" i="7"/>
  <c r="BL8" i="7"/>
  <c r="BH8" i="7"/>
  <c r="BD8" i="7"/>
  <c r="AZ8" i="7"/>
  <c r="AV8" i="7"/>
  <c r="AR8" i="7"/>
  <c r="AG8" i="7"/>
  <c r="AD8" i="7" s="1"/>
  <c r="AF8" i="7"/>
  <c r="AC8" i="7"/>
  <c r="AE8" i="7"/>
  <c r="AB8" i="7" s="1"/>
  <c r="Z8" i="7"/>
  <c r="N8" i="7"/>
  <c r="L18" i="4"/>
  <c r="L10" i="7"/>
  <c r="M10" i="7"/>
  <c r="EO15" i="1"/>
  <c r="EH15" i="1"/>
  <c r="EA15" i="1"/>
  <c r="DT15" i="1"/>
  <c r="DM15" i="1"/>
  <c r="DF15" i="1"/>
  <c r="CY15" i="1"/>
  <c r="CR15" i="1"/>
  <c r="CK15" i="1"/>
  <c r="CD15" i="1"/>
  <c r="AP15" i="1"/>
  <c r="AM15" i="1" s="1"/>
  <c r="AO15" i="1"/>
  <c r="AL15" i="1"/>
  <c r="AN15" i="1"/>
  <c r="AK15" i="1" s="1"/>
  <c r="AH15" i="1"/>
  <c r="K15" i="1" s="1"/>
  <c r="N15" i="1"/>
  <c r="AH19" i="4"/>
  <c r="EA19" i="4"/>
  <c r="DT19" i="4"/>
  <c r="DM19" i="4"/>
  <c r="DF19" i="4"/>
  <c r="CY19" i="4"/>
  <c r="AP19" i="4"/>
  <c r="AM19" i="4"/>
  <c r="AO19" i="4"/>
  <c r="AL19" i="4" s="1"/>
  <c r="AN19" i="4"/>
  <c r="AK19" i="4"/>
  <c r="O19" i="4" s="1"/>
  <c r="N19" i="4"/>
  <c r="EO14" i="1"/>
  <c r="EH14" i="1"/>
  <c r="EA14" i="1"/>
  <c r="DT14" i="1"/>
  <c r="DM14" i="1"/>
  <c r="DF14" i="1"/>
  <c r="CY14" i="1"/>
  <c r="CR14" i="1"/>
  <c r="CK14" i="1"/>
  <c r="CD14" i="1"/>
  <c r="AP14" i="1"/>
  <c r="AM14" i="1" s="1"/>
  <c r="AO14" i="1"/>
  <c r="AL14" i="1"/>
  <c r="AN14" i="1"/>
  <c r="AK14" i="1"/>
  <c r="O14" i="1" s="1"/>
  <c r="N14" i="1"/>
  <c r="AN19" i="2"/>
  <c r="AM19" i="2"/>
  <c r="N19" i="2" s="1"/>
  <c r="AJ19" i="2"/>
  <c r="AG19" i="2"/>
  <c r="N12" i="4"/>
  <c r="N10" i="4"/>
  <c r="EO12" i="4"/>
  <c r="EH12" i="4"/>
  <c r="EA12" i="4"/>
  <c r="DT12" i="4"/>
  <c r="DM12" i="4"/>
  <c r="DF12" i="4"/>
  <c r="CY12" i="4"/>
  <c r="AP12" i="4"/>
  <c r="AM12" i="4" s="1"/>
  <c r="EO10" i="4"/>
  <c r="EH10" i="4"/>
  <c r="EA10" i="4"/>
  <c r="DT10" i="4"/>
  <c r="DM10" i="4"/>
  <c r="DF10" i="4"/>
  <c r="CY10" i="4"/>
  <c r="AP10" i="4"/>
  <c r="AM10" i="4" s="1"/>
  <c r="AN10" i="4"/>
  <c r="E18" i="4"/>
  <c r="G15" i="1"/>
  <c r="H15" i="1"/>
  <c r="H19" i="4"/>
  <c r="AH10" i="4"/>
  <c r="K10" i="4"/>
  <c r="M10" i="4" s="1"/>
  <c r="I19" i="2"/>
  <c r="J19" i="2"/>
  <c r="H19" i="2"/>
  <c r="G19" i="2"/>
  <c r="AK19" i="2"/>
  <c r="G10" i="4"/>
  <c r="L10" i="4"/>
  <c r="AU9" i="5"/>
  <c r="AH8" i="4"/>
  <c r="AH9" i="4"/>
  <c r="J9" i="4"/>
  <c r="AH13" i="4"/>
  <c r="AH11" i="4"/>
  <c r="K11" i="4"/>
  <c r="H9" i="6"/>
  <c r="I7" i="6"/>
  <c r="AR7" i="8"/>
  <c r="AR8" i="8"/>
  <c r="AR9" i="8"/>
  <c r="BX7" i="8"/>
  <c r="BT7" i="8"/>
  <c r="BP7" i="8"/>
  <c r="BL7" i="8"/>
  <c r="BH7" i="8"/>
  <c r="BD7" i="8"/>
  <c r="AZ7" i="8"/>
  <c r="AV7" i="8"/>
  <c r="AG7" i="8"/>
  <c r="AD7" i="8" s="1"/>
  <c r="AF7" i="8"/>
  <c r="AE7" i="8"/>
  <c r="Z7" i="8"/>
  <c r="N7" i="8"/>
  <c r="G7" i="8"/>
  <c r="AB11" i="3"/>
  <c r="AB7" i="5"/>
  <c r="N11" i="5"/>
  <c r="N8" i="5"/>
  <c r="EO12" i="1"/>
  <c r="EH12" i="1"/>
  <c r="EA12" i="1"/>
  <c r="DT12" i="1"/>
  <c r="DM12" i="1"/>
  <c r="DF12" i="1"/>
  <c r="CY12" i="1"/>
  <c r="CR12" i="1"/>
  <c r="CK12" i="1"/>
  <c r="CD12" i="1"/>
  <c r="AP12" i="1"/>
  <c r="AM12" i="1"/>
  <c r="O12" i="1" s="1"/>
  <c r="AO12" i="1"/>
  <c r="AL12" i="1"/>
  <c r="AN12" i="1"/>
  <c r="AK12" i="1" s="1"/>
  <c r="N12" i="1"/>
  <c r="EO17" i="1"/>
  <c r="EH17" i="1"/>
  <c r="EA17" i="1"/>
  <c r="DT17" i="1"/>
  <c r="DM17" i="1"/>
  <c r="DF17" i="1"/>
  <c r="CY17" i="1"/>
  <c r="CR17" i="1"/>
  <c r="CK17" i="1"/>
  <c r="CD17" i="1"/>
  <c r="AP17" i="1"/>
  <c r="AM17" i="1" s="1"/>
  <c r="AO17" i="1"/>
  <c r="AL17" i="1"/>
  <c r="AN17" i="1"/>
  <c r="AK17" i="1" s="1"/>
  <c r="AH17" i="1"/>
  <c r="J17" i="1" s="1"/>
  <c r="G17" i="1"/>
  <c r="N17" i="1"/>
  <c r="BW13" i="5"/>
  <c r="BS13" i="5"/>
  <c r="BO13" i="5"/>
  <c r="BK13" i="5"/>
  <c r="BG13" i="5"/>
  <c r="BC13" i="5"/>
  <c r="AY13" i="5"/>
  <c r="AU13" i="5"/>
  <c r="AJ13" i="5"/>
  <c r="AG13" i="5"/>
  <c r="AI13" i="5"/>
  <c r="AF13" i="5" s="1"/>
  <c r="O13" i="5" s="1"/>
  <c r="AH13" i="5"/>
  <c r="AE13" i="5"/>
  <c r="AB13" i="5"/>
  <c r="H13" i="5" s="1"/>
  <c r="I13" i="5"/>
  <c r="N13" i="5"/>
  <c r="BW11" i="5"/>
  <c r="BS11" i="5"/>
  <c r="BO11" i="5"/>
  <c r="BK11" i="5"/>
  <c r="BG11" i="5"/>
  <c r="BC11" i="5"/>
  <c r="AY11" i="5"/>
  <c r="AU11" i="5"/>
  <c r="AJ11" i="5"/>
  <c r="AG11" i="5"/>
  <c r="AI11" i="5"/>
  <c r="AF11" i="5" s="1"/>
  <c r="O11" i="5" s="1"/>
  <c r="E11" i="5" s="1"/>
  <c r="AH11" i="5"/>
  <c r="AE11" i="5"/>
  <c r="AB11" i="5"/>
  <c r="J11" i="5" s="1"/>
  <c r="AH12" i="1"/>
  <c r="G13" i="5"/>
  <c r="J13" i="5"/>
  <c r="H11" i="5"/>
  <c r="G11" i="5"/>
  <c r="AZ8" i="8"/>
  <c r="AZ9" i="8"/>
  <c r="AV8" i="8"/>
  <c r="AV9" i="8"/>
  <c r="AR7" i="7"/>
  <c r="AR9" i="7"/>
  <c r="CY8" i="1"/>
  <c r="CY10" i="1"/>
  <c r="CY11" i="1"/>
  <c r="CY20" i="1"/>
  <c r="CY9" i="1"/>
  <c r="CY13" i="1"/>
  <c r="CK16" i="1"/>
  <c r="CK18" i="1"/>
  <c r="CK19" i="1"/>
  <c r="CK13" i="1"/>
  <c r="CK9" i="1"/>
  <c r="CK20" i="1"/>
  <c r="CK11" i="1"/>
  <c r="CK10" i="1"/>
  <c r="CK8" i="1"/>
  <c r="CK7" i="1"/>
  <c r="CD16" i="1"/>
  <c r="CD18" i="1"/>
  <c r="CD19" i="1"/>
  <c r="CD13" i="1"/>
  <c r="CD9" i="1"/>
  <c r="CD20" i="1"/>
  <c r="CD11" i="1"/>
  <c r="CD10" i="1"/>
  <c r="CD8" i="1"/>
  <c r="CD7" i="1"/>
  <c r="DF11" i="4"/>
  <c r="DF8" i="4"/>
  <c r="EO16" i="1"/>
  <c r="EH16" i="1"/>
  <c r="EA16" i="1"/>
  <c r="DT16" i="1"/>
  <c r="DM16" i="1"/>
  <c r="DF16" i="1"/>
  <c r="CY16" i="1"/>
  <c r="CR16" i="1"/>
  <c r="AP16" i="1"/>
  <c r="AM16" i="1" s="1"/>
  <c r="AO16" i="1"/>
  <c r="AL16" i="1"/>
  <c r="AN16" i="1"/>
  <c r="AK16" i="1" s="1"/>
  <c r="AH16" i="1"/>
  <c r="K16" i="1"/>
  <c r="L16" i="1" s="1"/>
  <c r="E16" i="1" s="1"/>
  <c r="G16" i="1"/>
  <c r="AN14" i="2"/>
  <c r="AM14" i="2"/>
  <c r="N14" i="2"/>
  <c r="AJ14" i="2"/>
  <c r="AG14" i="2"/>
  <c r="AN16" i="2"/>
  <c r="AM16" i="2" s="1"/>
  <c r="N16" i="2" s="1"/>
  <c r="AJ16" i="2"/>
  <c r="AG16" i="2"/>
  <c r="G16" i="2"/>
  <c r="AN8" i="2"/>
  <c r="AJ8" i="2"/>
  <c r="AG8" i="2"/>
  <c r="I8" i="2" s="1"/>
  <c r="G8" i="2"/>
  <c r="AN8" i="6"/>
  <c r="AM8" i="6"/>
  <c r="N8" i="6"/>
  <c r="AJ8" i="6"/>
  <c r="J8" i="6" s="1"/>
  <c r="AG8" i="6"/>
  <c r="G8" i="6"/>
  <c r="AN10" i="6"/>
  <c r="AM10" i="6" s="1"/>
  <c r="N10" i="6" s="1"/>
  <c r="AJ10" i="6"/>
  <c r="AG10" i="6"/>
  <c r="AK10" i="6" s="1"/>
  <c r="AN13" i="6"/>
  <c r="AJ13" i="6"/>
  <c r="AG13" i="6"/>
  <c r="AK13" i="6" s="1"/>
  <c r="BK9" i="3"/>
  <c r="BG9" i="3"/>
  <c r="BC9" i="3"/>
  <c r="AY9" i="3"/>
  <c r="AJ9" i="3"/>
  <c r="AI9" i="3"/>
  <c r="AH9" i="3"/>
  <c r="AB9" i="3"/>
  <c r="H8" i="2"/>
  <c r="G9" i="3"/>
  <c r="CY8" i="4"/>
  <c r="CY17" i="4"/>
  <c r="CY16" i="4"/>
  <c r="CY15" i="4"/>
  <c r="CY14" i="4"/>
  <c r="CY11" i="4"/>
  <c r="CY9" i="4"/>
  <c r="CY13" i="4"/>
  <c r="CY7" i="4"/>
  <c r="AP9" i="4"/>
  <c r="CR8" i="1"/>
  <c r="CR19" i="1"/>
  <c r="CR13" i="1"/>
  <c r="CR9" i="1"/>
  <c r="CR20" i="1"/>
  <c r="CR18" i="1"/>
  <c r="CR11" i="1"/>
  <c r="CR10" i="1"/>
  <c r="CR7" i="1"/>
  <c r="AU12" i="5"/>
  <c r="AY12" i="3"/>
  <c r="AY10" i="3"/>
  <c r="AY11" i="3"/>
  <c r="AY8" i="3"/>
  <c r="AY7" i="3"/>
  <c r="AJ10" i="3"/>
  <c r="AV9" i="7"/>
  <c r="AV7" i="7"/>
  <c r="AH13" i="1"/>
  <c r="AH10" i="1"/>
  <c r="N12" i="3"/>
  <c r="BK12" i="3"/>
  <c r="BG12" i="3"/>
  <c r="BC12" i="3"/>
  <c r="AJ12" i="3"/>
  <c r="AG12" i="3"/>
  <c r="AI12" i="3"/>
  <c r="AF12" i="3"/>
  <c r="AH12" i="3"/>
  <c r="AE12" i="3" s="1"/>
  <c r="AB12" i="3"/>
  <c r="H12" i="3"/>
  <c r="BW12" i="5"/>
  <c r="BS12" i="5"/>
  <c r="BO12" i="5"/>
  <c r="BK12" i="5"/>
  <c r="BG12" i="5"/>
  <c r="BC12" i="5"/>
  <c r="AY12" i="5"/>
  <c r="AJ12" i="5"/>
  <c r="AG12" i="5"/>
  <c r="AI12" i="5"/>
  <c r="AF12" i="5" s="1"/>
  <c r="O12" i="5" s="1"/>
  <c r="E12" i="5" s="1"/>
  <c r="AH12" i="5"/>
  <c r="AE12" i="5"/>
  <c r="AB12" i="5"/>
  <c r="K12" i="5"/>
  <c r="M12" i="5"/>
  <c r="N12" i="5"/>
  <c r="N9" i="5"/>
  <c r="BX9" i="8"/>
  <c r="BT9" i="8"/>
  <c r="BP9" i="8"/>
  <c r="BL9" i="8"/>
  <c r="BH9" i="8"/>
  <c r="BD9" i="8"/>
  <c r="AG9" i="8"/>
  <c r="AD9" i="8"/>
  <c r="AF9" i="8"/>
  <c r="AE9" i="8"/>
  <c r="AB9" i="8"/>
  <c r="Z9" i="8"/>
  <c r="K9" i="8"/>
  <c r="N9" i="8"/>
  <c r="N14" i="4"/>
  <c r="N11" i="4"/>
  <c r="N16" i="4"/>
  <c r="N9" i="1"/>
  <c r="N11" i="1"/>
  <c r="N10" i="1"/>
  <c r="AH17" i="4"/>
  <c r="I17" i="4"/>
  <c r="EO16" i="4"/>
  <c r="EH16" i="4"/>
  <c r="EA16" i="4"/>
  <c r="DT16" i="4"/>
  <c r="DM16" i="4"/>
  <c r="DF16" i="4"/>
  <c r="AP16" i="4"/>
  <c r="AM16" i="4"/>
  <c r="AO16" i="4"/>
  <c r="AH16" i="4"/>
  <c r="K16" i="4"/>
  <c r="AN16" i="4"/>
  <c r="AK16" i="4" s="1"/>
  <c r="O16" i="4" s="1"/>
  <c r="E16" i="4" s="1"/>
  <c r="N15" i="4"/>
  <c r="AG10" i="2"/>
  <c r="AJ10" i="2"/>
  <c r="AN10" i="2"/>
  <c r="AG13" i="2"/>
  <c r="G13" i="2" s="1"/>
  <c r="AJ13" i="2"/>
  <c r="AG7" i="2"/>
  <c r="AJ7" i="2"/>
  <c r="AK7" i="2" s="1"/>
  <c r="Z8" i="8"/>
  <c r="K8" i="8" s="1"/>
  <c r="M8" i="8" s="1"/>
  <c r="EO9" i="1"/>
  <c r="EH9" i="1"/>
  <c r="EA9" i="1"/>
  <c r="DT9" i="1"/>
  <c r="DM9" i="1"/>
  <c r="DF9" i="1"/>
  <c r="AP9" i="1"/>
  <c r="AM9" i="1" s="1"/>
  <c r="AO9" i="1"/>
  <c r="AH9" i="1"/>
  <c r="EO18" i="1"/>
  <c r="EH18" i="1"/>
  <c r="EA18" i="1"/>
  <c r="DT18" i="1"/>
  <c r="DM18" i="1"/>
  <c r="DF18" i="1"/>
  <c r="CY18" i="1"/>
  <c r="AP18" i="1"/>
  <c r="AM18" i="1" s="1"/>
  <c r="AO18" i="1"/>
  <c r="AL18" i="1"/>
  <c r="AN18" i="1"/>
  <c r="AK18" i="1" s="1"/>
  <c r="O18" i="1" s="1"/>
  <c r="E18" i="1" s="1"/>
  <c r="AH18" i="1"/>
  <c r="H18" i="1"/>
  <c r="AP10" i="1"/>
  <c r="AM10" i="1" s="1"/>
  <c r="EO15" i="4"/>
  <c r="EH15" i="4"/>
  <c r="EA15" i="4"/>
  <c r="DT15" i="4"/>
  <c r="DM15" i="4"/>
  <c r="DF15" i="4"/>
  <c r="AP15" i="4"/>
  <c r="AM15" i="4" s="1"/>
  <c r="AO15" i="4"/>
  <c r="AH15" i="4"/>
  <c r="K15" i="4" s="1"/>
  <c r="M15" i="4" s="1"/>
  <c r="AN15" i="4"/>
  <c r="AG7" i="6"/>
  <c r="AJ7" i="6"/>
  <c r="BX9" i="7"/>
  <c r="BT9" i="7"/>
  <c r="BP9" i="7"/>
  <c r="BL9" i="7"/>
  <c r="BH9" i="7"/>
  <c r="BD9" i="7"/>
  <c r="AZ9" i="7"/>
  <c r="AG9" i="7"/>
  <c r="AD9" i="7"/>
  <c r="AF9" i="7"/>
  <c r="AC9" i="7" s="1"/>
  <c r="O9" i="7" s="1"/>
  <c r="E9" i="7" s="1"/>
  <c r="AE9" i="7"/>
  <c r="AB9" i="7"/>
  <c r="Z9" i="7"/>
  <c r="J9" i="7"/>
  <c r="N9" i="7"/>
  <c r="G9" i="7"/>
  <c r="BW8" i="5"/>
  <c r="BS8" i="5"/>
  <c r="BO8" i="5"/>
  <c r="BK8" i="5"/>
  <c r="BG8" i="5"/>
  <c r="BC8" i="5"/>
  <c r="AY8" i="5"/>
  <c r="AJ8" i="5"/>
  <c r="AI8" i="5"/>
  <c r="AF8" i="5" s="1"/>
  <c r="O8" i="5" s="1"/>
  <c r="E8" i="5" s="1"/>
  <c r="AB8" i="5"/>
  <c r="G8" i="5"/>
  <c r="AH8" i="5"/>
  <c r="AB9" i="5"/>
  <c r="K9" i="5"/>
  <c r="AH9" i="5"/>
  <c r="AI9" i="5"/>
  <c r="AJ9" i="5"/>
  <c r="AG9" i="5" s="1"/>
  <c r="AY9" i="5"/>
  <c r="BC9" i="5"/>
  <c r="BG9" i="5"/>
  <c r="BK9" i="5"/>
  <c r="BO9" i="5"/>
  <c r="BS9" i="5"/>
  <c r="BW9" i="5"/>
  <c r="AN11" i="2"/>
  <c r="AM11" i="2" s="1"/>
  <c r="N11" i="2" s="1"/>
  <c r="AG11" i="2"/>
  <c r="AJ11" i="2"/>
  <c r="G11" i="2"/>
  <c r="AN14" i="6"/>
  <c r="AM14" i="6"/>
  <c r="N14" i="6"/>
  <c r="AJ14" i="6"/>
  <c r="AG14" i="6"/>
  <c r="AN9" i="6"/>
  <c r="AG9" i="6"/>
  <c r="AJ9" i="6"/>
  <c r="H9" i="7"/>
  <c r="BX8" i="8"/>
  <c r="BT8" i="8"/>
  <c r="BP8" i="8"/>
  <c r="BL8" i="8"/>
  <c r="BH8" i="8"/>
  <c r="BD8" i="8"/>
  <c r="AG8" i="8"/>
  <c r="AD8" i="8" s="1"/>
  <c r="AF8" i="8"/>
  <c r="AE8" i="8"/>
  <c r="N8" i="8"/>
  <c r="AN12" i="6"/>
  <c r="AG12" i="6"/>
  <c r="AJ12" i="6"/>
  <c r="AN7" i="6"/>
  <c r="G7" i="6"/>
  <c r="BK10" i="3"/>
  <c r="BG10" i="3"/>
  <c r="BC10" i="3"/>
  <c r="AI10" i="3"/>
  <c r="AH10" i="3"/>
  <c r="EA20" i="1"/>
  <c r="DT20" i="1"/>
  <c r="DM20" i="1"/>
  <c r="DF20" i="1"/>
  <c r="AP20" i="1"/>
  <c r="AM20" i="1" s="1"/>
  <c r="AO20" i="1"/>
  <c r="AL20" i="1"/>
  <c r="AN20" i="1"/>
  <c r="AK20" i="1"/>
  <c r="O20" i="1" s="1"/>
  <c r="N20" i="1"/>
  <c r="AH20" i="1"/>
  <c r="BW7" i="5"/>
  <c r="BS7" i="5"/>
  <c r="BO7" i="5"/>
  <c r="BK7" i="5"/>
  <c r="BG7" i="5"/>
  <c r="BC7" i="5"/>
  <c r="AY7" i="5"/>
  <c r="AJ7" i="5"/>
  <c r="N7" i="5"/>
  <c r="AI7" i="5"/>
  <c r="AH7" i="5"/>
  <c r="G7" i="5"/>
  <c r="EO17" i="4"/>
  <c r="EH17" i="4"/>
  <c r="EA17" i="4"/>
  <c r="DT17" i="4"/>
  <c r="DM17" i="4"/>
  <c r="DF17" i="4"/>
  <c r="AP17" i="4"/>
  <c r="AM17" i="4" s="1"/>
  <c r="AO17" i="4"/>
  <c r="AL17" i="4" s="1"/>
  <c r="AN17" i="4"/>
  <c r="AK17" i="4" s="1"/>
  <c r="O17" i="4" s="1"/>
  <c r="EO11" i="4"/>
  <c r="EH11" i="4"/>
  <c r="EA11" i="4"/>
  <c r="DT11" i="4"/>
  <c r="DM11" i="4"/>
  <c r="AP11" i="4"/>
  <c r="AO11" i="4"/>
  <c r="BC8" i="3"/>
  <c r="BC11" i="3"/>
  <c r="BC7" i="3"/>
  <c r="AZ7" i="7"/>
  <c r="DT14" i="4"/>
  <c r="DT9" i="4"/>
  <c r="DT8" i="4"/>
  <c r="DT7" i="4"/>
  <c r="DT13" i="4"/>
  <c r="DM14" i="4"/>
  <c r="DM9" i="4"/>
  <c r="DM8" i="4"/>
  <c r="DM7" i="4"/>
  <c r="DM13" i="4"/>
  <c r="DF14" i="4"/>
  <c r="DF9" i="4"/>
  <c r="DF7" i="4"/>
  <c r="DF13" i="4"/>
  <c r="DM11" i="1"/>
  <c r="DM13" i="1"/>
  <c r="DM19" i="1"/>
  <c r="DM10" i="1"/>
  <c r="DM8" i="1"/>
  <c r="DM7" i="1"/>
  <c r="DF11" i="1"/>
  <c r="DF13" i="1"/>
  <c r="DF19" i="1"/>
  <c r="DF10" i="1"/>
  <c r="DF8" i="1"/>
  <c r="DF7" i="1"/>
  <c r="CY19" i="1"/>
  <c r="CY7" i="1"/>
  <c r="EO14" i="4"/>
  <c r="EH14" i="4"/>
  <c r="EA14" i="4"/>
  <c r="AP14" i="4"/>
  <c r="AM14" i="4" s="1"/>
  <c r="AO14" i="4"/>
  <c r="AL14" i="4" s="1"/>
  <c r="AN14" i="4"/>
  <c r="AK14" i="4" s="1"/>
  <c r="O14" i="4" s="1"/>
  <c r="G14" i="4"/>
  <c r="AN12" i="2"/>
  <c r="AM12" i="2"/>
  <c r="N12" i="2" s="1"/>
  <c r="AJ12" i="2"/>
  <c r="AG12" i="2"/>
  <c r="BG8" i="3"/>
  <c r="BG11" i="3"/>
  <c r="BG7" i="3"/>
  <c r="DT8" i="1"/>
  <c r="DT10" i="1"/>
  <c r="EA8" i="4"/>
  <c r="EA9" i="4"/>
  <c r="EA7" i="4"/>
  <c r="BK8" i="3"/>
  <c r="BK11" i="3"/>
  <c r="BK7" i="3"/>
  <c r="DT11" i="1"/>
  <c r="DT13" i="1"/>
  <c r="DT19" i="1"/>
  <c r="G12" i="2"/>
  <c r="DT7" i="1"/>
  <c r="EA13" i="4"/>
  <c r="AG9" i="2"/>
  <c r="AJ9" i="2"/>
  <c r="AK9" i="2" s="1"/>
  <c r="AG15" i="2"/>
  <c r="I15" i="2"/>
  <c r="AJ15" i="2"/>
  <c r="AK15" i="2" s="1"/>
  <c r="AG11" i="6"/>
  <c r="G11" i="6"/>
  <c r="AJ8" i="3"/>
  <c r="AI8" i="3"/>
  <c r="AH8" i="3"/>
  <c r="AB8" i="3"/>
  <c r="K8" i="3"/>
  <c r="L8" i="3" s="1"/>
  <c r="N13" i="4"/>
  <c r="N13" i="1"/>
  <c r="EA8" i="1"/>
  <c r="Z7" i="7"/>
  <c r="J7" i="7" s="1"/>
  <c r="N19" i="1"/>
  <c r="BX7" i="7"/>
  <c r="BT7" i="7"/>
  <c r="BP7" i="7"/>
  <c r="BL7" i="7"/>
  <c r="BH7" i="7"/>
  <c r="BD7" i="7"/>
  <c r="AG7" i="7"/>
  <c r="AD7" i="7"/>
  <c r="AF7" i="7"/>
  <c r="AE7" i="7"/>
  <c r="N7" i="7"/>
  <c r="G7" i="7"/>
  <c r="G7" i="2"/>
  <c r="G9" i="2"/>
  <c r="AJ11" i="6"/>
  <c r="AK11" i="6"/>
  <c r="AN13" i="2"/>
  <c r="AM13" i="2"/>
  <c r="N13" i="2"/>
  <c r="AN15" i="2"/>
  <c r="AM15" i="2" s="1"/>
  <c r="N15" i="2" s="1"/>
  <c r="AN9" i="2"/>
  <c r="N9" i="4"/>
  <c r="EO8" i="4"/>
  <c r="EO9" i="4"/>
  <c r="EO7" i="4"/>
  <c r="EO13" i="4"/>
  <c r="EH8" i="4"/>
  <c r="EH9" i="4"/>
  <c r="EH7" i="4"/>
  <c r="EH13" i="4"/>
  <c r="EO11" i="1"/>
  <c r="EH11" i="1"/>
  <c r="EA11" i="1"/>
  <c r="AP11" i="1"/>
  <c r="AM11" i="1" s="1"/>
  <c r="AO19" i="1"/>
  <c r="AL19" i="1" s="1"/>
  <c r="EO8" i="1"/>
  <c r="EO10" i="1"/>
  <c r="EO19" i="1"/>
  <c r="EO13" i="1"/>
  <c r="EO7" i="1"/>
  <c r="EH8" i="1"/>
  <c r="EH10" i="1"/>
  <c r="EH19" i="1"/>
  <c r="EH13" i="1"/>
  <c r="EH7" i="1"/>
  <c r="AP13" i="1"/>
  <c r="AM13" i="1" s="1"/>
  <c r="O13" i="1" s="1"/>
  <c r="E13" i="1" s="1"/>
  <c r="AP19" i="1"/>
  <c r="AM19" i="1" s="1"/>
  <c r="AN19" i="1"/>
  <c r="AK19" i="1" s="1"/>
  <c r="O19" i="1" s="1"/>
  <c r="EA10" i="1"/>
  <c r="EA19" i="1"/>
  <c r="EA13" i="1"/>
  <c r="EA7" i="1"/>
  <c r="AJ11" i="3"/>
  <c r="AG11" i="3"/>
  <c r="AH7" i="3"/>
  <c r="AI7" i="3"/>
  <c r="AH11" i="3"/>
  <c r="AE11" i="3"/>
  <c r="O11" i="3" s="1"/>
  <c r="AI11" i="3"/>
  <c r="AF11" i="3" s="1"/>
  <c r="B5" i="6"/>
  <c r="AN11" i="6"/>
  <c r="B5" i="2"/>
  <c r="AN7" i="2"/>
  <c r="B5" i="5"/>
  <c r="B5" i="3"/>
  <c r="AB7" i="3"/>
  <c r="N7" i="3"/>
  <c r="G7" i="3"/>
  <c r="N11" i="3"/>
  <c r="B5" i="8"/>
  <c r="B5" i="7"/>
  <c r="B5" i="4"/>
  <c r="G13" i="4"/>
  <c r="G7" i="4"/>
  <c r="G9" i="4"/>
  <c r="B5" i="1"/>
  <c r="G7" i="1"/>
  <c r="G10" i="1"/>
  <c r="AH19" i="1"/>
  <c r="K19" i="1" s="1"/>
  <c r="L19" i="1" s="1"/>
  <c r="AN11" i="1"/>
  <c r="AK11" i="1"/>
  <c r="G8" i="4"/>
  <c r="G11" i="3"/>
  <c r="G8" i="1"/>
  <c r="AO11" i="1"/>
  <c r="AL11" i="1" s="1"/>
  <c r="AN13" i="4"/>
  <c r="AN13" i="1"/>
  <c r="AK13" i="1"/>
  <c r="G8" i="3"/>
  <c r="AO13" i="1"/>
  <c r="AL13" i="1" s="1"/>
  <c r="G11" i="1"/>
  <c r="AO13" i="4"/>
  <c r="G15" i="2"/>
  <c r="AH8" i="1"/>
  <c r="K8" i="1"/>
  <c r="L8" i="1" s="1"/>
  <c r="AK8" i="1" s="1"/>
  <c r="N8" i="3"/>
  <c r="H8" i="5"/>
  <c r="AH14" i="4"/>
  <c r="H16" i="4"/>
  <c r="I12" i="3"/>
  <c r="G12" i="3"/>
  <c r="G9" i="5"/>
  <c r="H7" i="5"/>
  <c r="H7" i="3"/>
  <c r="N10" i="3"/>
  <c r="I8" i="3"/>
  <c r="G10" i="3"/>
  <c r="I9" i="7"/>
  <c r="N7" i="4"/>
  <c r="J17" i="4"/>
  <c r="AP7" i="4"/>
  <c r="AM7" i="4" s="1"/>
  <c r="N7" i="1"/>
  <c r="N8" i="1"/>
  <c r="H8" i="1"/>
  <c r="G12" i="6"/>
  <c r="G11" i="4"/>
  <c r="H7" i="4"/>
  <c r="G16" i="4"/>
  <c r="G8" i="8"/>
  <c r="H17" i="4"/>
  <c r="G17" i="4"/>
  <c r="G9" i="1"/>
  <c r="G15" i="4"/>
  <c r="K12" i="3"/>
  <c r="H10" i="3"/>
  <c r="I10" i="3"/>
  <c r="K8" i="5"/>
  <c r="L8" i="5"/>
  <c r="AE8" i="5" s="1"/>
  <c r="J12" i="3"/>
  <c r="J8" i="5"/>
  <c r="AG10" i="3"/>
  <c r="K9" i="7"/>
  <c r="L9" i="7" s="1"/>
  <c r="I7" i="1"/>
  <c r="G9" i="8"/>
  <c r="I9" i="8"/>
  <c r="I8" i="5"/>
  <c r="J10" i="3"/>
  <c r="J8" i="3"/>
  <c r="AN8" i="4"/>
  <c r="AO8" i="4"/>
  <c r="AO9" i="4"/>
  <c r="AO8" i="1"/>
  <c r="AP8" i="1"/>
  <c r="AN8" i="1"/>
  <c r="AN7" i="1"/>
  <c r="AK13" i="2"/>
  <c r="G13" i="6"/>
  <c r="H8" i="3"/>
  <c r="G18" i="1"/>
  <c r="H12" i="6"/>
  <c r="J13" i="6"/>
  <c r="I12" i="6"/>
  <c r="I13" i="6"/>
  <c r="H13" i="6"/>
  <c r="AG7" i="3"/>
  <c r="H9" i="3"/>
  <c r="J7" i="8"/>
  <c r="I11" i="1"/>
  <c r="I8" i="1"/>
  <c r="G13" i="1"/>
  <c r="J8" i="1"/>
  <c r="J16" i="4"/>
  <c r="I15" i="4"/>
  <c r="J11" i="4"/>
  <c r="I16" i="4"/>
  <c r="J11" i="6"/>
  <c r="AK14" i="6"/>
  <c r="K14" i="6"/>
  <c r="L14" i="6" s="1"/>
  <c r="J14" i="6"/>
  <c r="H11" i="2"/>
  <c r="I13" i="2"/>
  <c r="J14" i="2"/>
  <c r="K17" i="4"/>
  <c r="M17" i="4" s="1"/>
  <c r="I8" i="8"/>
  <c r="J8" i="8"/>
  <c r="H8" i="8"/>
  <c r="M9" i="7"/>
  <c r="H7" i="7"/>
  <c r="K7" i="7"/>
  <c r="L7" i="7" s="1"/>
  <c r="J13" i="1"/>
  <c r="J15" i="4"/>
  <c r="H15" i="4"/>
  <c r="J14" i="4"/>
  <c r="H8" i="4"/>
  <c r="K9" i="4"/>
  <c r="M9" i="4" s="1"/>
  <c r="AL9" i="4" s="1"/>
  <c r="L9" i="4"/>
  <c r="L8" i="8"/>
  <c r="AC8" i="8"/>
  <c r="H9" i="8"/>
  <c r="J9" i="8"/>
  <c r="L9" i="8"/>
  <c r="M9" i="8"/>
  <c r="AC9" i="8" s="1"/>
  <c r="G14" i="6"/>
  <c r="AK7" i="6"/>
  <c r="AK12" i="6"/>
  <c r="K12" i="6" s="1"/>
  <c r="L12" i="6"/>
  <c r="M12" i="6" s="1"/>
  <c r="AK8" i="6"/>
  <c r="K8" i="6" s="1"/>
  <c r="I8" i="6"/>
  <c r="J12" i="6"/>
  <c r="G14" i="2"/>
  <c r="AK14" i="2"/>
  <c r="K14" i="2" s="1"/>
  <c r="L14" i="2" s="1"/>
  <c r="AK16" i="2"/>
  <c r="AK12" i="2"/>
  <c r="AK10" i="2"/>
  <c r="AK8" i="2"/>
  <c r="K8" i="2" s="1"/>
  <c r="J10" i="2"/>
  <c r="I9" i="5"/>
  <c r="AG7" i="5"/>
  <c r="M8" i="3"/>
  <c r="AF8" i="3" s="1"/>
  <c r="K9" i="3"/>
  <c r="AM8" i="1"/>
  <c r="J18" i="1"/>
  <c r="I18" i="1"/>
  <c r="K18" i="1"/>
  <c r="K13" i="1"/>
  <c r="I13" i="1"/>
  <c r="H17" i="1"/>
  <c r="AL15" i="4"/>
  <c r="AM11" i="4"/>
  <c r="L15" i="4"/>
  <c r="AK15" i="4"/>
  <c r="I16" i="1"/>
  <c r="I17" i="1"/>
  <c r="K17" i="1"/>
  <c r="L17" i="1" s="1"/>
  <c r="AM7" i="1"/>
  <c r="M16" i="1"/>
  <c r="M7" i="1"/>
  <c r="H16" i="1"/>
  <c r="I10" i="1"/>
  <c r="J16" i="1"/>
  <c r="L16" i="4"/>
  <c r="M16" i="4"/>
  <c r="AL16" i="4"/>
  <c r="AM9" i="4"/>
  <c r="G12" i="1"/>
  <c r="H11" i="6"/>
  <c r="J7" i="6"/>
  <c r="G9" i="6"/>
  <c r="G10" i="6"/>
  <c r="H8" i="6"/>
  <c r="I11" i="6"/>
  <c r="I14" i="6"/>
  <c r="H14" i="6"/>
  <c r="M10" i="3"/>
  <c r="AF10" i="3" s="1"/>
  <c r="L10" i="3"/>
  <c r="AE10" i="3" s="1"/>
  <c r="O10" i="3" s="1"/>
  <c r="E10" i="3" s="1"/>
  <c r="J9" i="3"/>
  <c r="AG9" i="3"/>
  <c r="AG8" i="3"/>
  <c r="K13" i="6"/>
  <c r="L13" i="6" s="1"/>
  <c r="H13" i="2"/>
  <c r="G10" i="2"/>
  <c r="H14" i="2"/>
  <c r="J15" i="2"/>
  <c r="H9" i="2"/>
  <c r="AK11" i="2"/>
  <c r="H10" i="2"/>
  <c r="J8" i="2"/>
  <c r="I14" i="2"/>
  <c r="J11" i="2"/>
  <c r="I16" i="2"/>
  <c r="H16" i="2"/>
  <c r="I10" i="2"/>
  <c r="I7" i="2"/>
  <c r="K11" i="5"/>
  <c r="K13" i="5"/>
  <c r="M13" i="5" s="1"/>
  <c r="I11" i="5"/>
  <c r="I7" i="5"/>
  <c r="H9" i="5"/>
  <c r="I12" i="5"/>
  <c r="M9" i="5"/>
  <c r="AF9" i="5"/>
  <c r="L9" i="5"/>
  <c r="AE9" i="5"/>
  <c r="O9" i="5" s="1"/>
  <c r="E9" i="5" s="1"/>
  <c r="L12" i="5"/>
  <c r="M8" i="5"/>
  <c r="J9" i="5"/>
  <c r="J7" i="5"/>
  <c r="K7" i="5"/>
  <c r="M7" i="5" s="1"/>
  <c r="AF7" i="5" s="1"/>
  <c r="G12" i="5"/>
  <c r="AG8" i="5"/>
  <c r="J12" i="5"/>
  <c r="H12" i="5"/>
  <c r="O12" i="3"/>
  <c r="I7" i="7"/>
  <c r="O16" i="1"/>
  <c r="O11" i="1"/>
  <c r="E11" i="1" s="1"/>
  <c r="O17" i="1"/>
  <c r="L9" i="3"/>
  <c r="AE9" i="3"/>
  <c r="O9" i="3" s="1"/>
  <c r="E9" i="3" s="1"/>
  <c r="M9" i="3"/>
  <c r="AF9" i="3"/>
  <c r="M18" i="1"/>
  <c r="L18" i="1"/>
  <c r="L13" i="1"/>
  <c r="M13" i="1"/>
  <c r="O15" i="4"/>
  <c r="E15" i="4" s="1"/>
  <c r="L11" i="1"/>
  <c r="M11" i="1"/>
  <c r="M17" i="1"/>
  <c r="AM12" i="6"/>
  <c r="N12" i="6"/>
  <c r="E12" i="6" s="1"/>
  <c r="M11" i="5"/>
  <c r="L11" i="5"/>
  <c r="L7" i="5"/>
  <c r="AE7" i="5"/>
  <c r="O7" i="5" s="1"/>
  <c r="E7" i="5" s="1"/>
  <c r="K14" i="1" l="1"/>
  <c r="H14" i="1"/>
  <c r="AE8" i="3"/>
  <c r="O8" i="3" s="1"/>
  <c r="E8" i="3" s="1"/>
  <c r="E19" i="1"/>
  <c r="L13" i="2"/>
  <c r="M13" i="2" s="1"/>
  <c r="E13" i="2" s="1"/>
  <c r="AK7" i="1"/>
  <c r="O7" i="1" s="1"/>
  <c r="E7" i="1" s="1"/>
  <c r="O8" i="1"/>
  <c r="E8" i="1" s="1"/>
  <c r="K12" i="2"/>
  <c r="E17" i="1"/>
  <c r="L8" i="2"/>
  <c r="M8" i="2"/>
  <c r="AM8" i="2" s="1"/>
  <c r="N8" i="2" s="1"/>
  <c r="E8" i="2" s="1"/>
  <c r="L8" i="6"/>
  <c r="E8" i="6" s="1"/>
  <c r="M8" i="6"/>
  <c r="K20" i="1"/>
  <c r="G20" i="1"/>
  <c r="J9" i="6"/>
  <c r="AK9" i="6"/>
  <c r="K9" i="6" s="1"/>
  <c r="K11" i="6"/>
  <c r="I14" i="1"/>
  <c r="H9" i="1"/>
  <c r="J9" i="1"/>
  <c r="L17" i="4"/>
  <c r="E17" i="4" s="1"/>
  <c r="M19" i="1"/>
  <c r="H19" i="1"/>
  <c r="L12" i="3"/>
  <c r="E12" i="3" s="1"/>
  <c r="M12" i="3"/>
  <c r="AB7" i="7"/>
  <c r="K11" i="3"/>
  <c r="H11" i="3"/>
  <c r="J11" i="3"/>
  <c r="AK10" i="4"/>
  <c r="O10" i="4" s="1"/>
  <c r="E10" i="4" s="1"/>
  <c r="K18" i="2"/>
  <c r="AN9" i="4"/>
  <c r="AK9" i="4" s="1"/>
  <c r="O9" i="4" s="1"/>
  <c r="E9" i="4" s="1"/>
  <c r="BP9" i="4"/>
  <c r="AL10" i="4"/>
  <c r="J8" i="4"/>
  <c r="I8" i="4"/>
  <c r="K8" i="4"/>
  <c r="AN12" i="4"/>
  <c r="AP13" i="4"/>
  <c r="AM13" i="4" s="1"/>
  <c r="I12" i="4"/>
  <c r="H12" i="4"/>
  <c r="G12" i="4"/>
  <c r="I7" i="4"/>
  <c r="J7" i="4"/>
  <c r="I14" i="4"/>
  <c r="H14" i="4"/>
  <c r="K7" i="8"/>
  <c r="H7" i="8"/>
  <c r="I7" i="8"/>
  <c r="H18" i="4"/>
  <c r="G18" i="4"/>
  <c r="I18" i="4"/>
  <c r="J7" i="3"/>
  <c r="I7" i="3"/>
  <c r="M13" i="6"/>
  <c r="AM13" i="6" s="1"/>
  <c r="N13" i="6" s="1"/>
  <c r="E13" i="6" s="1"/>
  <c r="I20" i="1"/>
  <c r="L19" i="2"/>
  <c r="M19" i="2" s="1"/>
  <c r="E19" i="2" s="1"/>
  <c r="K10" i="2"/>
  <c r="BI11" i="4"/>
  <c r="CK12" i="4"/>
  <c r="AO12" i="4"/>
  <c r="BW7" i="1"/>
  <c r="AO7" i="1"/>
  <c r="AL7" i="1" s="1"/>
  <c r="G8" i="7"/>
  <c r="I8" i="7"/>
  <c r="H8" i="7"/>
  <c r="H7" i="6"/>
  <c r="U7" i="6"/>
  <c r="K7" i="6" s="1"/>
  <c r="H10" i="6"/>
  <c r="K7" i="4"/>
  <c r="K12" i="4"/>
  <c r="J19" i="1"/>
  <c r="I10" i="6"/>
  <c r="K7" i="3"/>
  <c r="M14" i="2"/>
  <c r="E14" i="2" s="1"/>
  <c r="I12" i="1"/>
  <c r="I9" i="1"/>
  <c r="I11" i="3"/>
  <c r="J12" i="4"/>
  <c r="O10" i="8"/>
  <c r="E10" i="8" s="1"/>
  <c r="AC17" i="2"/>
  <c r="K17" i="2" s="1"/>
  <c r="H17" i="2"/>
  <c r="G17" i="2"/>
  <c r="J17" i="2"/>
  <c r="I17" i="2"/>
  <c r="J13" i="2"/>
  <c r="I9" i="6"/>
  <c r="M8" i="1"/>
  <c r="AL8" i="1" s="1"/>
  <c r="E14" i="6"/>
  <c r="I13" i="4"/>
  <c r="K14" i="4"/>
  <c r="K12" i="1"/>
  <c r="L11" i="4"/>
  <c r="AK11" i="4" s="1"/>
  <c r="O11" i="4" s="1"/>
  <c r="E11" i="4" s="1"/>
  <c r="M11" i="4"/>
  <c r="AL11" i="4" s="1"/>
  <c r="J8" i="7"/>
  <c r="O8" i="7"/>
  <c r="BP7" i="4"/>
  <c r="AO7" i="4"/>
  <c r="J15" i="1"/>
  <c r="I15" i="1"/>
  <c r="AO10" i="1"/>
  <c r="BB10" i="1"/>
  <c r="AN9" i="1"/>
  <c r="BI9" i="1"/>
  <c r="L13" i="3"/>
  <c r="E13" i="3" s="1"/>
  <c r="M13" i="3"/>
  <c r="L13" i="5"/>
  <c r="E13" i="5" s="1"/>
  <c r="M7" i="7"/>
  <c r="AC7" i="7" s="1"/>
  <c r="J11" i="1"/>
  <c r="M14" i="6"/>
  <c r="I9" i="4"/>
  <c r="H13" i="4"/>
  <c r="AB8" i="8"/>
  <c r="O8" i="8" s="1"/>
  <c r="E8" i="8" s="1"/>
  <c r="K9" i="1"/>
  <c r="L15" i="1"/>
  <c r="M15" i="1"/>
  <c r="H10" i="4"/>
  <c r="I10" i="4"/>
  <c r="U10" i="6"/>
  <c r="K10" i="6" s="1"/>
  <c r="K8" i="7"/>
  <c r="U9" i="2"/>
  <c r="K9" i="2" s="1"/>
  <c r="I9" i="2"/>
  <c r="J9" i="2"/>
  <c r="I11" i="2"/>
  <c r="U11" i="2"/>
  <c r="K11" i="2" s="1"/>
  <c r="U15" i="2"/>
  <c r="K15" i="2" s="1"/>
  <c r="H15" i="2"/>
  <c r="J7" i="2"/>
  <c r="H7" i="2"/>
  <c r="AC7" i="2"/>
  <c r="K7" i="2" s="1"/>
  <c r="J16" i="2"/>
  <c r="AC16" i="2"/>
  <c r="K16" i="2" s="1"/>
  <c r="I12" i="2"/>
  <c r="J12" i="2"/>
  <c r="H12" i="2"/>
  <c r="AC12" i="2"/>
  <c r="I18" i="2"/>
  <c r="G18" i="2"/>
  <c r="H18" i="2"/>
  <c r="J18" i="2"/>
  <c r="J10" i="6"/>
  <c r="H12" i="1"/>
  <c r="J7" i="1"/>
  <c r="H20" i="1"/>
  <c r="J20" i="1"/>
  <c r="O9" i="8"/>
  <c r="E9" i="8" s="1"/>
  <c r="J10" i="4"/>
  <c r="O15" i="1"/>
  <c r="E15" i="1" s="1"/>
  <c r="AU7" i="4"/>
  <c r="I11" i="4"/>
  <c r="H11" i="4"/>
  <c r="K13" i="4"/>
  <c r="K19" i="4"/>
  <c r="I19" i="4"/>
  <c r="H10" i="1"/>
  <c r="K10" i="1"/>
  <c r="J10" i="1"/>
  <c r="I19" i="1"/>
  <c r="BI10" i="1"/>
  <c r="AN10" i="1"/>
  <c r="O10" i="5"/>
  <c r="J13" i="3"/>
  <c r="G10" i="5"/>
  <c r="G13" i="3"/>
  <c r="J14" i="1"/>
  <c r="J19" i="4"/>
  <c r="J10" i="5"/>
  <c r="H13" i="3"/>
  <c r="K10" i="5"/>
  <c r="G14" i="1"/>
  <c r="M10" i="1" l="1"/>
  <c r="L10" i="1"/>
  <c r="L7" i="8"/>
  <c r="AB7" i="8" s="1"/>
  <c r="O7" i="8" s="1"/>
  <c r="E7" i="8" s="1"/>
  <c r="M7" i="8"/>
  <c r="AC7" i="8" s="1"/>
  <c r="L19" i="4"/>
  <c r="M19" i="4"/>
  <c r="L9" i="6"/>
  <c r="M9" i="6" s="1"/>
  <c r="AM9" i="6" s="1"/>
  <c r="N9" i="6" s="1"/>
  <c r="E9" i="6" s="1"/>
  <c r="M9" i="1"/>
  <c r="AL9" i="1" s="1"/>
  <c r="L9" i="1"/>
  <c r="AK9" i="1" s="1"/>
  <c r="O9" i="1" s="1"/>
  <c r="E9" i="1" s="1"/>
  <c r="L7" i="6"/>
  <c r="M7" i="6" s="1"/>
  <c r="AM7" i="6" s="1"/>
  <c r="N7" i="6" s="1"/>
  <c r="E7" i="6" s="1"/>
  <c r="L10" i="5"/>
  <c r="M10" i="5"/>
  <c r="L13" i="4"/>
  <c r="AK13" i="4" s="1"/>
  <c r="M13" i="4"/>
  <c r="AL13" i="4" s="1"/>
  <c r="M8" i="7"/>
  <c r="L8" i="7"/>
  <c r="M7" i="4"/>
  <c r="AL7" i="4" s="1"/>
  <c r="L7" i="4"/>
  <c r="AK7" i="4" s="1"/>
  <c r="M12" i="1"/>
  <c r="L12" i="1"/>
  <c r="E12" i="1" s="1"/>
  <c r="L9" i="2"/>
  <c r="M9" i="2"/>
  <c r="AM9" i="2" s="1"/>
  <c r="N9" i="2" s="1"/>
  <c r="E9" i="2" s="1"/>
  <c r="L10" i="2"/>
  <c r="M10" i="2"/>
  <c r="AM10" i="2" s="1"/>
  <c r="N10" i="2" s="1"/>
  <c r="E10" i="2" s="1"/>
  <c r="L10" i="6"/>
  <c r="E10" i="6" s="1"/>
  <c r="M10" i="6"/>
  <c r="L17" i="2"/>
  <c r="M17" i="2"/>
  <c r="E17" i="2"/>
  <c r="L16" i="2"/>
  <c r="M14" i="4"/>
  <c r="L14" i="4"/>
  <c r="E14" i="4" s="1"/>
  <c r="L7" i="3"/>
  <c r="AE7" i="3" s="1"/>
  <c r="M7" i="3"/>
  <c r="AF7" i="3" s="1"/>
  <c r="L8" i="4"/>
  <c r="AK8" i="4" s="1"/>
  <c r="M8" i="4"/>
  <c r="AL8" i="4" s="1"/>
  <c r="L20" i="1"/>
  <c r="M20" i="1"/>
  <c r="L11" i="3"/>
  <c r="M11" i="3"/>
  <c r="E11" i="3" s="1"/>
  <c r="L11" i="6"/>
  <c r="M11" i="6"/>
  <c r="AM11" i="6" s="1"/>
  <c r="N11" i="6" s="1"/>
  <c r="E11" i="6" s="1"/>
  <c r="L12" i="2"/>
  <c r="E12" i="2" s="1"/>
  <c r="M12" i="2"/>
  <c r="L7" i="2"/>
  <c r="M7" i="2"/>
  <c r="AM7" i="2" s="1"/>
  <c r="N7" i="2" s="1"/>
  <c r="E7" i="2" s="1"/>
  <c r="L18" i="2"/>
  <c r="M18" i="2" s="1"/>
  <c r="E18" i="2" s="1"/>
  <c r="E10" i="5"/>
  <c r="AK10" i="1"/>
  <c r="O10" i="1" s="1"/>
  <c r="E10" i="1" s="1"/>
  <c r="E8" i="7"/>
  <c r="L15" i="2"/>
  <c r="M15" i="2"/>
  <c r="E15" i="2" s="1"/>
  <c r="L11" i="2"/>
  <c r="E11" i="2" s="1"/>
  <c r="M11" i="2"/>
  <c r="AL10" i="1"/>
  <c r="L12" i="4"/>
  <c r="AK12" i="4" s="1"/>
  <c r="O12" i="4" s="1"/>
  <c r="E12" i="4" s="1"/>
  <c r="M12" i="4"/>
  <c r="AL12" i="4" s="1"/>
  <c r="O7" i="7"/>
  <c r="E7" i="7" s="1"/>
  <c r="L14" i="1"/>
  <c r="M14" i="1"/>
  <c r="E14" i="1" l="1"/>
  <c r="E19" i="4"/>
  <c r="O8" i="4"/>
  <c r="E8" i="4" s="1"/>
  <c r="O7" i="3"/>
  <c r="E7" i="3" s="1"/>
  <c r="O13" i="4"/>
  <c r="E13" i="4" s="1"/>
  <c r="M16" i="2"/>
  <c r="E16" i="2" s="1"/>
  <c r="E20" i="1"/>
  <c r="O7" i="4"/>
  <c r="E7" i="4" s="1"/>
</calcChain>
</file>

<file path=xl/sharedStrings.xml><?xml version="1.0" encoding="utf-8"?>
<sst xmlns="http://schemas.openxmlformats.org/spreadsheetml/2006/main" count="1380" uniqueCount="158">
  <si>
    <t>VOL1</t>
  </si>
  <si>
    <t>VOL2</t>
  </si>
  <si>
    <t>PRELIM</t>
  </si>
  <si>
    <t>FINAL</t>
  </si>
  <si>
    <t>BEST</t>
  </si>
  <si>
    <t>VOL 1</t>
  </si>
  <si>
    <t>VOL 2</t>
  </si>
  <si>
    <t>POINTS</t>
  </si>
  <si>
    <t>TOTAL</t>
  </si>
  <si>
    <t>TEAM</t>
  </si>
  <si>
    <t>INTERNATIONAL</t>
  </si>
  <si>
    <t>RESULTS</t>
  </si>
  <si>
    <t>DOMESTIC</t>
  </si>
  <si>
    <t>STD</t>
  </si>
  <si>
    <t>FUND</t>
  </si>
  <si>
    <t>DIFF</t>
  </si>
  <si>
    <t>DIFFERENTIAL</t>
  </si>
  <si>
    <t>PER ROUND</t>
  </si>
  <si>
    <t>TRAMPOLINE</t>
  </si>
  <si>
    <t>SENIOR</t>
  </si>
  <si>
    <t>WOMEN</t>
  </si>
  <si>
    <t>RANKING</t>
  </si>
  <si>
    <t>MEN</t>
  </si>
  <si>
    <t>PROV</t>
  </si>
  <si>
    <t>ON</t>
  </si>
  <si>
    <t>QC</t>
  </si>
  <si>
    <t>BC</t>
  </si>
  <si>
    <t>AB</t>
  </si>
  <si>
    <t>DOUBLE-MINI</t>
  </si>
  <si>
    <t>PREL 1</t>
  </si>
  <si>
    <t>PREL 2</t>
  </si>
  <si>
    <t>PASS 1</t>
  </si>
  <si>
    <t>PASS 2</t>
  </si>
  <si>
    <t>TUMBLING</t>
  </si>
  <si>
    <t>MIN</t>
  </si>
  <si>
    <t>SYNCHRO</t>
  </si>
  <si>
    <t>PASS</t>
  </si>
  <si>
    <t>FINAL 1</t>
  </si>
  <si>
    <t>FINAL 2</t>
  </si>
  <si>
    <t>TOT F</t>
  </si>
  <si>
    <t>TOT P</t>
  </si>
  <si>
    <t>PREL</t>
  </si>
  <si>
    <t>RANK</t>
  </si>
  <si>
    <t>MERIT</t>
  </si>
  <si>
    <t>YEAR</t>
  </si>
  <si>
    <t>IN SR</t>
  </si>
  <si>
    <t>MIN DD</t>
  </si>
  <si>
    <t>YES</t>
  </si>
  <si>
    <t>WAGC results not included because the rules are not the same as Senior</t>
  </si>
  <si>
    <t>NO</t>
  </si>
  <si>
    <t>*** Please refer to the DD Tracker file</t>
  </si>
  <si>
    <t>SMITH, Samantha</t>
  </si>
  <si>
    <t>TIME 1</t>
  </si>
  <si>
    <t>TIME 2</t>
  </si>
  <si>
    <t>TIME F</t>
  </si>
  <si>
    <t>TIME1</t>
  </si>
  <si>
    <t>Tracking for International Meet only done while part of the Canadian Team</t>
  </si>
  <si>
    <t>*** In order to obtain the Team, Funding or Merit Score, Senior Men must also perform a DD of 15.6 in prelims or finals twice in a competition during the year (one of these competition must be one of the 3 National Trials)</t>
  </si>
  <si>
    <t>*** In order to obtain the Team, Funding or Merit Score, Senior Women must also perform a DD of 11.6 in prelims or finals twice in a competition during the year (one of these competition must be one of the 3 National Trials)</t>
  </si>
  <si>
    <t>VACHON, Denis</t>
  </si>
  <si>
    <t>*** In order to obtain the Team, Funding or Merit Score, Senior Men must also perform a DD of 10.6 in prelims or finals twice in a competition during the year (one of these must come from preliminary AND one of these must come from one of the 3 National Trials)</t>
  </si>
  <si>
    <t>SCHWAIGER, Jonathon</t>
  </si>
  <si>
    <t>*** In order to obtain the Team, Funding or Merit Score, Senior Women must also perform a 13.3 twice in a competition during the year (one of these competition must be one of the 3 National Trials)</t>
  </si>
  <si>
    <t>*** In order to obtain the Team, Funding or Merit Score, Senior Men must also perform a 16.0 twice in a competition during the year (one of these competition must be one of the 3 National Trials)</t>
  </si>
  <si>
    <t>SOEHN, Keegan</t>
  </si>
  <si>
    <t>TOMALTY, Connar</t>
  </si>
  <si>
    <t>ARMSTRONG, Mark</t>
  </si>
  <si>
    <t>FALCONER, Brittany</t>
  </si>
  <si>
    <t>DESCHÊNES, Cloé</t>
  </si>
  <si>
    <t>QUINLAN, Poppy</t>
  </si>
  <si>
    <t>O'BRIEN, Tamara</t>
  </si>
  <si>
    <t>KENT, Colton</t>
  </si>
  <si>
    <t>SENDEL, Samantha</t>
  </si>
  <si>
    <t>Scores from Junior</t>
  </si>
  <si>
    <t>DUFOUR, Karine</t>
  </si>
  <si>
    <t>Méthot &amp; Millette</t>
  </si>
  <si>
    <t>HESMERT, Tiana</t>
  </si>
  <si>
    <t>(Finals)</t>
  </si>
  <si>
    <t>(Semi-Finals)</t>
  </si>
  <si>
    <t>** DUNDAS, Bronte</t>
  </si>
  <si>
    <t>JACKSON, Nicholas</t>
  </si>
  <si>
    <t>** FINDLAY, David</t>
  </si>
  <si>
    <t>*** In order to obtain the Team, Funding or Merit Score, Senior Men must also perform a DD of 15.1 in prelims or finals twice in a competition during the year (one of these must come from preliminary AND one of these must come from one of the 3 National Trials)</t>
  </si>
  <si>
    <t>** SUGRIM, Jordan</t>
  </si>
  <si>
    <t>GRUBER, Danielle</t>
  </si>
  <si>
    <t>WHEATLEY, Sarah</t>
  </si>
  <si>
    <t>MILLER-BURKO, Jordyn</t>
  </si>
  <si>
    <t>CARRAGHER, Kyle</t>
  </si>
  <si>
    <t>BRUNO, Mario</t>
  </si>
  <si>
    <t>*** It will be expected but not enforced that a minimum difficulty must be achieve over 4 passes as well (this minimum DD is set to 5.2)</t>
  </si>
  <si>
    <t>*** It will be expected but not enforced that a minimum difficulty must be achieve over 4 passes as well (this minimum DD is set to 7.2)</t>
  </si>
  <si>
    <t>** Injury scores for all rounds are now based on average scores from the last 2 domestic qualifications</t>
  </si>
  <si>
    <t>2015 WORLD CUP SERIES</t>
  </si>
  <si>
    <t>Toronto, CAN, July 2015</t>
  </si>
  <si>
    <t>2015 PAN AMERICAN GAMES</t>
  </si>
  <si>
    <t>** CHARPENTIER-LECLERC, Junior</t>
  </si>
  <si>
    <t>BROWNE, Huston</t>
  </si>
  <si>
    <t>LISKO, Hayley</t>
  </si>
  <si>
    <t>THEODORE, Craig</t>
  </si>
  <si>
    <t>MARTEL, Jean-Christophe</t>
  </si>
  <si>
    <t>Liverpool, GBR, September 2015</t>
  </si>
  <si>
    <t>VILLOTTE, Raphaëlle</t>
  </si>
  <si>
    <t>Deschênes &amp; Dundas</t>
  </si>
  <si>
    <t>QC-ON</t>
  </si>
  <si>
    <t>2015 BRITISH CHAMPIONSHIPS</t>
  </si>
  <si>
    <t>Mouilleron-le-Captif, FRA, October 2015</t>
  </si>
  <si>
    <t>Loulé, POR, October 2015</t>
  </si>
  <si>
    <t>2015 WORLD CHAMPIONSHIPS</t>
  </si>
  <si>
    <t>Odense, DEN, November 2015</t>
  </si>
  <si>
    <t>(Team Finals)</t>
  </si>
  <si>
    <t>2015 WORLD AGE GROUPS</t>
  </si>
  <si>
    <t>(2nd Vol Routine only in Prelims)</t>
  </si>
  <si>
    <t>PanAms and Worlds Team Finals cannot be used to replace a score from a salto pass or a twisting pass</t>
  </si>
  <si>
    <r>
      <t xml:space="preserve">2015 BRITISH NATIONALS </t>
    </r>
    <r>
      <rPr>
        <i/>
        <sz val="10"/>
        <rFont val="Arial"/>
        <family val="2"/>
      </rPr>
      <t>(3rd domestic trial)</t>
    </r>
  </si>
  <si>
    <r>
      <t xml:space="preserve">2015 BRITISH NATIONALS </t>
    </r>
    <r>
      <rPr>
        <i/>
        <sz val="10"/>
        <rFont val="Arial"/>
        <family val="2"/>
      </rPr>
      <t>(3rd trial)</t>
    </r>
  </si>
  <si>
    <t>2016 CANADA CUP</t>
  </si>
  <si>
    <t>Kamloops, BC, March 2016</t>
  </si>
  <si>
    <t>BURNETT, Jason</t>
  </si>
  <si>
    <t>MÉTHOT, Sophiane</t>
  </si>
  <si>
    <t>MILETTE, Sarah</t>
  </si>
  <si>
    <t>2015 JAPAN OPEN</t>
  </si>
  <si>
    <t>Kawasaki, JPN, December 2015</t>
  </si>
  <si>
    <t>HAIMES, Devon</t>
  </si>
  <si>
    <t>CLARKE, Elias</t>
  </si>
  <si>
    <t>ROWDEN, John</t>
  </si>
  <si>
    <t>MAGAIG, Hailey</t>
  </si>
  <si>
    <t>OH, Arden</t>
  </si>
  <si>
    <t>** TEMPLETON, Erin</t>
  </si>
  <si>
    <t>** Cirone &amp; Tam</t>
  </si>
  <si>
    <t>SHUH, Nathan</t>
  </si>
  <si>
    <t>WHEATLEY, Kieran</t>
  </si>
  <si>
    <t>Chateauvert &amp; Lavallée</t>
  </si>
  <si>
    <t>ARMSTRONG, Douglas</t>
  </si>
  <si>
    <t>STIRLING, Trevor</t>
  </si>
  <si>
    <t>2016 AQUECE RIO TEST EVENT</t>
  </si>
  <si>
    <t>Rio de Janeiro, BRA, April 2016</t>
  </si>
  <si>
    <t>2016 WORLD CUP SERIES</t>
  </si>
  <si>
    <t>Shanghai, CHN, May 2016</t>
  </si>
  <si>
    <t>2016 NATIONALS</t>
  </si>
  <si>
    <t>Edmonton, AB, June 2016</t>
  </si>
  <si>
    <t>JUNE 2016</t>
  </si>
  <si>
    <t>MASSÉ, Gabriel</t>
  </si>
  <si>
    <t>ARSENAULT, Jonathan</t>
  </si>
  <si>
    <t>DAGENAIS, Frédéric</t>
  </si>
  <si>
    <t>Chartier &amp; Lagacé</t>
  </si>
  <si>
    <t>Soehn, Ke. &amp; Soehn,Ky.</t>
  </si>
  <si>
    <t>Gerein &amp; Stirling</t>
  </si>
  <si>
    <t>Fernandes &amp; Roux</t>
  </si>
  <si>
    <t>DWORAK, Matthew</t>
  </si>
  <si>
    <t>SENIOR, Benjamin</t>
  </si>
  <si>
    <t>ABOURAJA, Nora</t>
  </si>
  <si>
    <t>HUMBERSTONE, Joey</t>
  </si>
  <si>
    <t>CREMER, Loic</t>
  </si>
  <si>
    <t>** COCKBURN, Karen</t>
  </si>
  <si>
    <t>SOEHN, Kyle</t>
  </si>
  <si>
    <t>GEREIN, Curtis</t>
  </si>
  <si>
    <t>CHAVES, Michael</t>
  </si>
  <si>
    <t>MacLENNAN, Rosannagh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</si>
</sst>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\(0.00\)"/>
    <numFmt numFmtId="165" formatCode="0.000"/>
    <numFmt numFmtId="166" formatCode="0.0"/>
  </numFmts>
  <fonts count="26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9"/>
      <name val="Arial"/>
      <family val="2"/>
    </font>
    <font>
      <sz val="10"/>
      <color indexed="52"/>
      <name val="Arial"/>
      <family val="2"/>
    </font>
    <font>
      <b/>
      <sz val="10"/>
      <color indexed="5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61"/>
      <name val="Arial"/>
      <family val="2"/>
    </font>
    <font>
      <b/>
      <sz val="10"/>
      <color indexed="55"/>
      <name val="Arial"/>
      <family val="2"/>
    </font>
    <font>
      <sz val="10"/>
      <color indexed="61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0"/>
      <color indexed="23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trike/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9900"/>
      <name val="Arial"/>
      <family val="2"/>
    </font>
    <font>
      <b/>
      <sz val="10"/>
      <color theme="0" tint="-0.3499862666707357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7" fontId="1" fillId="0" borderId="0" xfId="0" quotePrefix="1" applyNumberFormat="1" applyFont="1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17" fontId="3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164" fontId="0" fillId="0" borderId="1" xfId="0" applyNumberForma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" fontId="13" fillId="0" borderId="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1" xfId="0" applyBorder="1"/>
    <xf numFmtId="0" fontId="3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1" fontId="17" fillId="0" borderId="0" xfId="0" applyNumberFormat="1" applyFont="1" applyFill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" fillId="4" borderId="0" xfId="0" applyFont="1" applyFill="1" applyBorder="1"/>
    <xf numFmtId="0" fontId="0" fillId="4" borderId="0" xfId="0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5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" xfId="0" applyFill="1" applyBorder="1"/>
    <xf numFmtId="0" fontId="1" fillId="6" borderId="0" xfId="0" applyFont="1" applyFill="1" applyBorder="1"/>
    <xf numFmtId="0" fontId="2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0" fontId="3" fillId="0" borderId="1" xfId="0" applyFont="1" applyBorder="1"/>
    <xf numFmtId="1" fontId="12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165" fontId="0" fillId="0" borderId="0" xfId="0" applyNumberFormat="1" applyFill="1" applyBorder="1"/>
    <xf numFmtId="165" fontId="0" fillId="0" borderId="0" xfId="0" applyNumberFormat="1" applyBorder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0" fillId="0" borderId="2" xfId="0" applyNumberFormat="1" applyBorder="1"/>
    <xf numFmtId="165" fontId="1" fillId="0" borderId="0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4" fillId="0" borderId="0" xfId="0" quotePrefix="1" applyNumberFormat="1" applyFont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165" fontId="4" fillId="0" borderId="0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165" fontId="0" fillId="0" borderId="1" xfId="0" applyNumberFormat="1" applyFill="1" applyBorder="1"/>
    <xf numFmtId="165" fontId="10" fillId="4" borderId="0" xfId="0" applyNumberFormat="1" applyFont="1" applyFill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3" fillId="0" borderId="0" xfId="0" applyNumberFormat="1" applyFont="1" applyBorder="1"/>
    <xf numFmtId="165" fontId="0" fillId="0" borderId="2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/>
    <xf numFmtId="0" fontId="3" fillId="5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23" fillId="0" borderId="0" xfId="0" applyNumberFormat="1" applyFont="1" applyFill="1" applyAlignment="1">
      <alignment horizontal="center"/>
    </xf>
    <xf numFmtId="2" fontId="22" fillId="0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165" fontId="22" fillId="0" borderId="0" xfId="0" applyNumberFormat="1" applyFont="1" applyFill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165" fontId="0" fillId="0" borderId="2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5" fontId="3" fillId="0" borderId="0" xfId="0" applyNumberFormat="1" applyFont="1" applyFill="1" applyBorder="1"/>
    <xf numFmtId="165" fontId="3" fillId="0" borderId="1" xfId="0" applyNumberFormat="1" applyFont="1" applyFill="1" applyBorder="1"/>
    <xf numFmtId="165" fontId="3" fillId="0" borderId="2" xfId="0" applyNumberFormat="1" applyFont="1" applyFill="1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17" fillId="4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8" borderId="0" xfId="0" applyFont="1" applyFill="1" applyBorder="1"/>
    <xf numFmtId="0" fontId="3" fillId="8" borderId="0" xfId="0" applyFont="1" applyFill="1" applyBorder="1" applyAlignment="1">
      <alignment horizontal="center"/>
    </xf>
    <xf numFmtId="1" fontId="25" fillId="0" borderId="2" xfId="0" applyNumberFormat="1" applyFont="1" applyFill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9" borderId="0" xfId="0" quotePrefix="1" applyFont="1" applyFill="1" applyBorder="1"/>
    <xf numFmtId="0" fontId="0" fillId="9" borderId="0" xfId="0" applyFill="1" applyBorder="1" applyAlignment="1">
      <alignment horizontal="center"/>
    </xf>
    <xf numFmtId="1" fontId="3" fillId="9" borderId="0" xfId="0" applyNumberFormat="1" applyFont="1" applyFill="1" applyBorder="1" applyAlignment="1">
      <alignment horizontal="center"/>
    </xf>
    <xf numFmtId="165" fontId="0" fillId="9" borderId="0" xfId="0" applyNumberForma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22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0" fontId="20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0" fillId="4" borderId="2" xfId="0" applyNumberFormat="1" applyFill="1" applyBorder="1" applyAlignment="1">
      <alignment horizontal="center"/>
    </xf>
    <xf numFmtId="165" fontId="22" fillId="3" borderId="0" xfId="0" applyNumberFormat="1" applyFont="1" applyFill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0" borderId="0" xfId="0" applyNumberFormat="1" applyFont="1" applyFill="1" applyBorder="1" applyAlignment="1">
      <alignment horizontal="center"/>
    </xf>
    <xf numFmtId="2" fontId="3" fillId="10" borderId="2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0" fillId="0" borderId="0" xfId="0" applyFont="1" applyFill="1" applyBorder="1"/>
    <xf numFmtId="0" fontId="0" fillId="0" borderId="0" xfId="0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1" fontId="13" fillId="4" borderId="2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165" fontId="19" fillId="0" borderId="1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165" fontId="19" fillId="0" borderId="2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9" fillId="0" borderId="2" xfId="0" applyFont="1" applyBorder="1" applyAlignment="1">
      <alignment horizontal="center"/>
    </xf>
    <xf numFmtId="165" fontId="19" fillId="0" borderId="1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19" fillId="0" borderId="2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9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9"/>
  <sheetViews>
    <sheetView tabSelected="1" view="pageBreakPreview" zoomScale="134" zoomScaleNormal="80" zoomScaleSheetLayoutView="80" workbookViewId="0">
      <pane xSplit="3" ySplit="5" topLeftCell="V6" activePane="bottomRight" state="frozen"/>
      <selection pane="topRight" activeCell="D1" sqref="D1"/>
      <selection pane="bottomLeft" activeCell="A6" sqref="A6"/>
      <selection pane="bottomRight" activeCell="W7" sqref="W7"/>
    </sheetView>
  </sheetViews>
  <sheetFormatPr baseColWidth="10" defaultColWidth="9.1640625" defaultRowHeight="13" x14ac:dyDescent="0.15"/>
  <cols>
    <col min="1" max="1" width="5.6640625" style="11" customWidth="1"/>
    <col min="2" max="2" width="25.6640625" style="13" customWidth="1"/>
    <col min="3" max="4" width="7.6640625" style="11" customWidth="1"/>
    <col min="5" max="6" width="8.6640625" style="125" customWidth="1"/>
    <col min="7" max="7" width="8.6640625" style="124" customWidth="1"/>
    <col min="8" max="8" width="8.6640625" style="169" customWidth="1"/>
    <col min="9" max="10" width="8.6640625" style="185" customWidth="1"/>
    <col min="11" max="15" width="8.6640625" style="125" customWidth="1"/>
    <col min="16" max="29" width="9.1640625" style="516" customWidth="1"/>
    <col min="30" max="42" width="9.1640625" style="125" customWidth="1"/>
    <col min="43" max="45" width="9.1640625" style="150"/>
    <col min="46" max="46" width="9.1640625" style="150" customWidth="1"/>
    <col min="47" max="48" width="9.1640625" style="150"/>
    <col min="49" max="49" width="9.1640625" style="150" customWidth="1"/>
    <col min="50" max="52" width="9.1640625" style="150"/>
    <col min="53" max="53" width="9.1640625" style="150" customWidth="1"/>
    <col min="54" max="55" width="9.1640625" style="150"/>
    <col min="56" max="56" width="9.1640625" style="150" customWidth="1"/>
    <col min="57" max="61" width="9.1640625" style="516"/>
    <col min="62" max="63" width="9.1640625" style="513"/>
    <col min="64" max="66" width="9.1640625" style="150"/>
    <col min="67" max="67" width="9.1640625" style="150" customWidth="1"/>
    <col min="68" max="69" width="9.1640625" style="150"/>
    <col min="70" max="70" width="9.1640625" style="150" customWidth="1"/>
    <col min="71" max="75" width="9.1640625" style="516"/>
    <col min="76" max="77" width="9.1640625" style="513"/>
    <col min="78" max="82" width="9.1640625" style="399"/>
    <col min="83" max="84" width="9.1640625" style="398"/>
    <col min="85" max="89" width="9.1640625" style="399"/>
    <col min="90" max="91" width="9.1640625" style="398"/>
    <col min="92" max="96" width="9.1640625" style="362"/>
    <col min="97" max="98" width="9.1640625" style="363"/>
    <col min="99" max="103" width="9.1640625" style="226"/>
    <col min="104" max="105" width="9.1640625" style="227"/>
    <col min="106" max="108" width="9.1640625" style="150"/>
    <col min="109" max="109" width="9.1640625" style="150" customWidth="1"/>
    <col min="110" max="111" width="9.1640625" style="150"/>
    <col min="112" max="112" width="9.1640625" style="150" customWidth="1"/>
    <col min="113" max="115" width="9.1640625" style="150"/>
    <col min="116" max="116" width="9.1640625" style="150" customWidth="1"/>
    <col min="117" max="118" width="9.1640625" style="150"/>
    <col min="119" max="119" width="9.1640625" style="150" customWidth="1"/>
    <col min="120" max="122" width="9.1640625" style="150"/>
    <col min="123" max="123" width="9.1640625" style="150" customWidth="1"/>
    <col min="124" max="125" width="9.1640625" style="150"/>
    <col min="126" max="126" width="9.1640625" style="150" customWidth="1"/>
    <col min="127" max="127" width="9.1640625" style="4"/>
    <col min="128" max="128" width="9.1640625" style="125"/>
    <col min="129" max="129" width="9.1640625" style="4"/>
    <col min="130" max="131" width="9.1640625" style="125"/>
    <col min="132" max="132" width="9.1640625" style="74"/>
    <col min="133" max="133" width="9.1640625" style="131"/>
    <col min="134" max="134" width="9.1640625" style="13"/>
    <col min="135" max="135" width="9.1640625" style="150"/>
    <col min="136" max="136" width="9.1640625" style="13"/>
    <col min="137" max="138" width="9.1640625" style="150"/>
    <col min="139" max="139" width="9.1640625" style="13"/>
    <col min="140" max="140" width="9.1640625" style="150"/>
    <col min="141" max="141" width="9.1640625" style="13"/>
    <col min="142" max="142" width="9.1640625" style="150"/>
    <col min="143" max="143" width="9.1640625" style="13"/>
    <col min="144" max="145" width="9.1640625" style="150"/>
    <col min="146" max="146" width="9.1640625" style="13"/>
    <col min="147" max="147" width="9.1640625" style="150"/>
    <col min="148" max="16384" width="9.1640625" style="13"/>
  </cols>
  <sheetData>
    <row r="1" spans="1:148" customFormat="1" x14ac:dyDescent="0.15">
      <c r="A1" s="20" t="s">
        <v>140</v>
      </c>
      <c r="B1" s="17" t="s">
        <v>19</v>
      </c>
      <c r="C1" s="17"/>
      <c r="D1" s="344"/>
      <c r="E1" s="146"/>
      <c r="F1" s="155"/>
      <c r="G1" s="124"/>
      <c r="H1" s="453">
        <v>98.8</v>
      </c>
      <c r="I1" s="168"/>
      <c r="J1" s="168"/>
      <c r="K1" s="570" t="s">
        <v>12</v>
      </c>
      <c r="L1" s="571"/>
      <c r="M1" s="571"/>
      <c r="N1" s="572"/>
      <c r="O1" s="125"/>
      <c r="P1" s="567" t="s">
        <v>113</v>
      </c>
      <c r="Q1" s="568"/>
      <c r="R1" s="568"/>
      <c r="S1" s="568"/>
      <c r="T1" s="568"/>
      <c r="U1" s="568"/>
      <c r="V1" s="569"/>
      <c r="W1" s="567" t="s">
        <v>115</v>
      </c>
      <c r="X1" s="568"/>
      <c r="Y1" s="568"/>
      <c r="Z1" s="568"/>
      <c r="AA1" s="568"/>
      <c r="AB1" s="568"/>
      <c r="AC1" s="569"/>
      <c r="AD1" s="567" t="s">
        <v>138</v>
      </c>
      <c r="AE1" s="568"/>
      <c r="AF1" s="568"/>
      <c r="AG1" s="568"/>
      <c r="AH1" s="568"/>
      <c r="AI1" s="568"/>
      <c r="AJ1" s="569"/>
      <c r="AK1" s="570" t="s">
        <v>16</v>
      </c>
      <c r="AL1" s="571"/>
      <c r="AM1" s="571"/>
      <c r="AN1" s="570" t="s">
        <v>10</v>
      </c>
      <c r="AO1" s="571"/>
      <c r="AP1" s="571"/>
      <c r="AQ1" s="567" t="s">
        <v>94</v>
      </c>
      <c r="AR1" s="568"/>
      <c r="AS1" s="568"/>
      <c r="AT1" s="568"/>
      <c r="AU1" s="568"/>
      <c r="AV1" s="568"/>
      <c r="AW1" s="569"/>
      <c r="AX1" s="567" t="s">
        <v>92</v>
      </c>
      <c r="AY1" s="568"/>
      <c r="AZ1" s="568"/>
      <c r="BA1" s="568"/>
      <c r="BB1" s="568"/>
      <c r="BC1" s="568"/>
      <c r="BD1" s="569"/>
      <c r="BE1" s="567" t="s">
        <v>107</v>
      </c>
      <c r="BF1" s="568"/>
      <c r="BG1" s="568"/>
      <c r="BH1" s="568"/>
      <c r="BI1" s="568"/>
      <c r="BJ1" s="568"/>
      <c r="BK1" s="569"/>
      <c r="BL1" s="567" t="s">
        <v>107</v>
      </c>
      <c r="BM1" s="568"/>
      <c r="BN1" s="568"/>
      <c r="BO1" s="568"/>
      <c r="BP1" s="568"/>
      <c r="BQ1" s="568"/>
      <c r="BR1" s="569"/>
      <c r="BS1" s="567" t="s">
        <v>134</v>
      </c>
      <c r="BT1" s="568"/>
      <c r="BU1" s="568"/>
      <c r="BV1" s="568"/>
      <c r="BW1" s="568"/>
      <c r="BX1" s="568"/>
      <c r="BY1" s="569"/>
      <c r="BZ1" s="567"/>
      <c r="CA1" s="568"/>
      <c r="CB1" s="568"/>
      <c r="CC1" s="568"/>
      <c r="CD1" s="568"/>
      <c r="CE1" s="568"/>
      <c r="CF1" s="569"/>
      <c r="CG1" s="567"/>
      <c r="CH1" s="568"/>
      <c r="CI1" s="568"/>
      <c r="CJ1" s="568"/>
      <c r="CK1" s="568"/>
      <c r="CL1" s="568"/>
      <c r="CM1" s="569"/>
      <c r="CN1" s="567"/>
      <c r="CO1" s="568"/>
      <c r="CP1" s="568"/>
      <c r="CQ1" s="568"/>
      <c r="CR1" s="568"/>
      <c r="CS1" s="568"/>
      <c r="CT1" s="569"/>
      <c r="CU1" s="567"/>
      <c r="CV1" s="568"/>
      <c r="CW1" s="568"/>
      <c r="CX1" s="568"/>
      <c r="CY1" s="568"/>
      <c r="CZ1" s="568"/>
      <c r="DA1" s="569"/>
      <c r="DB1" s="564"/>
      <c r="DC1" s="565"/>
      <c r="DD1" s="565"/>
      <c r="DE1" s="565"/>
      <c r="DF1" s="565"/>
      <c r="DG1" s="565"/>
      <c r="DH1" s="566"/>
      <c r="DI1" s="564"/>
      <c r="DJ1" s="565"/>
      <c r="DK1" s="565"/>
      <c r="DL1" s="565"/>
      <c r="DM1" s="565"/>
      <c r="DN1" s="565"/>
      <c r="DO1" s="566"/>
      <c r="DP1" s="564"/>
      <c r="DQ1" s="565"/>
      <c r="DR1" s="565"/>
      <c r="DS1" s="565"/>
      <c r="DT1" s="565"/>
      <c r="DU1" s="565"/>
      <c r="DV1" s="566"/>
      <c r="DW1" s="575"/>
      <c r="DX1" s="576"/>
      <c r="DY1" s="576"/>
      <c r="DZ1" s="576"/>
      <c r="EA1" s="576"/>
      <c r="EB1" s="576"/>
      <c r="EC1" s="577"/>
      <c r="ED1" s="575"/>
      <c r="EE1" s="576"/>
      <c r="EF1" s="578"/>
      <c r="EG1" s="578"/>
      <c r="EH1" s="578"/>
      <c r="EI1" s="578"/>
      <c r="EJ1" s="579"/>
      <c r="EK1" s="575"/>
      <c r="EL1" s="576"/>
      <c r="EM1" s="578"/>
      <c r="EN1" s="578"/>
      <c r="EO1" s="578"/>
      <c r="EP1" s="578"/>
      <c r="EQ1" s="579"/>
      <c r="ER1" s="78"/>
    </row>
    <row r="2" spans="1:148" customFormat="1" x14ac:dyDescent="0.15">
      <c r="A2" s="72">
        <v>2016</v>
      </c>
      <c r="B2" s="18" t="s">
        <v>21</v>
      </c>
      <c r="C2" s="18"/>
      <c r="D2" s="18"/>
      <c r="E2" s="146"/>
      <c r="F2" s="155"/>
      <c r="G2" s="169"/>
      <c r="H2" s="155">
        <v>255</v>
      </c>
      <c r="I2" s="155">
        <v>262.2</v>
      </c>
      <c r="J2" s="155">
        <v>270.2</v>
      </c>
      <c r="K2" s="570" t="s">
        <v>11</v>
      </c>
      <c r="L2" s="571"/>
      <c r="M2" s="571"/>
      <c r="N2" s="572"/>
      <c r="O2" s="125"/>
      <c r="P2" s="567" t="s">
        <v>100</v>
      </c>
      <c r="Q2" s="568"/>
      <c r="R2" s="568"/>
      <c r="S2" s="568"/>
      <c r="T2" s="568"/>
      <c r="U2" s="568"/>
      <c r="V2" s="569"/>
      <c r="W2" s="567" t="s">
        <v>116</v>
      </c>
      <c r="X2" s="568"/>
      <c r="Y2" s="568"/>
      <c r="Z2" s="568"/>
      <c r="AA2" s="568"/>
      <c r="AB2" s="568"/>
      <c r="AC2" s="569"/>
      <c r="AD2" s="567" t="s">
        <v>139</v>
      </c>
      <c r="AE2" s="568"/>
      <c r="AF2" s="568"/>
      <c r="AG2" s="568"/>
      <c r="AH2" s="568"/>
      <c r="AI2" s="568"/>
      <c r="AJ2" s="569"/>
      <c r="AK2" s="570" t="s">
        <v>17</v>
      </c>
      <c r="AL2" s="571"/>
      <c r="AM2" s="572"/>
      <c r="AN2" s="570" t="s">
        <v>11</v>
      </c>
      <c r="AO2" s="571"/>
      <c r="AP2" s="572"/>
      <c r="AQ2" s="567" t="s">
        <v>93</v>
      </c>
      <c r="AR2" s="568"/>
      <c r="AS2" s="568"/>
      <c r="AT2" s="568"/>
      <c r="AU2" s="568"/>
      <c r="AV2" s="568"/>
      <c r="AW2" s="569"/>
      <c r="AX2" s="567" t="s">
        <v>106</v>
      </c>
      <c r="AY2" s="568"/>
      <c r="AZ2" s="568"/>
      <c r="BA2" s="568"/>
      <c r="BB2" s="568"/>
      <c r="BC2" s="568"/>
      <c r="BD2" s="569"/>
      <c r="BE2" s="567" t="s">
        <v>108</v>
      </c>
      <c r="BF2" s="568"/>
      <c r="BG2" s="568"/>
      <c r="BH2" s="568"/>
      <c r="BI2" s="568"/>
      <c r="BJ2" s="568"/>
      <c r="BK2" s="569"/>
      <c r="BL2" s="567" t="s">
        <v>108</v>
      </c>
      <c r="BM2" s="568"/>
      <c r="BN2" s="568"/>
      <c r="BO2" s="568"/>
      <c r="BP2" s="568"/>
      <c r="BQ2" s="568"/>
      <c r="BR2" s="569"/>
      <c r="BS2" s="567" t="s">
        <v>135</v>
      </c>
      <c r="BT2" s="568"/>
      <c r="BU2" s="568"/>
      <c r="BV2" s="568"/>
      <c r="BW2" s="568"/>
      <c r="BX2" s="568"/>
      <c r="BY2" s="569"/>
      <c r="BZ2" s="567"/>
      <c r="CA2" s="568"/>
      <c r="CB2" s="568"/>
      <c r="CC2" s="568"/>
      <c r="CD2" s="568"/>
      <c r="CE2" s="568"/>
      <c r="CF2" s="569"/>
      <c r="CG2" s="567"/>
      <c r="CH2" s="568"/>
      <c r="CI2" s="568"/>
      <c r="CJ2" s="568"/>
      <c r="CK2" s="568"/>
      <c r="CL2" s="568"/>
      <c r="CM2" s="569"/>
      <c r="CN2" s="567"/>
      <c r="CO2" s="568"/>
      <c r="CP2" s="568"/>
      <c r="CQ2" s="568"/>
      <c r="CR2" s="568"/>
      <c r="CS2" s="568"/>
      <c r="CT2" s="569"/>
      <c r="CU2" s="567"/>
      <c r="CV2" s="568"/>
      <c r="CW2" s="568"/>
      <c r="CX2" s="568"/>
      <c r="CY2" s="568"/>
      <c r="CZ2" s="568"/>
      <c r="DA2" s="569"/>
      <c r="DB2" s="564"/>
      <c r="DC2" s="565"/>
      <c r="DD2" s="565"/>
      <c r="DE2" s="565"/>
      <c r="DF2" s="565"/>
      <c r="DG2" s="565"/>
      <c r="DH2" s="566"/>
      <c r="DI2" s="564"/>
      <c r="DJ2" s="565"/>
      <c r="DK2" s="565"/>
      <c r="DL2" s="565"/>
      <c r="DM2" s="565"/>
      <c r="DN2" s="565"/>
      <c r="DO2" s="566"/>
      <c r="DP2" s="564"/>
      <c r="DQ2" s="565"/>
      <c r="DR2" s="565"/>
      <c r="DS2" s="565"/>
      <c r="DT2" s="565"/>
      <c r="DU2" s="565"/>
      <c r="DV2" s="566"/>
      <c r="DW2" s="575"/>
      <c r="DX2" s="576"/>
      <c r="DY2" s="576"/>
      <c r="DZ2" s="576"/>
      <c r="EA2" s="576"/>
      <c r="EB2" s="576"/>
      <c r="EC2" s="577"/>
      <c r="ED2" s="575"/>
      <c r="EE2" s="576"/>
      <c r="EF2" s="576"/>
      <c r="EG2" s="576"/>
      <c r="EH2" s="576"/>
      <c r="EI2" s="576"/>
      <c r="EJ2" s="577"/>
      <c r="EK2" s="575"/>
      <c r="EL2" s="576"/>
      <c r="EM2" s="576"/>
      <c r="EN2" s="576"/>
      <c r="EO2" s="576"/>
      <c r="EP2" s="576"/>
      <c r="EQ2" s="577"/>
      <c r="ER2" s="78"/>
    </row>
    <row r="3" spans="1:148" customFormat="1" x14ac:dyDescent="0.15">
      <c r="A3" s="1"/>
      <c r="B3" s="17" t="s">
        <v>18</v>
      </c>
      <c r="C3" s="17"/>
      <c r="D3" s="17"/>
      <c r="E3" s="146"/>
      <c r="F3" s="155"/>
      <c r="G3" s="124"/>
      <c r="H3" s="128"/>
      <c r="I3" s="168"/>
      <c r="J3" s="168"/>
      <c r="K3" s="140"/>
      <c r="L3" s="125"/>
      <c r="M3" s="125"/>
      <c r="N3" s="135"/>
      <c r="O3" s="157"/>
      <c r="P3" s="170">
        <v>95.6</v>
      </c>
      <c r="Q3" s="124"/>
      <c r="R3" s="128">
        <v>100</v>
      </c>
      <c r="S3" s="128"/>
      <c r="T3" s="168">
        <v>102.7</v>
      </c>
      <c r="U3" s="130">
        <v>105.9</v>
      </c>
      <c r="V3" s="194"/>
      <c r="W3" s="170">
        <v>95.6</v>
      </c>
      <c r="X3" s="124"/>
      <c r="Y3" s="128">
        <v>100</v>
      </c>
      <c r="Z3" s="128"/>
      <c r="AA3" s="168">
        <v>102.7</v>
      </c>
      <c r="AB3" s="130">
        <v>105.9</v>
      </c>
      <c r="AC3" s="194"/>
      <c r="AD3" s="170">
        <v>95.6</v>
      </c>
      <c r="AE3" s="124"/>
      <c r="AF3" s="128">
        <v>100</v>
      </c>
      <c r="AG3" s="128"/>
      <c r="AH3" s="168">
        <v>102.7</v>
      </c>
      <c r="AI3" s="130">
        <v>105.9</v>
      </c>
      <c r="AJ3" s="194"/>
      <c r="AK3" s="140"/>
      <c r="AL3" s="125"/>
      <c r="AM3" s="135"/>
      <c r="AN3" s="140"/>
      <c r="AO3" s="125"/>
      <c r="AP3" s="135"/>
      <c r="AQ3" s="561"/>
      <c r="AR3" s="562"/>
      <c r="AS3" s="562"/>
      <c r="AT3" s="562"/>
      <c r="AU3" s="562"/>
      <c r="AV3" s="562"/>
      <c r="AW3" s="562"/>
      <c r="AX3" s="561"/>
      <c r="AY3" s="562"/>
      <c r="AZ3" s="562"/>
      <c r="BA3" s="562"/>
      <c r="BB3" s="562"/>
      <c r="BC3" s="562"/>
      <c r="BD3" s="562"/>
      <c r="BE3" s="561"/>
      <c r="BF3" s="562"/>
      <c r="BG3" s="562"/>
      <c r="BH3" s="562"/>
      <c r="BI3" s="562"/>
      <c r="BJ3" s="562"/>
      <c r="BK3" s="562"/>
      <c r="BL3" s="561" t="s">
        <v>78</v>
      </c>
      <c r="BM3" s="562"/>
      <c r="BN3" s="562"/>
      <c r="BO3" s="562"/>
      <c r="BP3" s="562"/>
      <c r="BQ3" s="562"/>
      <c r="BR3" s="562"/>
      <c r="BS3" s="561"/>
      <c r="BT3" s="562"/>
      <c r="BU3" s="562"/>
      <c r="BV3" s="562"/>
      <c r="BW3" s="562"/>
      <c r="BX3" s="562"/>
      <c r="BY3" s="562"/>
      <c r="BZ3" s="561"/>
      <c r="CA3" s="562"/>
      <c r="CB3" s="562"/>
      <c r="CC3" s="562"/>
      <c r="CD3" s="562"/>
      <c r="CE3" s="562"/>
      <c r="CF3" s="562"/>
      <c r="CG3" s="561"/>
      <c r="CH3" s="562"/>
      <c r="CI3" s="562"/>
      <c r="CJ3" s="562"/>
      <c r="CK3" s="562"/>
      <c r="CL3" s="562"/>
      <c r="CM3" s="562"/>
      <c r="CN3" s="561"/>
      <c r="CO3" s="562"/>
      <c r="CP3" s="562"/>
      <c r="CQ3" s="562"/>
      <c r="CR3" s="562"/>
      <c r="CS3" s="562"/>
      <c r="CT3" s="562"/>
      <c r="CU3" s="561"/>
      <c r="CV3" s="562"/>
      <c r="CW3" s="562"/>
      <c r="CX3" s="562"/>
      <c r="CY3" s="562"/>
      <c r="CZ3" s="562"/>
      <c r="DA3" s="562"/>
      <c r="DB3" s="561"/>
      <c r="DC3" s="562"/>
      <c r="DD3" s="562"/>
      <c r="DE3" s="562"/>
      <c r="DF3" s="562"/>
      <c r="DG3" s="562"/>
      <c r="DH3" s="563"/>
      <c r="DI3" s="561"/>
      <c r="DJ3" s="562"/>
      <c r="DK3" s="562"/>
      <c r="DL3" s="562"/>
      <c r="DM3" s="562"/>
      <c r="DN3" s="562"/>
      <c r="DO3" s="563"/>
      <c r="DP3" s="561"/>
      <c r="DQ3" s="562"/>
      <c r="DR3" s="562"/>
      <c r="DS3" s="562"/>
      <c r="DT3" s="562"/>
      <c r="DU3" s="562"/>
      <c r="DV3" s="563"/>
      <c r="DW3" s="573"/>
      <c r="DX3" s="574"/>
      <c r="DY3" s="574"/>
      <c r="DZ3" s="574"/>
      <c r="EA3" s="574"/>
      <c r="EB3" s="574"/>
      <c r="EC3" s="574"/>
      <c r="ED3" s="573"/>
      <c r="EE3" s="574"/>
      <c r="EF3" s="574"/>
      <c r="EG3" s="574"/>
      <c r="EH3" s="574"/>
      <c r="EI3" s="574"/>
      <c r="EJ3" s="580"/>
      <c r="EK3" s="573"/>
      <c r="EL3" s="574"/>
      <c r="EM3" s="574"/>
      <c r="EN3" s="574"/>
      <c r="EO3" s="574"/>
      <c r="EP3" s="574"/>
      <c r="EQ3" s="580"/>
      <c r="ER3" s="78"/>
    </row>
    <row r="4" spans="1:148" customFormat="1" x14ac:dyDescent="0.15">
      <c r="A4" s="1"/>
      <c r="B4" s="17" t="s">
        <v>22</v>
      </c>
      <c r="C4" s="17"/>
      <c r="D4" s="24" t="s">
        <v>44</v>
      </c>
      <c r="E4" s="140" t="s">
        <v>8</v>
      </c>
      <c r="F4" s="172" t="s">
        <v>46</v>
      </c>
      <c r="G4" s="124" t="s">
        <v>34</v>
      </c>
      <c r="H4" s="128" t="s">
        <v>9</v>
      </c>
      <c r="I4" s="168" t="s">
        <v>14</v>
      </c>
      <c r="J4" s="130" t="s">
        <v>43</v>
      </c>
      <c r="K4" s="140" t="s">
        <v>4</v>
      </c>
      <c r="L4" s="125" t="s">
        <v>4</v>
      </c>
      <c r="M4" s="125" t="s">
        <v>4</v>
      </c>
      <c r="N4" s="135" t="s">
        <v>4</v>
      </c>
      <c r="O4" s="157" t="s">
        <v>4</v>
      </c>
      <c r="P4" s="170" t="s">
        <v>34</v>
      </c>
      <c r="Q4" s="124"/>
      <c r="R4" s="128" t="s">
        <v>9</v>
      </c>
      <c r="S4" s="128"/>
      <c r="T4" s="168" t="s">
        <v>14</v>
      </c>
      <c r="U4" s="130" t="s">
        <v>43</v>
      </c>
      <c r="V4" s="194"/>
      <c r="W4" s="170" t="s">
        <v>34</v>
      </c>
      <c r="X4" s="124"/>
      <c r="Y4" s="128" t="s">
        <v>9</v>
      </c>
      <c r="Z4" s="128"/>
      <c r="AA4" s="168" t="s">
        <v>14</v>
      </c>
      <c r="AB4" s="130" t="s">
        <v>43</v>
      </c>
      <c r="AC4" s="194"/>
      <c r="AD4" s="170" t="s">
        <v>34</v>
      </c>
      <c r="AE4" s="124"/>
      <c r="AF4" s="128" t="s">
        <v>9</v>
      </c>
      <c r="AG4" s="128"/>
      <c r="AH4" s="168" t="s">
        <v>14</v>
      </c>
      <c r="AI4" s="130" t="s">
        <v>43</v>
      </c>
      <c r="AJ4" s="194"/>
      <c r="AK4" s="140" t="s">
        <v>4</v>
      </c>
      <c r="AL4" s="125" t="s">
        <v>4</v>
      </c>
      <c r="AM4" s="135" t="s">
        <v>4</v>
      </c>
      <c r="AN4" s="140" t="s">
        <v>4</v>
      </c>
      <c r="AO4" s="125" t="s">
        <v>4</v>
      </c>
      <c r="AP4" s="135" t="s">
        <v>4</v>
      </c>
      <c r="AQ4" s="165"/>
      <c r="AR4" s="127"/>
      <c r="AS4" s="127"/>
      <c r="AT4" s="127"/>
      <c r="AU4" s="127"/>
      <c r="AV4" s="511"/>
      <c r="AW4" s="511"/>
      <c r="AX4" s="165"/>
      <c r="AY4" s="127"/>
      <c r="AZ4" s="127"/>
      <c r="BA4" s="127"/>
      <c r="BB4" s="127"/>
      <c r="BC4" s="511"/>
      <c r="BD4" s="511"/>
      <c r="BE4" s="165"/>
      <c r="BF4" s="127"/>
      <c r="BG4" s="127"/>
      <c r="BH4" s="127"/>
      <c r="BI4" s="127"/>
      <c r="BJ4" s="511"/>
      <c r="BK4" s="511"/>
      <c r="BL4" s="165"/>
      <c r="BM4" s="127"/>
      <c r="BN4" s="127"/>
      <c r="BO4" s="127"/>
      <c r="BP4" s="127"/>
      <c r="BQ4" s="511"/>
      <c r="BR4" s="511"/>
      <c r="BS4" s="165"/>
      <c r="BT4" s="127"/>
      <c r="BU4" s="127"/>
      <c r="BV4" s="127"/>
      <c r="BW4" s="127"/>
      <c r="BX4" s="511"/>
      <c r="BY4" s="511"/>
      <c r="BZ4" s="165"/>
      <c r="CA4" s="127"/>
      <c r="CB4" s="127"/>
      <c r="CC4" s="127"/>
      <c r="CD4" s="127"/>
      <c r="CE4" s="397"/>
      <c r="CF4" s="397"/>
      <c r="CG4" s="165"/>
      <c r="CH4" s="127"/>
      <c r="CI4" s="127"/>
      <c r="CJ4" s="127"/>
      <c r="CK4" s="127"/>
      <c r="CL4" s="397"/>
      <c r="CM4" s="397"/>
      <c r="CN4" s="165"/>
      <c r="CO4" s="127"/>
      <c r="CP4" s="127"/>
      <c r="CQ4" s="127"/>
      <c r="CR4" s="127"/>
      <c r="CS4" s="365"/>
      <c r="CT4" s="365"/>
      <c r="CU4" s="165"/>
      <c r="CV4" s="127"/>
      <c r="CW4" s="127"/>
      <c r="CX4" s="127"/>
      <c r="CY4" s="127"/>
      <c r="CZ4" s="126"/>
      <c r="DA4" s="126"/>
      <c r="DB4" s="183"/>
      <c r="DC4" s="149"/>
      <c r="DD4" s="149"/>
      <c r="DE4" s="149"/>
      <c r="DF4" s="149"/>
      <c r="DG4" s="149"/>
      <c r="DH4" s="239"/>
      <c r="DI4" s="183"/>
      <c r="DJ4" s="149"/>
      <c r="DK4" s="149"/>
      <c r="DL4" s="149"/>
      <c r="DM4" s="149"/>
      <c r="DN4" s="149"/>
      <c r="DO4" s="239"/>
      <c r="DP4" s="183"/>
      <c r="DQ4" s="149"/>
      <c r="DR4" s="149"/>
      <c r="DS4" s="149"/>
      <c r="DT4" s="149"/>
      <c r="DU4" s="149"/>
      <c r="DV4" s="239"/>
      <c r="DW4" s="3"/>
      <c r="DX4" s="125"/>
      <c r="DY4" s="4"/>
      <c r="DZ4" s="125"/>
      <c r="EA4" s="125"/>
      <c r="EB4" s="74"/>
      <c r="EC4" s="131"/>
      <c r="ED4" s="78"/>
      <c r="EE4" s="150"/>
      <c r="EF4" s="13"/>
      <c r="EG4" s="150"/>
      <c r="EH4" s="150"/>
      <c r="EI4" s="13"/>
      <c r="EJ4" s="154"/>
      <c r="EK4" s="78"/>
      <c r="EL4" s="150"/>
      <c r="EM4" s="13"/>
      <c r="EN4" s="150"/>
      <c r="EO4" s="150"/>
      <c r="EP4" s="13"/>
      <c r="EQ4" s="154"/>
      <c r="ER4" s="78"/>
    </row>
    <row r="5" spans="1:148" customFormat="1" x14ac:dyDescent="0.15">
      <c r="A5" s="1"/>
      <c r="B5" s="19" t="str">
        <f>+A1</f>
        <v>JUNE 2016</v>
      </c>
      <c r="C5" s="21" t="s">
        <v>23</v>
      </c>
      <c r="D5" s="21" t="s">
        <v>45</v>
      </c>
      <c r="E5" s="140" t="s">
        <v>7</v>
      </c>
      <c r="F5" s="159">
        <v>16</v>
      </c>
      <c r="G5" s="124" t="s">
        <v>13</v>
      </c>
      <c r="H5" s="128" t="s">
        <v>13</v>
      </c>
      <c r="I5" s="168" t="s">
        <v>13</v>
      </c>
      <c r="J5" s="173" t="s">
        <v>13</v>
      </c>
      <c r="K5" s="140" t="s">
        <v>2</v>
      </c>
      <c r="L5" s="125" t="s">
        <v>5</v>
      </c>
      <c r="M5" s="125" t="s">
        <v>6</v>
      </c>
      <c r="N5" s="135" t="s">
        <v>3</v>
      </c>
      <c r="O5" s="157" t="s">
        <v>15</v>
      </c>
      <c r="P5" s="515" t="s">
        <v>5</v>
      </c>
      <c r="Q5" s="516" t="s">
        <v>52</v>
      </c>
      <c r="R5" s="516" t="s">
        <v>6</v>
      </c>
      <c r="S5" s="516" t="s">
        <v>53</v>
      </c>
      <c r="T5" s="516" t="s">
        <v>2</v>
      </c>
      <c r="U5" s="516" t="s">
        <v>3</v>
      </c>
      <c r="V5" s="517" t="s">
        <v>54</v>
      </c>
      <c r="W5" s="515" t="s">
        <v>5</v>
      </c>
      <c r="X5" s="516" t="s">
        <v>52</v>
      </c>
      <c r="Y5" s="516" t="s">
        <v>6</v>
      </c>
      <c r="Z5" s="516" t="s">
        <v>53</v>
      </c>
      <c r="AA5" s="516" t="s">
        <v>2</v>
      </c>
      <c r="AB5" s="516" t="s">
        <v>3</v>
      </c>
      <c r="AC5" s="517" t="s">
        <v>54</v>
      </c>
      <c r="AD5" s="140" t="s">
        <v>5</v>
      </c>
      <c r="AE5" s="125" t="s">
        <v>52</v>
      </c>
      <c r="AF5" s="125" t="s">
        <v>6</v>
      </c>
      <c r="AG5" s="125" t="s">
        <v>53</v>
      </c>
      <c r="AH5" s="125" t="s">
        <v>2</v>
      </c>
      <c r="AI5" s="125" t="s">
        <v>3</v>
      </c>
      <c r="AJ5" s="187" t="s">
        <v>54</v>
      </c>
      <c r="AK5" s="140" t="s">
        <v>5</v>
      </c>
      <c r="AL5" s="125" t="s">
        <v>6</v>
      </c>
      <c r="AM5" s="135" t="s">
        <v>3</v>
      </c>
      <c r="AN5" s="140" t="s">
        <v>5</v>
      </c>
      <c r="AO5" s="125" t="s">
        <v>6</v>
      </c>
      <c r="AP5" s="135" t="s">
        <v>3</v>
      </c>
      <c r="AQ5" s="165" t="s">
        <v>0</v>
      </c>
      <c r="AR5" s="127" t="s">
        <v>55</v>
      </c>
      <c r="AS5" s="127" t="s">
        <v>1</v>
      </c>
      <c r="AT5" s="127" t="s">
        <v>53</v>
      </c>
      <c r="AU5" s="511" t="s">
        <v>2</v>
      </c>
      <c r="AV5" s="511" t="s">
        <v>3</v>
      </c>
      <c r="AW5" s="511" t="s">
        <v>54</v>
      </c>
      <c r="AX5" s="165" t="s">
        <v>0</v>
      </c>
      <c r="AY5" s="127" t="s">
        <v>55</v>
      </c>
      <c r="AZ5" s="127" t="s">
        <v>1</v>
      </c>
      <c r="BA5" s="127" t="s">
        <v>53</v>
      </c>
      <c r="BB5" s="511" t="s">
        <v>2</v>
      </c>
      <c r="BC5" s="511" t="s">
        <v>3</v>
      </c>
      <c r="BD5" s="511" t="s">
        <v>54</v>
      </c>
      <c r="BE5" s="165" t="s">
        <v>0</v>
      </c>
      <c r="BF5" s="127" t="s">
        <v>55</v>
      </c>
      <c r="BG5" s="127" t="s">
        <v>1</v>
      </c>
      <c r="BH5" s="127" t="s">
        <v>53</v>
      </c>
      <c r="BI5" s="511" t="s">
        <v>2</v>
      </c>
      <c r="BJ5" s="511" t="s">
        <v>3</v>
      </c>
      <c r="BK5" s="511" t="s">
        <v>54</v>
      </c>
      <c r="BL5" s="165" t="s">
        <v>0</v>
      </c>
      <c r="BM5" s="127" t="s">
        <v>55</v>
      </c>
      <c r="BN5" s="127" t="s">
        <v>1</v>
      </c>
      <c r="BO5" s="127" t="s">
        <v>53</v>
      </c>
      <c r="BP5" s="511" t="s">
        <v>2</v>
      </c>
      <c r="BQ5" s="511" t="s">
        <v>3</v>
      </c>
      <c r="BR5" s="511" t="s">
        <v>54</v>
      </c>
      <c r="BS5" s="165" t="s">
        <v>0</v>
      </c>
      <c r="BT5" s="127" t="s">
        <v>55</v>
      </c>
      <c r="BU5" s="127" t="s">
        <v>1</v>
      </c>
      <c r="BV5" s="127" t="s">
        <v>53</v>
      </c>
      <c r="BW5" s="511" t="s">
        <v>2</v>
      </c>
      <c r="BX5" s="511" t="s">
        <v>3</v>
      </c>
      <c r="BY5" s="511" t="s">
        <v>54</v>
      </c>
      <c r="BZ5" s="165" t="s">
        <v>0</v>
      </c>
      <c r="CA5" s="127" t="s">
        <v>55</v>
      </c>
      <c r="CB5" s="127" t="s">
        <v>1</v>
      </c>
      <c r="CC5" s="127" t="s">
        <v>53</v>
      </c>
      <c r="CD5" s="397" t="s">
        <v>2</v>
      </c>
      <c r="CE5" s="397" t="s">
        <v>3</v>
      </c>
      <c r="CF5" s="397" t="s">
        <v>54</v>
      </c>
      <c r="CG5" s="165" t="s">
        <v>0</v>
      </c>
      <c r="CH5" s="127" t="s">
        <v>55</v>
      </c>
      <c r="CI5" s="127" t="s">
        <v>1</v>
      </c>
      <c r="CJ5" s="127" t="s">
        <v>53</v>
      </c>
      <c r="CK5" s="397" t="s">
        <v>2</v>
      </c>
      <c r="CL5" s="397" t="s">
        <v>3</v>
      </c>
      <c r="CM5" s="397" t="s">
        <v>54</v>
      </c>
      <c r="CN5" s="165" t="s">
        <v>0</v>
      </c>
      <c r="CO5" s="127" t="s">
        <v>55</v>
      </c>
      <c r="CP5" s="127" t="s">
        <v>1</v>
      </c>
      <c r="CQ5" s="127" t="s">
        <v>53</v>
      </c>
      <c r="CR5" s="365" t="s">
        <v>2</v>
      </c>
      <c r="CS5" s="365" t="s">
        <v>3</v>
      </c>
      <c r="CT5" s="365" t="s">
        <v>54</v>
      </c>
      <c r="CU5" s="165" t="s">
        <v>0</v>
      </c>
      <c r="CV5" s="127" t="s">
        <v>55</v>
      </c>
      <c r="CW5" s="127" t="s">
        <v>1</v>
      </c>
      <c r="CX5" s="127" t="s">
        <v>53</v>
      </c>
      <c r="CY5" s="126" t="s">
        <v>2</v>
      </c>
      <c r="CZ5" s="126" t="s">
        <v>3</v>
      </c>
      <c r="DA5" s="126" t="s">
        <v>54</v>
      </c>
      <c r="DB5" s="165" t="s">
        <v>0</v>
      </c>
      <c r="DC5" s="127" t="s">
        <v>55</v>
      </c>
      <c r="DD5" s="127" t="s">
        <v>1</v>
      </c>
      <c r="DE5" s="127" t="s">
        <v>53</v>
      </c>
      <c r="DF5" s="126" t="s">
        <v>2</v>
      </c>
      <c r="DG5" s="127" t="s">
        <v>3</v>
      </c>
      <c r="DH5" s="133" t="s">
        <v>54</v>
      </c>
      <c r="DI5" s="165" t="s">
        <v>0</v>
      </c>
      <c r="DJ5" s="127" t="s">
        <v>55</v>
      </c>
      <c r="DK5" s="127" t="s">
        <v>1</v>
      </c>
      <c r="DL5" s="127" t="s">
        <v>53</v>
      </c>
      <c r="DM5" s="126" t="s">
        <v>2</v>
      </c>
      <c r="DN5" s="127" t="s">
        <v>3</v>
      </c>
      <c r="DO5" s="133" t="s">
        <v>54</v>
      </c>
      <c r="DP5" s="165" t="s">
        <v>0</v>
      </c>
      <c r="DQ5" s="127" t="s">
        <v>55</v>
      </c>
      <c r="DR5" s="127" t="s">
        <v>1</v>
      </c>
      <c r="DS5" s="127" t="s">
        <v>53</v>
      </c>
      <c r="DT5" s="126" t="s">
        <v>2</v>
      </c>
      <c r="DU5" s="127" t="s">
        <v>3</v>
      </c>
      <c r="DV5" s="133" t="s">
        <v>54</v>
      </c>
      <c r="DW5" s="3" t="s">
        <v>0</v>
      </c>
      <c r="DX5" s="125" t="s">
        <v>55</v>
      </c>
      <c r="DY5" s="4" t="s">
        <v>1</v>
      </c>
      <c r="DZ5" s="125" t="s">
        <v>53</v>
      </c>
      <c r="EA5" s="131" t="s">
        <v>2</v>
      </c>
      <c r="EB5" s="8" t="s">
        <v>3</v>
      </c>
      <c r="EC5" s="131" t="s">
        <v>54</v>
      </c>
      <c r="ED5" s="3" t="s">
        <v>0</v>
      </c>
      <c r="EE5" s="125" t="s">
        <v>55</v>
      </c>
      <c r="EF5" s="4" t="s">
        <v>1</v>
      </c>
      <c r="EG5" s="125" t="s">
        <v>53</v>
      </c>
      <c r="EH5" s="131" t="s">
        <v>2</v>
      </c>
      <c r="EI5" s="4" t="s">
        <v>3</v>
      </c>
      <c r="EJ5" s="135" t="s">
        <v>54</v>
      </c>
      <c r="EK5" s="3" t="s">
        <v>0</v>
      </c>
      <c r="EL5" s="125" t="s">
        <v>55</v>
      </c>
      <c r="EM5" s="4" t="s">
        <v>1</v>
      </c>
      <c r="EN5" s="125" t="s">
        <v>53</v>
      </c>
      <c r="EO5" s="131" t="s">
        <v>2</v>
      </c>
      <c r="EP5" s="4" t="s">
        <v>3</v>
      </c>
      <c r="EQ5" s="135" t="s">
        <v>54</v>
      </c>
      <c r="ER5" s="78"/>
    </row>
    <row r="6" spans="1:148" customFormat="1" x14ac:dyDescent="0.15">
      <c r="A6" s="1"/>
      <c r="C6" s="1"/>
      <c r="D6" s="1"/>
      <c r="E6" s="140"/>
      <c r="F6" s="125"/>
      <c r="G6" s="124"/>
      <c r="H6" s="128"/>
      <c r="I6" s="168"/>
      <c r="J6" s="173"/>
      <c r="K6" s="140"/>
      <c r="L6" s="125"/>
      <c r="M6" s="125"/>
      <c r="N6" s="135"/>
      <c r="O6" s="157"/>
      <c r="P6" s="515"/>
      <c r="Q6" s="516"/>
      <c r="R6" s="516"/>
      <c r="S6" s="516"/>
      <c r="T6" s="516"/>
      <c r="U6" s="516"/>
      <c r="V6" s="517"/>
      <c r="W6" s="515"/>
      <c r="X6" s="516"/>
      <c r="Y6" s="516"/>
      <c r="Z6" s="516"/>
      <c r="AA6" s="516"/>
      <c r="AB6" s="516"/>
      <c r="AC6" s="517"/>
      <c r="AD6" s="140"/>
      <c r="AE6" s="125"/>
      <c r="AF6" s="125"/>
      <c r="AG6" s="125"/>
      <c r="AH6" s="125"/>
      <c r="AI6" s="125"/>
      <c r="AJ6" s="135"/>
      <c r="AK6" s="140"/>
      <c r="AL6" s="125"/>
      <c r="AM6" s="135"/>
      <c r="AN6" s="140"/>
      <c r="AO6" s="125"/>
      <c r="AP6" s="135"/>
      <c r="AQ6" s="165"/>
      <c r="AR6" s="127"/>
      <c r="AS6" s="127"/>
      <c r="AT6" s="127"/>
      <c r="AU6" s="127"/>
      <c r="AV6" s="511"/>
      <c r="AW6" s="511"/>
      <c r="AX6" s="165"/>
      <c r="AY6" s="127"/>
      <c r="AZ6" s="127"/>
      <c r="BA6" s="127"/>
      <c r="BB6" s="127"/>
      <c r="BC6" s="511"/>
      <c r="BD6" s="511"/>
      <c r="BE6" s="165"/>
      <c r="BF6" s="127"/>
      <c r="BG6" s="127"/>
      <c r="BH6" s="127"/>
      <c r="BI6" s="127"/>
      <c r="BJ6" s="511"/>
      <c r="BK6" s="511"/>
      <c r="BL6" s="165"/>
      <c r="BM6" s="127"/>
      <c r="BN6" s="127"/>
      <c r="BO6" s="127"/>
      <c r="BP6" s="127"/>
      <c r="BQ6" s="511"/>
      <c r="BR6" s="511"/>
      <c r="BS6" s="165"/>
      <c r="BT6" s="127"/>
      <c r="BU6" s="127"/>
      <c r="BV6" s="127"/>
      <c r="BW6" s="127"/>
      <c r="BX6" s="511"/>
      <c r="BY6" s="511"/>
      <c r="BZ6" s="165"/>
      <c r="CA6" s="127"/>
      <c r="CB6" s="127"/>
      <c r="CC6" s="127"/>
      <c r="CD6" s="127"/>
      <c r="CE6" s="397"/>
      <c r="CF6" s="397"/>
      <c r="CG6" s="165"/>
      <c r="CH6" s="127"/>
      <c r="CI6" s="127"/>
      <c r="CJ6" s="127"/>
      <c r="CK6" s="127"/>
      <c r="CL6" s="397"/>
      <c r="CM6" s="397"/>
      <c r="CN6" s="165"/>
      <c r="CO6" s="127"/>
      <c r="CP6" s="127"/>
      <c r="CQ6" s="127"/>
      <c r="CR6" s="127"/>
      <c r="CS6" s="365"/>
      <c r="CT6" s="365"/>
      <c r="CU6" s="165"/>
      <c r="CV6" s="127"/>
      <c r="CW6" s="127"/>
      <c r="CX6" s="127"/>
      <c r="CY6" s="127"/>
      <c r="CZ6" s="126"/>
      <c r="DA6" s="126"/>
      <c r="DB6" s="183"/>
      <c r="DC6" s="149"/>
      <c r="DD6" s="149"/>
      <c r="DE6" s="149"/>
      <c r="DF6" s="149"/>
      <c r="DG6" s="149"/>
      <c r="DH6" s="239"/>
      <c r="DI6" s="183"/>
      <c r="DJ6" s="149"/>
      <c r="DK6" s="149"/>
      <c r="DL6" s="149"/>
      <c r="DM6" s="149"/>
      <c r="DN6" s="149"/>
      <c r="DO6" s="239"/>
      <c r="DP6" s="183"/>
      <c r="DQ6" s="149"/>
      <c r="DR6" s="149"/>
      <c r="DS6" s="149"/>
      <c r="DT6" s="149"/>
      <c r="DU6" s="149"/>
      <c r="DV6" s="239"/>
      <c r="DW6" s="3"/>
      <c r="DX6" s="125"/>
      <c r="DY6" s="4"/>
      <c r="DZ6" s="125"/>
      <c r="EA6" s="125"/>
      <c r="EB6" s="74"/>
      <c r="EC6" s="131"/>
      <c r="ED6" s="78"/>
      <c r="EE6" s="150"/>
      <c r="EF6" s="13"/>
      <c r="EG6" s="150"/>
      <c r="EH6" s="150"/>
      <c r="EI6" s="13"/>
      <c r="EJ6" s="154"/>
      <c r="EK6" s="78"/>
      <c r="EL6" s="150"/>
      <c r="EM6" s="13"/>
      <c r="EN6" s="150"/>
      <c r="EO6" s="150"/>
      <c r="EP6" s="13"/>
      <c r="EQ6" s="154"/>
      <c r="ER6" s="78"/>
    </row>
    <row r="7" spans="1:148" customFormat="1" x14ac:dyDescent="0.15">
      <c r="A7" s="251">
        <v>1</v>
      </c>
      <c r="B7" s="115" t="s">
        <v>117</v>
      </c>
      <c r="C7" s="508" t="s">
        <v>24</v>
      </c>
      <c r="D7" s="1">
        <v>2004</v>
      </c>
      <c r="E7" s="141">
        <f t="shared" ref="E7:E20" si="0">IF(O7="",SUM(K7:N7),SUM(K7:N7)+O7)</f>
        <v>266.23500000000001</v>
      </c>
      <c r="F7" s="174" t="s">
        <v>47</v>
      </c>
      <c r="G7" s="175" t="str">
        <f>IF('TRA-M'!$A$2-D7&lt;=1,IF(T7&gt;=$P$3,"YES",IF(AA7&gt;=$W$3,"YES",IF(AH7&gt;=$AD$3,"YES",""))),"")</f>
        <v/>
      </c>
      <c r="H7" s="176" t="str">
        <f t="shared" ref="H7:H20" si="1">IF(T7&gt;=$R$3,IF(F7="YES","YES",""),IF(AA7&gt;=$Y$3,IF(F7="YES","YES",""),IF(AH7&gt;=$AF$3,IF(F7="YES","YES",""),"")))</f>
        <v>YES</v>
      </c>
      <c r="I7" s="177" t="str">
        <f t="shared" ref="I7:I20" si="2">IF(T7&gt;=$T$3,IF(F7="YES","YES",""),IF(AA7&gt;=$AA$3,IF(F7="YES","YES",""),IF(AH7&gt;=$AH$3,IF(F7="YES","YES",""),"")))</f>
        <v>YES</v>
      </c>
      <c r="J7" s="178" t="str">
        <f t="shared" ref="J7:J20" si="3">IF(T7&gt;=$U$3,IF(F7="YES","YES",""),IF(AA7&gt;=$AB$3,IF(F7="YES","YES",""),IF(AH7&gt;=$AI$3,IF(F7="YES","YES",""),"")))</f>
        <v/>
      </c>
      <c r="K7" s="140">
        <f t="shared" ref="K7:K20" si="4">MAX($AH7,$AA7,$T7)</f>
        <v>104.17</v>
      </c>
      <c r="L7" s="125">
        <f t="shared" ref="L7:L20" si="5">IF($K7=$AH7,MAX($W7+$X7,$P7+$Q7),IF($K7=$AA7,MAX($AD7+$AE7,$P7+$Q7),MAX($AD7+$AE7,$W7+$X7)))</f>
        <v>47.344999999999999</v>
      </c>
      <c r="M7" s="125">
        <f t="shared" ref="M7:M20" si="6">IF($K7=$AH7,MAX($Y7+$Z7,$R7+$S7),IF($K7=$AA7,MAX($AF7+$AG7,$R7+$S7),MAX($AF7+$AG7,$Y7+$Z7)))</f>
        <v>56.48</v>
      </c>
      <c r="N7" s="135">
        <f t="shared" ref="N7:N20" si="7">MAX($AI7+$AJ7,$AB7+$AC7,$U7+$V7)</f>
        <v>57.204999999999998</v>
      </c>
      <c r="O7" s="156">
        <f t="shared" ref="O7:O20" si="8">IF(MAX(AK7:AM7)&lt;=0,"",MAX(AK7:AM7))</f>
        <v>1.0350000000000037</v>
      </c>
      <c r="P7" s="510"/>
      <c r="Q7" s="511"/>
      <c r="R7" s="511"/>
      <c r="S7" s="511"/>
      <c r="T7" s="139">
        <f t="shared" ref="T7:T20" si="9">SUM(P7:S7)</f>
        <v>0</v>
      </c>
      <c r="U7" s="511"/>
      <c r="V7" s="511"/>
      <c r="W7" s="510">
        <f>27+3.1</f>
        <v>30.1</v>
      </c>
      <c r="X7" s="511">
        <v>17.245000000000001</v>
      </c>
      <c r="Y7" s="318">
        <f>24.3+16</f>
        <v>40.299999999999997</v>
      </c>
      <c r="Z7" s="511">
        <v>16.18</v>
      </c>
      <c r="AA7" s="139">
        <f t="shared" ref="AA7:AA20" si="10">SUM(W7:Z7)</f>
        <v>103.82499999999999</v>
      </c>
      <c r="AB7" s="318">
        <f>24.9+16</f>
        <v>40.9</v>
      </c>
      <c r="AC7" s="511">
        <v>16.295000000000002</v>
      </c>
      <c r="AD7" s="510">
        <f>27.4+3.1</f>
        <v>30.5</v>
      </c>
      <c r="AE7" s="511">
        <v>17.265000000000001</v>
      </c>
      <c r="AF7" s="511">
        <f>25.2+14.8</f>
        <v>40</v>
      </c>
      <c r="AG7" s="511">
        <v>16.405000000000001</v>
      </c>
      <c r="AH7" s="139">
        <f t="shared" ref="AH7:AH20" si="11">SUM(AD7:AG7)</f>
        <v>104.17</v>
      </c>
      <c r="AI7" s="511">
        <f>25.9+15</f>
        <v>40.9</v>
      </c>
      <c r="AJ7" s="511">
        <v>16.305</v>
      </c>
      <c r="AK7" s="140">
        <f t="shared" ref="AK7:AK20" si="12">IF(AN7="","",AN7-L7)</f>
        <v>1.0350000000000037</v>
      </c>
      <c r="AL7" s="125">
        <f t="shared" ref="AL7:AL20" si="13">IF(AO7="","",AO7-M7)</f>
        <v>0.49000000000000199</v>
      </c>
      <c r="AM7" s="135">
        <f t="shared" ref="AM7:AM20" si="14">IF(AP7="","",AP7-N7)</f>
        <v>-2.1149999999999949</v>
      </c>
      <c r="AN7" s="140">
        <f t="shared" ref="AN7:AN20" si="15">IF(MAX($AQ7+$AR7,$AX7+$AY7,$BE7+$BF7,$BL7+$BM7,$BS7+$BT7,$BZ7+$CA7,$CG7+$CH7,$CN7+$CO7,$CU7+$CV7,$DB7+$DC7,$DI7+$DJ7,$DP7+$DQ7,$DW7+$DX7,$ED7+$EE7,$EK7+$EL7)=0,"",MAX($AQ7+$AR7,$AX7+$AY7,$BE7+$BF7,$BL7+$BM7,$BS7+$BT7,$BZ7+$CA7,$CG7+$CH7,$CN7+$CO7,$CU7+$CV7,$DB7+$DC7,$DI7+$DJ7,$DP7+$DQ7,$DW7+$DX7,$ED7+$EE7,$EK7+$EL7))</f>
        <v>48.38</v>
      </c>
      <c r="AO7" s="125">
        <f t="shared" ref="AO7:AO20" si="16">IF(MAX($AS7+$AT7,$AZ7+$BA7,$BG7+$BH7,$BN7+$BO7,$BU7+$BV7,$CB7+$CC7,$CI7+$CJ7,$CP7+$CQ7,$CW7+$CX7,$DD7+$DE7,$DK7+$DL7,$DR7+$DS7,$DY7+$DZ7,$EF7+$EG7,$EM7+$EN7)=0,"",MAX($AS7+$AT7,$AZ7+$BA7,$BG7+$BH7,$BN7+$BO7,$BU7+$BV7,$CB7+$CC7,$CI7+$CJ7,$CP7+$CQ7,$CW7+$CX7,$DD7+$DE7,$DK7+$DL7,$DR7+$DS7,$DY7+$DZ7,$EF7+$EG7,$EM7+$EN7))</f>
        <v>56.97</v>
      </c>
      <c r="AP7" s="135">
        <f t="shared" ref="AP7:AP20" si="17">IF(MAX($AV7+$AW7,$BC7+$BD7,$BJ7+$BK7,$BQ7+$BR7,$BX7+$BY7,$CE7+$CF7,$CL7+$CM7,$CS7+$CT7,$CZ7+$DA7,$DG7+$DH7,$DN7+$DO7,$DU7+$DV7,$EB7+$EC7,$EI7+$EJ7,$EP7+$EQ7)=0,"",MAX($AV7+$AW7,$BC7+$BD7,$BJ7+$BK7,$BQ7+$BR7,$BX7+$BY7,$CE7+$CF7,$CL7+$CM7,$CS7+$CT7,$CZ7+$DA7,$DG7+$DH7,$DN7+$DO7,$DU7+$DV7,$EB7+$EC7,$EI7+$EJ7,$EP7+$EQ7))</f>
        <v>55.09</v>
      </c>
      <c r="AQ7" s="510">
        <f>26.7+2.9</f>
        <v>29.599999999999998</v>
      </c>
      <c r="AR7" s="511">
        <v>17.565000000000001</v>
      </c>
      <c r="AS7" s="318">
        <f>21.9+16.1</f>
        <v>38</v>
      </c>
      <c r="AT7" s="511">
        <v>16.395</v>
      </c>
      <c r="AU7" s="152">
        <f t="shared" ref="AU7:AU20" si="18">IF(AS7&lt;&gt;"",SUM(AQ7:AT7),"")</f>
        <v>101.55999999999999</v>
      </c>
      <c r="AV7" s="318">
        <f>22.5+16.2</f>
        <v>38.700000000000003</v>
      </c>
      <c r="AW7" s="511">
        <v>16.39</v>
      </c>
      <c r="AX7" s="510">
        <f>27.9+2.9</f>
        <v>30.799999999999997</v>
      </c>
      <c r="AY7" s="511">
        <v>17.399999999999999</v>
      </c>
      <c r="AZ7" s="143">
        <f>4.5+3.4</f>
        <v>7.9</v>
      </c>
      <c r="BA7" s="143">
        <v>3.4350000000000001</v>
      </c>
      <c r="BB7" s="152">
        <f t="shared" ref="BB7:BB20" si="19">IF(AZ7&lt;&gt;"",SUM(AX7:BA7),"")</f>
        <v>59.534999999999997</v>
      </c>
      <c r="BC7" s="511"/>
      <c r="BD7" s="511"/>
      <c r="BE7" s="510">
        <f>27.6+3.3</f>
        <v>30.900000000000002</v>
      </c>
      <c r="BF7" s="511">
        <v>17.48</v>
      </c>
      <c r="BG7" s="318">
        <f>24+16</f>
        <v>40</v>
      </c>
      <c r="BH7" s="511">
        <v>16.63</v>
      </c>
      <c r="BI7" s="152">
        <f t="shared" ref="BI7:BI20" si="20">IF(BG7&lt;&gt;"",SUM(BE7:BH7),"")</f>
        <v>105.00999999999999</v>
      </c>
      <c r="BJ7" s="511"/>
      <c r="BK7" s="511"/>
      <c r="BL7" s="510"/>
      <c r="BM7" s="511"/>
      <c r="BN7" s="318">
        <f>23.4+16</f>
        <v>39.4</v>
      </c>
      <c r="BO7" s="511">
        <v>16.3</v>
      </c>
      <c r="BP7" s="152">
        <f t="shared" ref="BP7:BP20" si="21">IF(BN7&lt;&gt;"",SUM(BL7:BO7),"")</f>
        <v>55.7</v>
      </c>
      <c r="BQ7" s="511"/>
      <c r="BR7" s="511"/>
      <c r="BS7" s="510">
        <f>26.4+3.1</f>
        <v>29.5</v>
      </c>
      <c r="BT7" s="511">
        <v>18.045000000000002</v>
      </c>
      <c r="BU7" s="318">
        <f>23.7+16.7</f>
        <v>40.4</v>
      </c>
      <c r="BV7" s="318">
        <v>16.57</v>
      </c>
      <c r="BW7" s="152">
        <f t="shared" ref="BW7:BW20" si="22">IF(BU7&lt;&gt;"",SUM(BS7:BV7),"")</f>
        <v>104.51499999999999</v>
      </c>
      <c r="BX7" s="511"/>
      <c r="BY7" s="511"/>
      <c r="BZ7" s="510"/>
      <c r="CA7" s="511"/>
      <c r="CB7" s="511"/>
      <c r="CC7" s="511"/>
      <c r="CD7" s="152" t="str">
        <f t="shared" ref="CD7:CD20" si="23">IF(CB7&lt;&gt;"",SUM(BZ7:CC7),"")</f>
        <v/>
      </c>
      <c r="CE7" s="455"/>
      <c r="CF7" s="455"/>
      <c r="CG7" s="438"/>
      <c r="CH7" s="439"/>
      <c r="CI7" s="486"/>
      <c r="CJ7" s="486"/>
      <c r="CK7" s="152" t="str">
        <f t="shared" ref="CK7:CK20" si="24">IF(CI7&lt;&gt;"",SUM(CG7:CJ7),"")</f>
        <v/>
      </c>
      <c r="CL7" s="471"/>
      <c r="CM7" s="439"/>
      <c r="CN7" s="438"/>
      <c r="CO7" s="439"/>
      <c r="CP7" s="439"/>
      <c r="CQ7" s="439"/>
      <c r="CR7" s="152" t="str">
        <f t="shared" ref="CR7:CR20" si="25">IF(CP7&lt;&gt;"",SUM(CN7:CQ7),"")</f>
        <v/>
      </c>
      <c r="CS7" s="439"/>
      <c r="CT7" s="439"/>
      <c r="CU7" s="438"/>
      <c r="CV7" s="439"/>
      <c r="CW7" s="439"/>
      <c r="CX7" s="439"/>
      <c r="CY7" s="152" t="str">
        <f t="shared" ref="CY7:CY20" si="26">IF(CW7&lt;&gt;"",SUM(CU7:CX7),"")</f>
        <v/>
      </c>
      <c r="CZ7" s="439"/>
      <c r="DA7" s="439"/>
      <c r="DB7" s="179"/>
      <c r="DC7" s="126"/>
      <c r="DD7" s="126"/>
      <c r="DE7" s="126"/>
      <c r="DF7" s="152" t="str">
        <f t="shared" ref="DF7:DF20" si="27">IF(DD7&lt;&gt;"",SUM(DB7:DE7),"")</f>
        <v/>
      </c>
      <c r="DG7" s="126"/>
      <c r="DH7" s="136"/>
      <c r="DI7" s="179"/>
      <c r="DJ7" s="126"/>
      <c r="DK7" s="126"/>
      <c r="DL7" s="126"/>
      <c r="DM7" s="152" t="str">
        <f t="shared" ref="DM7:DM20" si="28">IF(DK7&lt;&gt;"",SUM(DI7:DL7),"")</f>
        <v/>
      </c>
      <c r="DN7" s="126"/>
      <c r="DO7" s="136"/>
      <c r="DP7" s="179"/>
      <c r="DQ7" s="126"/>
      <c r="DR7" s="126"/>
      <c r="DS7" s="126"/>
      <c r="DT7" s="152" t="str">
        <f t="shared" ref="DT7:DT20" si="29">IF(DR7&lt;&gt;"",SUM(DP7:DS7),"")</f>
        <v/>
      </c>
      <c r="DU7" s="126"/>
      <c r="DV7" s="136"/>
      <c r="DW7" s="43"/>
      <c r="DX7" s="126"/>
      <c r="DY7" s="44"/>
      <c r="DZ7" s="126"/>
      <c r="EA7" s="152" t="str">
        <f t="shared" ref="EA7:EA20" si="30">IF(DY7&lt;&gt;"",SUM(DW7:DZ7),"")</f>
        <v/>
      </c>
      <c r="EB7" s="44"/>
      <c r="EC7" s="126"/>
      <c r="ED7" s="43"/>
      <c r="EE7" s="126"/>
      <c r="EF7" s="417"/>
      <c r="EG7" s="411"/>
      <c r="EH7" s="152" t="str">
        <f t="shared" ref="EH7:EH19" si="31">IF(EF7&lt;&gt;"",SUM(ED7:EG7),"")</f>
        <v/>
      </c>
      <c r="EI7" s="6"/>
      <c r="EJ7" s="411"/>
      <c r="EK7" s="15"/>
      <c r="EL7" s="131"/>
      <c r="EM7" s="417"/>
      <c r="EN7" s="411"/>
      <c r="EO7" s="139" t="str">
        <f t="shared" ref="EO7:EO19" si="32">IF(EM7&lt;&gt;"",SUM(EK7:EN7),"")</f>
        <v/>
      </c>
      <c r="EP7" s="6"/>
      <c r="EQ7" s="412"/>
      <c r="ER7" s="78"/>
    </row>
    <row r="8" spans="1:148" s="49" customFormat="1" x14ac:dyDescent="0.15">
      <c r="A8" s="422">
        <v>2</v>
      </c>
      <c r="B8" s="386" t="s">
        <v>64</v>
      </c>
      <c r="C8" s="387" t="s">
        <v>27</v>
      </c>
      <c r="D8" s="422">
        <v>2010</v>
      </c>
      <c r="E8" s="141">
        <f t="shared" si="0"/>
        <v>261.14</v>
      </c>
      <c r="F8" s="174" t="s">
        <v>47</v>
      </c>
      <c r="G8" s="175" t="str">
        <f>IF('TRA-M'!$A$2-D8&lt;=1,IF(T8&gt;=$P$3,"YES",IF(AA8&gt;=$W$3,"YES",IF(AH8&gt;=$AD$3,"YES",""))),"")</f>
        <v/>
      </c>
      <c r="H8" s="176" t="str">
        <f t="shared" si="1"/>
        <v>YES</v>
      </c>
      <c r="I8" s="177" t="str">
        <f t="shared" si="2"/>
        <v/>
      </c>
      <c r="J8" s="178" t="str">
        <f t="shared" si="3"/>
        <v/>
      </c>
      <c r="K8" s="140">
        <f t="shared" si="4"/>
        <v>101.255</v>
      </c>
      <c r="L8" s="125">
        <f t="shared" si="5"/>
        <v>47.995000000000005</v>
      </c>
      <c r="M8" s="125">
        <f t="shared" si="6"/>
        <v>52.265000000000001</v>
      </c>
      <c r="N8" s="135">
        <f t="shared" si="7"/>
        <v>56.489999999999995</v>
      </c>
      <c r="O8" s="157">
        <f t="shared" si="8"/>
        <v>3.134999999999998</v>
      </c>
      <c r="P8" s="510"/>
      <c r="Q8" s="511"/>
      <c r="R8" s="279"/>
      <c r="S8" s="279"/>
      <c r="T8" s="139">
        <f t="shared" si="9"/>
        <v>0</v>
      </c>
      <c r="U8" s="511"/>
      <c r="V8" s="512"/>
      <c r="W8" s="510">
        <f>27.6+2.3</f>
        <v>29.900000000000002</v>
      </c>
      <c r="X8" s="511">
        <v>17.725000000000001</v>
      </c>
      <c r="Y8" s="279">
        <f>22.2+14.9</f>
        <v>37.1</v>
      </c>
      <c r="Z8" s="279">
        <v>16.53</v>
      </c>
      <c r="AA8" s="139">
        <f t="shared" si="10"/>
        <v>101.255</v>
      </c>
      <c r="AB8" s="143">
        <f>19.5+13</f>
        <v>32.5</v>
      </c>
      <c r="AC8" s="137">
        <v>13.425000000000001</v>
      </c>
      <c r="AD8" s="510">
        <f>27.9+2.3</f>
        <v>30.2</v>
      </c>
      <c r="AE8" s="511">
        <v>17.795000000000002</v>
      </c>
      <c r="AF8" s="279">
        <f>22.2+13.9</f>
        <v>36.1</v>
      </c>
      <c r="AG8" s="279">
        <v>16.164999999999999</v>
      </c>
      <c r="AH8" s="139">
        <f t="shared" si="11"/>
        <v>100.25999999999999</v>
      </c>
      <c r="AI8" s="318">
        <f>24+16.3</f>
        <v>40.299999999999997</v>
      </c>
      <c r="AJ8" s="512">
        <v>16.190000000000001</v>
      </c>
      <c r="AK8" s="140">
        <f t="shared" si="12"/>
        <v>0.47499999999999432</v>
      </c>
      <c r="AL8" s="125">
        <f t="shared" si="13"/>
        <v>3.134999999999998</v>
      </c>
      <c r="AM8" s="135">
        <f t="shared" si="14"/>
        <v>-8.4999999999993747E-2</v>
      </c>
      <c r="AN8" s="140">
        <f t="shared" si="15"/>
        <v>48.47</v>
      </c>
      <c r="AO8" s="125">
        <f t="shared" si="16"/>
        <v>55.4</v>
      </c>
      <c r="AP8" s="135">
        <f t="shared" si="17"/>
        <v>56.405000000000001</v>
      </c>
      <c r="AQ8" s="510">
        <f>28.5+2.3</f>
        <v>30.8</v>
      </c>
      <c r="AR8" s="511">
        <v>17.670000000000002</v>
      </c>
      <c r="AS8" s="318">
        <f>22.5+16.3</f>
        <v>38.799999999999997</v>
      </c>
      <c r="AT8" s="511">
        <v>16.600000000000001</v>
      </c>
      <c r="AU8" s="152">
        <f t="shared" si="18"/>
        <v>103.87</v>
      </c>
      <c r="AV8" s="318">
        <f>23.4+16.5</f>
        <v>39.9</v>
      </c>
      <c r="AW8" s="511">
        <v>16.504999999999999</v>
      </c>
      <c r="AX8" s="181"/>
      <c r="AY8" s="132"/>
      <c r="AZ8" s="132"/>
      <c r="BA8" s="132"/>
      <c r="BB8" s="278" t="str">
        <f t="shared" si="19"/>
        <v/>
      </c>
      <c r="BC8" s="132"/>
      <c r="BD8" s="132"/>
      <c r="BE8" s="510">
        <f>27.9+2.3</f>
        <v>30.2</v>
      </c>
      <c r="BF8" s="511">
        <v>17.774999999999999</v>
      </c>
      <c r="BG8" s="143">
        <f>11.4+8.9</f>
        <v>20.3</v>
      </c>
      <c r="BH8" s="143">
        <v>8.4749999999999996</v>
      </c>
      <c r="BI8" s="152">
        <f t="shared" si="20"/>
        <v>76.749999999999986</v>
      </c>
      <c r="BJ8" s="511"/>
      <c r="BK8" s="511"/>
      <c r="BL8" s="510"/>
      <c r="BM8" s="511"/>
      <c r="BN8" s="511"/>
      <c r="BO8" s="511"/>
      <c r="BP8" s="152" t="str">
        <f t="shared" si="21"/>
        <v/>
      </c>
      <c r="BQ8" s="511"/>
      <c r="BR8" s="511"/>
      <c r="BS8" s="510"/>
      <c r="BT8" s="511"/>
      <c r="BU8" s="511"/>
      <c r="BV8" s="511"/>
      <c r="BW8" s="152" t="str">
        <f t="shared" si="22"/>
        <v/>
      </c>
      <c r="BX8" s="511"/>
      <c r="BY8" s="511"/>
      <c r="BZ8" s="485"/>
      <c r="CA8" s="486"/>
      <c r="CB8" s="486"/>
      <c r="CC8" s="486"/>
      <c r="CD8" s="152" t="str">
        <f t="shared" si="23"/>
        <v/>
      </c>
      <c r="CE8" s="455"/>
      <c r="CF8" s="455"/>
      <c r="CG8" s="438"/>
      <c r="CH8" s="439"/>
      <c r="CI8" s="439"/>
      <c r="CJ8" s="439"/>
      <c r="CK8" s="152" t="str">
        <f t="shared" si="24"/>
        <v/>
      </c>
      <c r="CL8" s="439"/>
      <c r="CM8" s="439"/>
      <c r="CN8" s="438"/>
      <c r="CO8" s="439"/>
      <c r="CP8" s="439"/>
      <c r="CQ8" s="439"/>
      <c r="CR8" s="152" t="str">
        <f t="shared" si="25"/>
        <v/>
      </c>
      <c r="CS8" s="439"/>
      <c r="CT8" s="439"/>
      <c r="CU8" s="438"/>
      <c r="CV8" s="439"/>
      <c r="CW8" s="439"/>
      <c r="CX8" s="439"/>
      <c r="CY8" s="152" t="str">
        <f t="shared" si="26"/>
        <v/>
      </c>
      <c r="CZ8" s="439"/>
      <c r="DA8" s="439"/>
      <c r="DB8" s="179"/>
      <c r="DC8" s="126"/>
      <c r="DD8" s="126"/>
      <c r="DE8" s="126"/>
      <c r="DF8" s="152" t="str">
        <f t="shared" si="27"/>
        <v/>
      </c>
      <c r="DG8" s="126"/>
      <c r="DH8" s="136"/>
      <c r="DI8" s="179"/>
      <c r="DJ8" s="126"/>
      <c r="DK8" s="126"/>
      <c r="DL8" s="126"/>
      <c r="DM8" s="152" t="str">
        <f t="shared" si="28"/>
        <v/>
      </c>
      <c r="DN8" s="126"/>
      <c r="DO8" s="136"/>
      <c r="DP8" s="179"/>
      <c r="DQ8" s="126"/>
      <c r="DR8" s="126"/>
      <c r="DS8" s="126"/>
      <c r="DT8" s="152" t="str">
        <f t="shared" si="29"/>
        <v/>
      </c>
      <c r="DU8" s="126"/>
      <c r="DV8" s="136"/>
      <c r="DW8" s="43"/>
      <c r="DX8" s="126"/>
      <c r="DY8" s="44"/>
      <c r="DZ8" s="126"/>
      <c r="EA8" s="152" t="str">
        <f t="shared" si="30"/>
        <v/>
      </c>
      <c r="EB8" s="44"/>
      <c r="EC8" s="126"/>
      <c r="ED8" s="43"/>
      <c r="EE8" s="126"/>
      <c r="EF8" s="420"/>
      <c r="EG8" s="409"/>
      <c r="EH8" s="152" t="str">
        <f t="shared" si="31"/>
        <v/>
      </c>
      <c r="EI8" s="6"/>
      <c r="EJ8" s="409"/>
      <c r="EK8" s="15"/>
      <c r="EL8" s="131"/>
      <c r="EM8" s="420"/>
      <c r="EN8" s="409"/>
      <c r="EO8" s="139" t="str">
        <f t="shared" si="32"/>
        <v/>
      </c>
      <c r="EP8" s="6"/>
      <c r="EQ8" s="410"/>
      <c r="ER8" s="78"/>
    </row>
    <row r="9" spans="1:148" customFormat="1" x14ac:dyDescent="0.15">
      <c r="A9" s="546">
        <v>3</v>
      </c>
      <c r="B9" s="383" t="s">
        <v>133</v>
      </c>
      <c r="C9" s="387" t="s">
        <v>26</v>
      </c>
      <c r="D9" s="48">
        <v>2014</v>
      </c>
      <c r="E9" s="141">
        <f t="shared" si="0"/>
        <v>258.32</v>
      </c>
      <c r="F9" s="174" t="s">
        <v>47</v>
      </c>
      <c r="G9" s="182" t="str">
        <f>IF('TRA-M'!$A$2-D9&lt;=1,IF(T9&gt;=$P$3,"YES",IF(AA9&gt;=$W$3,"YES",IF(AH9&gt;=$AD$3,"YES",""))),"")</f>
        <v/>
      </c>
      <c r="H9" s="176" t="str">
        <f t="shared" si="1"/>
        <v>YES</v>
      </c>
      <c r="I9" s="177" t="str">
        <f t="shared" si="2"/>
        <v/>
      </c>
      <c r="J9" s="178" t="str">
        <f t="shared" si="3"/>
        <v/>
      </c>
      <c r="K9" s="140">
        <f t="shared" si="4"/>
        <v>102.13500000000001</v>
      </c>
      <c r="L9" s="125">
        <f t="shared" si="5"/>
        <v>47.545000000000002</v>
      </c>
      <c r="M9" s="125">
        <f t="shared" si="6"/>
        <v>53.349999999999994</v>
      </c>
      <c r="N9" s="135">
        <f t="shared" si="7"/>
        <v>55.29</v>
      </c>
      <c r="O9" s="156" t="str">
        <f t="shared" si="8"/>
        <v/>
      </c>
      <c r="P9" s="510">
        <f>26+2.5</f>
        <v>28.5</v>
      </c>
      <c r="Q9" s="511">
        <v>16.899999999999999</v>
      </c>
      <c r="R9" s="319">
        <f>21.4+16</f>
        <v>37.4</v>
      </c>
      <c r="S9" s="279">
        <v>15.95</v>
      </c>
      <c r="T9" s="139">
        <f t="shared" si="9"/>
        <v>98.75</v>
      </c>
      <c r="U9" s="511">
        <f>19.8+14.4</f>
        <v>34.200000000000003</v>
      </c>
      <c r="V9" s="511">
        <v>15.59</v>
      </c>
      <c r="W9" s="510">
        <f>27.6+2.7</f>
        <v>30.3</v>
      </c>
      <c r="X9" s="511">
        <v>17.245000000000001</v>
      </c>
      <c r="Y9" s="388">
        <f>12.6+9.2</f>
        <v>21.799999999999997</v>
      </c>
      <c r="Z9" s="388">
        <v>9.8949999999999996</v>
      </c>
      <c r="AA9" s="139">
        <f t="shared" si="10"/>
        <v>79.239999999999995</v>
      </c>
      <c r="AB9" s="318">
        <f>19.8+16</f>
        <v>35.799999999999997</v>
      </c>
      <c r="AC9" s="511">
        <v>15.975</v>
      </c>
      <c r="AD9" s="510">
        <f>27.2+2.7</f>
        <v>29.9</v>
      </c>
      <c r="AE9" s="511">
        <v>17.395</v>
      </c>
      <c r="AF9" s="279">
        <f>22.5+15.6</f>
        <v>38.1</v>
      </c>
      <c r="AG9" s="279">
        <v>16.739999999999998</v>
      </c>
      <c r="AH9" s="139">
        <f t="shared" si="11"/>
        <v>102.13500000000001</v>
      </c>
      <c r="AI9" s="511">
        <f>22.9+15.6</f>
        <v>38.5</v>
      </c>
      <c r="AJ9" s="511">
        <v>16.79</v>
      </c>
      <c r="AK9" s="140">
        <f t="shared" si="12"/>
        <v>-1.7199999999999989</v>
      </c>
      <c r="AL9" s="125">
        <f t="shared" si="13"/>
        <v>-11.344999999999992</v>
      </c>
      <c r="AM9" s="135" t="str">
        <f t="shared" si="14"/>
        <v/>
      </c>
      <c r="AN9" s="140">
        <f t="shared" si="15"/>
        <v>45.825000000000003</v>
      </c>
      <c r="AO9" s="125">
        <f t="shared" si="16"/>
        <v>42.005000000000003</v>
      </c>
      <c r="AP9" s="135" t="str">
        <f t="shared" si="17"/>
        <v/>
      </c>
      <c r="AQ9" s="510"/>
      <c r="AR9" s="511"/>
      <c r="AS9" s="511"/>
      <c r="AT9" s="511"/>
      <c r="AU9" s="152" t="str">
        <f t="shared" si="18"/>
        <v/>
      </c>
      <c r="AV9" s="511"/>
      <c r="AW9" s="511"/>
      <c r="AX9" s="510"/>
      <c r="AY9" s="511"/>
      <c r="AZ9" s="511"/>
      <c r="BA9" s="511"/>
      <c r="BB9" s="152" t="str">
        <f t="shared" si="19"/>
        <v/>
      </c>
      <c r="BC9" s="511"/>
      <c r="BD9" s="511"/>
      <c r="BE9" s="510">
        <f>26.1+2.7</f>
        <v>28.8</v>
      </c>
      <c r="BF9" s="511">
        <v>17.024999999999999</v>
      </c>
      <c r="BG9" s="143">
        <f>15.9+11.8</f>
        <v>27.700000000000003</v>
      </c>
      <c r="BH9" s="143">
        <v>14.305</v>
      </c>
      <c r="BI9" s="152">
        <f t="shared" si="20"/>
        <v>87.830000000000013</v>
      </c>
      <c r="BJ9" s="511"/>
      <c r="BK9" s="511"/>
      <c r="BL9" s="510"/>
      <c r="BM9" s="511"/>
      <c r="BN9" s="511"/>
      <c r="BO9" s="511"/>
      <c r="BP9" s="152" t="str">
        <f t="shared" si="21"/>
        <v/>
      </c>
      <c r="BQ9" s="511"/>
      <c r="BR9" s="511"/>
      <c r="BS9" s="510"/>
      <c r="BT9" s="511"/>
      <c r="BU9" s="511"/>
      <c r="BV9" s="511"/>
      <c r="BW9" s="152" t="str">
        <f t="shared" si="22"/>
        <v/>
      </c>
      <c r="BX9" s="511"/>
      <c r="BY9" s="511"/>
      <c r="BZ9" s="485"/>
      <c r="CA9" s="486"/>
      <c r="CB9" s="486"/>
      <c r="CC9" s="486"/>
      <c r="CD9" s="152" t="str">
        <f t="shared" si="23"/>
        <v/>
      </c>
      <c r="CE9" s="455"/>
      <c r="CF9" s="455"/>
      <c r="CG9" s="438"/>
      <c r="CH9" s="439"/>
      <c r="CI9" s="439"/>
      <c r="CJ9" s="439"/>
      <c r="CK9" s="152" t="str">
        <f t="shared" si="24"/>
        <v/>
      </c>
      <c r="CL9" s="439"/>
      <c r="CM9" s="439"/>
      <c r="CN9" s="438"/>
      <c r="CO9" s="439"/>
      <c r="CP9" s="439"/>
      <c r="CQ9" s="439"/>
      <c r="CR9" s="152" t="str">
        <f t="shared" si="25"/>
        <v/>
      </c>
      <c r="CS9" s="439"/>
      <c r="CT9" s="439"/>
      <c r="CU9" s="438"/>
      <c r="CV9" s="439"/>
      <c r="CW9" s="439"/>
      <c r="CX9" s="439"/>
      <c r="CY9" s="152" t="str">
        <f t="shared" si="26"/>
        <v/>
      </c>
      <c r="CZ9" s="439"/>
      <c r="DA9" s="439"/>
      <c r="DB9" s="165"/>
      <c r="DC9" s="127"/>
      <c r="DD9" s="127"/>
      <c r="DE9" s="127"/>
      <c r="DF9" s="152" t="str">
        <f t="shared" si="27"/>
        <v/>
      </c>
      <c r="DG9" s="127"/>
      <c r="DH9" s="133"/>
      <c r="DI9" s="165"/>
      <c r="DJ9" s="127"/>
      <c r="DK9" s="127"/>
      <c r="DL9" s="127"/>
      <c r="DM9" s="152" t="str">
        <f t="shared" si="28"/>
        <v/>
      </c>
      <c r="DN9" s="127"/>
      <c r="DO9" s="133"/>
      <c r="DP9" s="165"/>
      <c r="DQ9" s="127"/>
      <c r="DR9" s="127"/>
      <c r="DS9" s="127"/>
      <c r="DT9" s="152" t="str">
        <f t="shared" si="29"/>
        <v/>
      </c>
      <c r="DU9" s="127"/>
      <c r="DV9" s="133"/>
      <c r="DW9" s="45"/>
      <c r="DX9" s="127"/>
      <c r="DY9" s="496"/>
      <c r="DZ9" s="127"/>
      <c r="EA9" s="152" t="str">
        <f t="shared" si="30"/>
        <v/>
      </c>
      <c r="EB9" s="44"/>
      <c r="EC9" s="126"/>
      <c r="ED9" s="45"/>
      <c r="EE9" s="127"/>
      <c r="EF9" s="489"/>
      <c r="EG9" s="481"/>
      <c r="EH9" s="152" t="str">
        <f t="shared" si="31"/>
        <v/>
      </c>
      <c r="EI9" s="6"/>
      <c r="EJ9" s="481"/>
      <c r="EK9" s="488"/>
      <c r="EL9" s="481"/>
      <c r="EM9" s="489"/>
      <c r="EN9" s="481"/>
      <c r="EO9" s="139" t="str">
        <f t="shared" si="32"/>
        <v/>
      </c>
      <c r="EP9" s="6"/>
      <c r="EQ9" s="482"/>
      <c r="ER9" s="78"/>
    </row>
    <row r="10" spans="1:148" customFormat="1" x14ac:dyDescent="0.15">
      <c r="A10" s="553">
        <v>4</v>
      </c>
      <c r="B10" s="41" t="s">
        <v>154</v>
      </c>
      <c r="C10" s="71" t="s">
        <v>27</v>
      </c>
      <c r="D10" s="418">
        <v>2007</v>
      </c>
      <c r="E10" s="141">
        <f t="shared" si="0"/>
        <v>224.84</v>
      </c>
      <c r="F10" s="174" t="s">
        <v>47</v>
      </c>
      <c r="G10" s="175" t="str">
        <f>IF('TRA-M'!$A$2-D10&lt;=1,IF(T10&gt;=$P$3,"YES",IF(AA10&gt;=$W$3,"YES",IF(AH10&gt;=$AD$3,"YES",""))),"")</f>
        <v/>
      </c>
      <c r="H10" s="176" t="str">
        <f t="shared" si="1"/>
        <v>YES</v>
      </c>
      <c r="I10" s="177" t="str">
        <f t="shared" si="2"/>
        <v/>
      </c>
      <c r="J10" s="178" t="str">
        <f t="shared" si="3"/>
        <v/>
      </c>
      <c r="K10" s="140">
        <f t="shared" si="4"/>
        <v>102.145</v>
      </c>
      <c r="L10" s="125">
        <f t="shared" si="5"/>
        <v>46.42</v>
      </c>
      <c r="M10" s="125">
        <f t="shared" si="6"/>
        <v>12.205</v>
      </c>
      <c r="N10" s="135">
        <f t="shared" si="7"/>
        <v>48.82</v>
      </c>
      <c r="O10" s="157">
        <f t="shared" si="8"/>
        <v>15.249999999999998</v>
      </c>
      <c r="P10" s="510"/>
      <c r="Q10" s="511"/>
      <c r="R10" s="279"/>
      <c r="S10" s="279"/>
      <c r="T10" s="139">
        <f t="shared" si="9"/>
        <v>0</v>
      </c>
      <c r="U10" s="511"/>
      <c r="V10" s="511"/>
      <c r="W10" s="510">
        <f>26.4+2.7</f>
        <v>29.099999999999998</v>
      </c>
      <c r="X10" s="511">
        <v>17.32</v>
      </c>
      <c r="Y10" s="388">
        <f>4.8+3.8</f>
        <v>8.6</v>
      </c>
      <c r="Z10" s="388">
        <v>3.605</v>
      </c>
      <c r="AA10" s="139">
        <f t="shared" si="10"/>
        <v>58.625</v>
      </c>
      <c r="AB10" s="511"/>
      <c r="AC10" s="511"/>
      <c r="AD10" s="510">
        <f>27.2+2.7</f>
        <v>29.9</v>
      </c>
      <c r="AE10" s="542">
        <v>17.73</v>
      </c>
      <c r="AF10" s="318">
        <f>22.2+16</f>
        <v>38.200000000000003</v>
      </c>
      <c r="AG10" s="279">
        <v>16.315000000000001</v>
      </c>
      <c r="AH10" s="139">
        <f t="shared" si="11"/>
        <v>102.145</v>
      </c>
      <c r="AI10" s="511">
        <f>19.6+14.5</f>
        <v>34.1</v>
      </c>
      <c r="AJ10" s="511">
        <v>14.72</v>
      </c>
      <c r="AK10" s="413">
        <f t="shared" si="12"/>
        <v>1.1899999999999977</v>
      </c>
      <c r="AL10" s="125">
        <f t="shared" si="13"/>
        <v>15.249999999999998</v>
      </c>
      <c r="AM10" s="135" t="str">
        <f t="shared" si="14"/>
        <v/>
      </c>
      <c r="AN10" s="140">
        <f t="shared" si="15"/>
        <v>47.61</v>
      </c>
      <c r="AO10" s="125">
        <f t="shared" si="16"/>
        <v>27.454999999999998</v>
      </c>
      <c r="AP10" s="135" t="str">
        <f t="shared" si="17"/>
        <v/>
      </c>
      <c r="AQ10" s="510"/>
      <c r="AR10" s="511"/>
      <c r="AS10" s="511"/>
      <c r="AT10" s="511"/>
      <c r="AU10" s="152" t="str">
        <f t="shared" si="18"/>
        <v/>
      </c>
      <c r="AV10" s="511"/>
      <c r="AW10" s="511"/>
      <c r="AX10" s="510">
        <f>27.6+2.7</f>
        <v>30.3</v>
      </c>
      <c r="AY10" s="511">
        <v>17.309999999999999</v>
      </c>
      <c r="AZ10" s="143">
        <f>10.8+8.2</f>
        <v>19</v>
      </c>
      <c r="BA10" s="143">
        <v>8.4550000000000001</v>
      </c>
      <c r="BB10" s="152">
        <f t="shared" si="19"/>
        <v>75.064999999999998</v>
      </c>
      <c r="BC10" s="511"/>
      <c r="BD10" s="511"/>
      <c r="BE10" s="510">
        <f>25.8+2.7</f>
        <v>28.5</v>
      </c>
      <c r="BF10" s="511">
        <v>17.434999999999999</v>
      </c>
      <c r="BG10" s="143">
        <f>6.9+5.5</f>
        <v>12.4</v>
      </c>
      <c r="BH10" s="143">
        <v>5.3049999999999997</v>
      </c>
      <c r="BI10" s="152">
        <f t="shared" si="20"/>
        <v>63.64</v>
      </c>
      <c r="BJ10" s="511"/>
      <c r="BK10" s="511"/>
      <c r="BL10" s="510"/>
      <c r="BM10" s="511"/>
      <c r="BN10" s="511"/>
      <c r="BO10" s="511"/>
      <c r="BP10" s="152" t="str">
        <f t="shared" si="21"/>
        <v/>
      </c>
      <c r="BQ10" s="511"/>
      <c r="BR10" s="511"/>
      <c r="BS10" s="510"/>
      <c r="BT10" s="511"/>
      <c r="BU10" s="511"/>
      <c r="BV10" s="511"/>
      <c r="BW10" s="152" t="str">
        <f t="shared" si="22"/>
        <v/>
      </c>
      <c r="BX10" s="511"/>
      <c r="BY10" s="511"/>
      <c r="BZ10" s="438"/>
      <c r="CA10" s="439"/>
      <c r="CB10" s="439"/>
      <c r="CC10" s="439"/>
      <c r="CD10" s="152" t="str">
        <f t="shared" si="23"/>
        <v/>
      </c>
      <c r="CE10" s="439"/>
      <c r="CF10" s="439"/>
      <c r="CG10" s="438"/>
      <c r="CH10" s="439"/>
      <c r="CI10" s="439"/>
      <c r="CJ10" s="439"/>
      <c r="CK10" s="152" t="str">
        <f t="shared" si="24"/>
        <v/>
      </c>
      <c r="CL10" s="439"/>
      <c r="CM10" s="439"/>
      <c r="CN10" s="438"/>
      <c r="CO10" s="439"/>
      <c r="CP10" s="439"/>
      <c r="CQ10" s="439"/>
      <c r="CR10" s="152" t="str">
        <f t="shared" si="25"/>
        <v/>
      </c>
      <c r="CS10" s="439"/>
      <c r="CT10" s="439"/>
      <c r="CU10" s="438"/>
      <c r="CV10" s="439"/>
      <c r="CW10" s="439"/>
      <c r="CX10" s="439"/>
      <c r="CY10" s="152" t="str">
        <f t="shared" si="26"/>
        <v/>
      </c>
      <c r="CZ10" s="439"/>
      <c r="DA10" s="439"/>
      <c r="DB10" s="408"/>
      <c r="DC10" s="409"/>
      <c r="DD10" s="409"/>
      <c r="DE10" s="409"/>
      <c r="DF10" s="152" t="str">
        <f t="shared" si="27"/>
        <v/>
      </c>
      <c r="DG10" s="486"/>
      <c r="DH10" s="487"/>
      <c r="DI10" s="408"/>
      <c r="DJ10" s="409"/>
      <c r="DK10" s="409"/>
      <c r="DL10" s="409"/>
      <c r="DM10" s="152" t="str">
        <f t="shared" si="28"/>
        <v/>
      </c>
      <c r="DN10" s="486"/>
      <c r="DO10" s="487"/>
      <c r="DP10" s="408"/>
      <c r="DQ10" s="409"/>
      <c r="DR10" s="409"/>
      <c r="DS10" s="409"/>
      <c r="DT10" s="152" t="str">
        <f t="shared" si="29"/>
        <v/>
      </c>
      <c r="DU10" s="486"/>
      <c r="DV10" s="487"/>
      <c r="DW10" s="419"/>
      <c r="DX10" s="409"/>
      <c r="DY10" s="420"/>
      <c r="DZ10" s="409"/>
      <c r="EA10" s="152" t="str">
        <f t="shared" si="30"/>
        <v/>
      </c>
      <c r="EB10" s="420"/>
      <c r="EC10" s="409"/>
      <c r="ED10" s="419"/>
      <c r="EE10" s="409"/>
      <c r="EF10" s="417"/>
      <c r="EG10" s="411"/>
      <c r="EH10" s="152" t="str">
        <f t="shared" si="31"/>
        <v/>
      </c>
      <c r="EI10" s="6"/>
      <c r="EJ10" s="411"/>
      <c r="EK10" s="416"/>
      <c r="EL10" s="411"/>
      <c r="EM10" s="417"/>
      <c r="EN10" s="411"/>
      <c r="EO10" s="139" t="str">
        <f t="shared" si="32"/>
        <v/>
      </c>
      <c r="EP10" s="6"/>
      <c r="EQ10" s="412"/>
      <c r="ER10" s="78"/>
    </row>
    <row r="11" spans="1:148" customFormat="1" x14ac:dyDescent="0.15">
      <c r="A11" s="122"/>
      <c r="B11" s="41" t="s">
        <v>155</v>
      </c>
      <c r="C11" s="123" t="s">
        <v>26</v>
      </c>
      <c r="D11" s="505">
        <v>2011</v>
      </c>
      <c r="E11" s="317">
        <f t="shared" si="0"/>
        <v>244.44500000000002</v>
      </c>
      <c r="F11" s="320"/>
      <c r="G11" s="175" t="str">
        <f>IF('TRA-M'!$A$2-D11&lt;=1,IF(T11&gt;=$P$3,"YES",IF(AA11&gt;=$W$3,"YES",IF(AH11&gt;=$AD$3,"YES",""))),"")</f>
        <v/>
      </c>
      <c r="H11" s="176" t="str">
        <f t="shared" si="1"/>
        <v/>
      </c>
      <c r="I11" s="177" t="str">
        <f t="shared" si="2"/>
        <v/>
      </c>
      <c r="J11" s="178" t="str">
        <f t="shared" si="3"/>
        <v/>
      </c>
      <c r="K11" s="140">
        <f t="shared" si="4"/>
        <v>96.27</v>
      </c>
      <c r="L11" s="125">
        <f t="shared" si="5"/>
        <v>45.66</v>
      </c>
      <c r="M11" s="125">
        <f t="shared" si="6"/>
        <v>49.8</v>
      </c>
      <c r="N11" s="135">
        <f t="shared" si="7"/>
        <v>52.715000000000003</v>
      </c>
      <c r="O11" s="157" t="str">
        <f t="shared" si="8"/>
        <v/>
      </c>
      <c r="P11" s="510"/>
      <c r="Q11" s="511"/>
      <c r="R11" s="542"/>
      <c r="S11" s="542"/>
      <c r="T11" s="139">
        <f t="shared" si="9"/>
        <v>0</v>
      </c>
      <c r="U11" s="511"/>
      <c r="V11" s="512"/>
      <c r="W11" s="510">
        <f>25.8+2.9</f>
        <v>28.7</v>
      </c>
      <c r="X11" s="511">
        <v>16.96</v>
      </c>
      <c r="Y11" s="542">
        <f>21+13.3</f>
        <v>34.299999999999997</v>
      </c>
      <c r="Z11" s="542">
        <v>15.5</v>
      </c>
      <c r="AA11" s="139">
        <f t="shared" si="10"/>
        <v>95.46</v>
      </c>
      <c r="AB11" s="511">
        <f>21.6+14.8</f>
        <v>36.400000000000006</v>
      </c>
      <c r="AC11" s="512">
        <v>16.315000000000001</v>
      </c>
      <c r="AD11" s="510">
        <f>25.7+2.9</f>
        <v>28.599999999999998</v>
      </c>
      <c r="AE11" s="511">
        <v>16.864999999999998</v>
      </c>
      <c r="AF11" s="542">
        <f>20.9+14</f>
        <v>34.9</v>
      </c>
      <c r="AG11" s="542">
        <v>15.904999999999999</v>
      </c>
      <c r="AH11" s="139">
        <f t="shared" si="11"/>
        <v>96.27</v>
      </c>
      <c r="AI11" s="511">
        <f>21.6+13.8</f>
        <v>35.400000000000006</v>
      </c>
      <c r="AJ11" s="512">
        <v>15.565</v>
      </c>
      <c r="AK11" s="140" t="str">
        <f t="shared" si="12"/>
        <v/>
      </c>
      <c r="AL11" s="125" t="str">
        <f t="shared" si="13"/>
        <v/>
      </c>
      <c r="AM11" s="135" t="str">
        <f t="shared" si="14"/>
        <v/>
      </c>
      <c r="AN11" s="140" t="str">
        <f t="shared" si="15"/>
        <v/>
      </c>
      <c r="AO11" s="125" t="str">
        <f t="shared" si="16"/>
        <v/>
      </c>
      <c r="AP11" s="135" t="str">
        <f t="shared" si="17"/>
        <v/>
      </c>
      <c r="AQ11" s="510"/>
      <c r="AR11" s="511"/>
      <c r="AS11" s="511"/>
      <c r="AT11" s="511"/>
      <c r="AU11" s="152" t="str">
        <f t="shared" si="18"/>
        <v/>
      </c>
      <c r="AV11" s="511"/>
      <c r="AW11" s="511"/>
      <c r="AX11" s="510"/>
      <c r="AY11" s="511"/>
      <c r="AZ11" s="511"/>
      <c r="BA11" s="511"/>
      <c r="BB11" s="152" t="str">
        <f t="shared" si="19"/>
        <v/>
      </c>
      <c r="BC11" s="511"/>
      <c r="BD11" s="511"/>
      <c r="BE11" s="510"/>
      <c r="BF11" s="511"/>
      <c r="BG11" s="511"/>
      <c r="BH11" s="511"/>
      <c r="BI11" s="152" t="str">
        <f t="shared" si="20"/>
        <v/>
      </c>
      <c r="BJ11" s="511"/>
      <c r="BK11" s="511"/>
      <c r="BL11" s="510"/>
      <c r="BM11" s="511"/>
      <c r="BN11" s="511"/>
      <c r="BO11" s="511"/>
      <c r="BP11" s="152" t="str">
        <f t="shared" si="21"/>
        <v/>
      </c>
      <c r="BQ11" s="511"/>
      <c r="BR11" s="511"/>
      <c r="BS11" s="510"/>
      <c r="BT11" s="511"/>
      <c r="BU11" s="511"/>
      <c r="BV11" s="511"/>
      <c r="BW11" s="152" t="str">
        <f t="shared" si="22"/>
        <v/>
      </c>
      <c r="BX11" s="511"/>
      <c r="BY11" s="511"/>
      <c r="BZ11" s="498"/>
      <c r="CA11" s="499"/>
      <c r="CB11" s="499"/>
      <c r="CC11" s="499"/>
      <c r="CD11" s="152" t="str">
        <f t="shared" si="23"/>
        <v/>
      </c>
      <c r="CE11" s="439"/>
      <c r="CF11" s="439"/>
      <c r="CG11" s="498"/>
      <c r="CH11" s="499"/>
      <c r="CI11" s="499"/>
      <c r="CJ11" s="499"/>
      <c r="CK11" s="152" t="str">
        <f t="shared" si="24"/>
        <v/>
      </c>
      <c r="CL11" s="439"/>
      <c r="CM11" s="439"/>
      <c r="CN11" s="498"/>
      <c r="CO11" s="499"/>
      <c r="CP11" s="499"/>
      <c r="CQ11" s="499"/>
      <c r="CR11" s="152" t="str">
        <f t="shared" si="25"/>
        <v/>
      </c>
      <c r="CS11" s="439"/>
      <c r="CT11" s="439"/>
      <c r="CU11" s="498"/>
      <c r="CV11" s="499"/>
      <c r="CW11" s="499"/>
      <c r="CX11" s="499"/>
      <c r="CY11" s="152" t="str">
        <f t="shared" si="26"/>
        <v/>
      </c>
      <c r="CZ11" s="439"/>
      <c r="DA11" s="439"/>
      <c r="DB11" s="183"/>
      <c r="DC11" s="149"/>
      <c r="DD11" s="149"/>
      <c r="DE11" s="149"/>
      <c r="DF11" s="152" t="str">
        <f t="shared" si="27"/>
        <v/>
      </c>
      <c r="DG11" s="500"/>
      <c r="DH11" s="501"/>
      <c r="DI11" s="183"/>
      <c r="DJ11" s="149"/>
      <c r="DK11" s="149"/>
      <c r="DL11" s="149"/>
      <c r="DM11" s="152" t="str">
        <f t="shared" si="28"/>
        <v/>
      </c>
      <c r="DN11" s="500"/>
      <c r="DO11" s="501"/>
      <c r="DP11" s="183"/>
      <c r="DQ11" s="149"/>
      <c r="DR11" s="149"/>
      <c r="DS11" s="149"/>
      <c r="DT11" s="152" t="str">
        <f t="shared" si="29"/>
        <v/>
      </c>
      <c r="DU11" s="500"/>
      <c r="DV11" s="501"/>
      <c r="DW11" s="45"/>
      <c r="DX11" s="127"/>
      <c r="DY11" s="551"/>
      <c r="DZ11" s="127"/>
      <c r="EA11" s="152" t="str">
        <f t="shared" si="30"/>
        <v/>
      </c>
      <c r="EB11" s="420"/>
      <c r="EC11" s="409"/>
      <c r="ED11" s="120"/>
      <c r="EE11" s="149"/>
      <c r="EF11" s="13"/>
      <c r="EG11" s="150"/>
      <c r="EH11" s="152" t="str">
        <f t="shared" si="31"/>
        <v/>
      </c>
      <c r="EI11" s="6"/>
      <c r="EJ11" s="500"/>
      <c r="EK11" s="78"/>
      <c r="EL11" s="150"/>
      <c r="EM11" s="13"/>
      <c r="EN11" s="150"/>
      <c r="EO11" s="139" t="str">
        <f t="shared" si="32"/>
        <v/>
      </c>
      <c r="EP11" s="6"/>
      <c r="EQ11" s="501"/>
      <c r="ER11" s="78"/>
    </row>
    <row r="12" spans="1:148" customFormat="1" x14ac:dyDescent="0.15">
      <c r="A12" s="334">
        <v>5</v>
      </c>
      <c r="B12" s="41" t="s">
        <v>99</v>
      </c>
      <c r="C12" s="116" t="s">
        <v>25</v>
      </c>
      <c r="D12" s="48">
        <v>2015</v>
      </c>
      <c r="E12" s="141">
        <f t="shared" si="0"/>
        <v>239.73500000000001</v>
      </c>
      <c r="F12" s="174"/>
      <c r="G12" s="182" t="str">
        <f>IF('TRA-M'!$A$2-D12&lt;=1,IF(T12&gt;=$P$3,"YES",IF(AA12&gt;=$W$3,"YES",IF(AH12&gt;=$AD$3,"YES",""))),"")</f>
        <v>YES</v>
      </c>
      <c r="H12" s="176" t="str">
        <f t="shared" si="1"/>
        <v/>
      </c>
      <c r="I12" s="177" t="str">
        <f t="shared" si="2"/>
        <v/>
      </c>
      <c r="J12" s="178" t="str">
        <f t="shared" si="3"/>
        <v/>
      </c>
      <c r="K12" s="140">
        <f t="shared" si="4"/>
        <v>96.245000000000005</v>
      </c>
      <c r="L12" s="125">
        <f t="shared" si="5"/>
        <v>44.594999999999999</v>
      </c>
      <c r="M12" s="125">
        <f t="shared" si="6"/>
        <v>46.49</v>
      </c>
      <c r="N12" s="135">
        <f t="shared" si="7"/>
        <v>52.405000000000001</v>
      </c>
      <c r="O12" s="157" t="str">
        <f t="shared" si="8"/>
        <v/>
      </c>
      <c r="P12" s="510"/>
      <c r="Q12" s="511"/>
      <c r="R12" s="279"/>
      <c r="S12" s="279"/>
      <c r="T12" s="139">
        <f t="shared" si="9"/>
        <v>0</v>
      </c>
      <c r="U12" s="511"/>
      <c r="V12" s="512"/>
      <c r="W12" s="510">
        <f>24.9+3.1</f>
        <v>28</v>
      </c>
      <c r="X12" s="511">
        <v>16.594999999999999</v>
      </c>
      <c r="Y12" s="279">
        <f>20.4+12.1</f>
        <v>32.5</v>
      </c>
      <c r="Z12" s="279">
        <v>13.99</v>
      </c>
      <c r="AA12" s="139">
        <f t="shared" si="10"/>
        <v>91.084999999999994</v>
      </c>
      <c r="AB12" s="511">
        <f>22.8+14.1</f>
        <v>36.9</v>
      </c>
      <c r="AC12" s="512">
        <v>15.505000000000001</v>
      </c>
      <c r="AD12" s="510">
        <f>25.7+2.7</f>
        <v>28.4</v>
      </c>
      <c r="AE12" s="511">
        <v>16.62</v>
      </c>
      <c r="AF12" s="279">
        <f>22.4+13.3</f>
        <v>35.700000000000003</v>
      </c>
      <c r="AG12" s="279">
        <v>15.525</v>
      </c>
      <c r="AH12" s="139">
        <f t="shared" si="11"/>
        <v>96.245000000000005</v>
      </c>
      <c r="AI12" s="542">
        <f>21.6+13.5</f>
        <v>35.1</v>
      </c>
      <c r="AJ12" s="543">
        <v>15.56</v>
      </c>
      <c r="AK12" s="140" t="str">
        <f t="shared" si="12"/>
        <v/>
      </c>
      <c r="AL12" s="125" t="str">
        <f t="shared" si="13"/>
        <v/>
      </c>
      <c r="AM12" s="135" t="str">
        <f t="shared" si="14"/>
        <v/>
      </c>
      <c r="AN12" s="140" t="str">
        <f t="shared" si="15"/>
        <v/>
      </c>
      <c r="AO12" s="125" t="str">
        <f t="shared" si="16"/>
        <v/>
      </c>
      <c r="AP12" s="135" t="str">
        <f t="shared" si="17"/>
        <v/>
      </c>
      <c r="AQ12" s="165"/>
      <c r="AR12" s="127"/>
      <c r="AS12" s="127"/>
      <c r="AT12" s="127"/>
      <c r="AU12" s="152" t="str">
        <f t="shared" si="18"/>
        <v/>
      </c>
      <c r="AV12" s="511"/>
      <c r="AW12" s="511"/>
      <c r="AX12" s="165"/>
      <c r="AY12" s="127"/>
      <c r="AZ12" s="127"/>
      <c r="BA12" s="127"/>
      <c r="BB12" s="152" t="str">
        <f t="shared" si="19"/>
        <v/>
      </c>
      <c r="BC12" s="511"/>
      <c r="BD12" s="511"/>
      <c r="BE12" s="165"/>
      <c r="BF12" s="127"/>
      <c r="BG12" s="127"/>
      <c r="BH12" s="127"/>
      <c r="BI12" s="152" t="str">
        <f t="shared" si="20"/>
        <v/>
      </c>
      <c r="BJ12" s="511"/>
      <c r="BK12" s="511"/>
      <c r="BL12" s="165"/>
      <c r="BM12" s="127"/>
      <c r="BN12" s="127"/>
      <c r="BO12" s="127"/>
      <c r="BP12" s="152" t="str">
        <f t="shared" si="21"/>
        <v/>
      </c>
      <c r="BQ12" s="511"/>
      <c r="BR12" s="511"/>
      <c r="BS12" s="165"/>
      <c r="BT12" s="127"/>
      <c r="BU12" s="127"/>
      <c r="BV12" s="127"/>
      <c r="BW12" s="152" t="str">
        <f t="shared" si="22"/>
        <v/>
      </c>
      <c r="BX12" s="511"/>
      <c r="BY12" s="511"/>
      <c r="BZ12" s="165"/>
      <c r="CA12" s="127"/>
      <c r="CB12" s="127"/>
      <c r="CC12" s="127"/>
      <c r="CD12" s="152" t="str">
        <f t="shared" si="23"/>
        <v/>
      </c>
      <c r="CE12" s="486"/>
      <c r="CF12" s="486"/>
      <c r="CG12" s="165"/>
      <c r="CH12" s="127"/>
      <c r="CI12" s="127"/>
      <c r="CJ12" s="127"/>
      <c r="CK12" s="152" t="str">
        <f t="shared" si="24"/>
        <v/>
      </c>
      <c r="CL12" s="486"/>
      <c r="CM12" s="486"/>
      <c r="CN12" s="165"/>
      <c r="CO12" s="127"/>
      <c r="CP12" s="127"/>
      <c r="CQ12" s="127"/>
      <c r="CR12" s="152" t="str">
        <f t="shared" si="25"/>
        <v/>
      </c>
      <c r="CS12" s="486"/>
      <c r="CT12" s="486"/>
      <c r="CU12" s="165"/>
      <c r="CV12" s="127"/>
      <c r="CW12" s="127"/>
      <c r="CX12" s="127"/>
      <c r="CY12" s="152" t="str">
        <f t="shared" si="26"/>
        <v/>
      </c>
      <c r="CZ12" s="397"/>
      <c r="DA12" s="397"/>
      <c r="DB12" s="165"/>
      <c r="DC12" s="127"/>
      <c r="DD12" s="127"/>
      <c r="DE12" s="127"/>
      <c r="DF12" s="152" t="str">
        <f t="shared" si="27"/>
        <v/>
      </c>
      <c r="DG12" s="127"/>
      <c r="DH12" s="133"/>
      <c r="DI12" s="165"/>
      <c r="DJ12" s="127"/>
      <c r="DK12" s="127"/>
      <c r="DL12" s="127"/>
      <c r="DM12" s="152" t="str">
        <f t="shared" si="28"/>
        <v/>
      </c>
      <c r="DN12" s="127"/>
      <c r="DO12" s="133"/>
      <c r="DP12" s="165"/>
      <c r="DQ12" s="127"/>
      <c r="DR12" s="127"/>
      <c r="DS12" s="127"/>
      <c r="DT12" s="152" t="str">
        <f t="shared" si="29"/>
        <v/>
      </c>
      <c r="DU12" s="127"/>
      <c r="DV12" s="133"/>
      <c r="DW12" s="45"/>
      <c r="DX12" s="127"/>
      <c r="DY12" s="529"/>
      <c r="DZ12" s="127"/>
      <c r="EA12" s="152" t="str">
        <f t="shared" si="30"/>
        <v/>
      </c>
      <c r="EB12" s="493"/>
      <c r="EC12" s="486"/>
      <c r="ED12" s="45"/>
      <c r="EE12" s="127"/>
      <c r="EF12" s="545"/>
      <c r="EG12" s="536"/>
      <c r="EH12" s="152" t="str">
        <f t="shared" si="31"/>
        <v/>
      </c>
      <c r="EI12" s="6"/>
      <c r="EJ12" s="536"/>
      <c r="EK12" s="544"/>
      <c r="EL12" s="536"/>
      <c r="EM12" s="545"/>
      <c r="EN12" s="536"/>
      <c r="EO12" s="139" t="str">
        <f t="shared" si="32"/>
        <v/>
      </c>
      <c r="EP12" s="6"/>
      <c r="EQ12" s="537"/>
      <c r="ER12" s="78"/>
    </row>
    <row r="13" spans="1:148" customFormat="1" x14ac:dyDescent="0.15">
      <c r="A13" s="334"/>
      <c r="B13" s="41" t="s">
        <v>87</v>
      </c>
      <c r="C13" s="123" t="s">
        <v>26</v>
      </c>
      <c r="D13" s="505">
        <v>2016</v>
      </c>
      <c r="E13" s="141">
        <f t="shared" si="0"/>
        <v>238.875</v>
      </c>
      <c r="F13" s="174"/>
      <c r="G13" s="175" t="str">
        <f>IF('TRA-M'!$A$2-D13&lt;=1,IF(T13&gt;=$P$3,"YES",IF(AA13&gt;=$W$3,"YES",IF(AH13&gt;=$AD$3,"YES",""))),"")</f>
        <v/>
      </c>
      <c r="H13" s="176" t="str">
        <f t="shared" si="1"/>
        <v/>
      </c>
      <c r="I13" s="177" t="str">
        <f t="shared" si="2"/>
        <v/>
      </c>
      <c r="J13" s="178" t="str">
        <f t="shared" si="3"/>
        <v/>
      </c>
      <c r="K13" s="140">
        <f t="shared" si="4"/>
        <v>95.199999999999989</v>
      </c>
      <c r="L13" s="125">
        <f t="shared" si="5"/>
        <v>44.605000000000004</v>
      </c>
      <c r="M13" s="125">
        <f t="shared" si="6"/>
        <v>47.924999999999997</v>
      </c>
      <c r="N13" s="135">
        <f t="shared" si="7"/>
        <v>51.144999999999996</v>
      </c>
      <c r="O13" s="157" t="str">
        <f t="shared" si="8"/>
        <v/>
      </c>
      <c r="P13" s="510"/>
      <c r="Q13" s="511"/>
      <c r="R13" s="279"/>
      <c r="S13" s="279"/>
      <c r="T13" s="139">
        <f t="shared" si="9"/>
        <v>0</v>
      </c>
      <c r="U13" s="511"/>
      <c r="V13" s="512"/>
      <c r="W13" s="510">
        <f>24.9+2.7</f>
        <v>27.599999999999998</v>
      </c>
      <c r="X13" s="511">
        <v>16.734999999999999</v>
      </c>
      <c r="Y13" s="279">
        <f>21.3+14.2</f>
        <v>35.5</v>
      </c>
      <c r="Z13" s="279">
        <v>15.365</v>
      </c>
      <c r="AA13" s="139">
        <f t="shared" si="10"/>
        <v>95.199999999999989</v>
      </c>
      <c r="AB13" s="511">
        <f>21.6+13.8-0.3</f>
        <v>35.100000000000009</v>
      </c>
      <c r="AC13" s="512">
        <v>15.215</v>
      </c>
      <c r="AD13" s="510">
        <f>25.3+2.5</f>
        <v>27.8</v>
      </c>
      <c r="AE13" s="511">
        <v>16.805</v>
      </c>
      <c r="AF13" s="279">
        <f>20.2+12.9</f>
        <v>33.1</v>
      </c>
      <c r="AG13" s="279">
        <v>14.824999999999999</v>
      </c>
      <c r="AH13" s="139">
        <f t="shared" si="11"/>
        <v>92.530000000000015</v>
      </c>
      <c r="AI13" s="511">
        <f>21.7+14.2</f>
        <v>35.9</v>
      </c>
      <c r="AJ13" s="512">
        <v>15.244999999999999</v>
      </c>
      <c r="AK13" s="140" t="str">
        <f t="shared" si="12"/>
        <v/>
      </c>
      <c r="AL13" s="125" t="str">
        <f t="shared" si="13"/>
        <v/>
      </c>
      <c r="AM13" s="135" t="str">
        <f t="shared" si="14"/>
        <v/>
      </c>
      <c r="AN13" s="140" t="str">
        <f t="shared" si="15"/>
        <v/>
      </c>
      <c r="AO13" s="125" t="str">
        <f t="shared" si="16"/>
        <v/>
      </c>
      <c r="AP13" s="135" t="str">
        <f t="shared" si="17"/>
        <v/>
      </c>
      <c r="AQ13" s="510"/>
      <c r="AR13" s="511"/>
      <c r="AS13" s="511"/>
      <c r="AT13" s="511"/>
      <c r="AU13" s="152" t="str">
        <f t="shared" si="18"/>
        <v/>
      </c>
      <c r="AV13" s="511"/>
      <c r="AW13" s="511"/>
      <c r="AX13" s="510"/>
      <c r="AY13" s="511"/>
      <c r="AZ13" s="511"/>
      <c r="BA13" s="511"/>
      <c r="BB13" s="152" t="str">
        <f t="shared" si="19"/>
        <v/>
      </c>
      <c r="BC13" s="511"/>
      <c r="BD13" s="511"/>
      <c r="BE13" s="510"/>
      <c r="BF13" s="511"/>
      <c r="BG13" s="511"/>
      <c r="BH13" s="511"/>
      <c r="BI13" s="152" t="str">
        <f t="shared" si="20"/>
        <v/>
      </c>
      <c r="BJ13" s="511"/>
      <c r="BK13" s="511"/>
      <c r="BL13" s="510"/>
      <c r="BM13" s="511"/>
      <c r="BN13" s="511"/>
      <c r="BO13" s="511"/>
      <c r="BP13" s="152" t="str">
        <f t="shared" si="21"/>
        <v/>
      </c>
      <c r="BQ13" s="511"/>
      <c r="BR13" s="511"/>
      <c r="BS13" s="510"/>
      <c r="BT13" s="511"/>
      <c r="BU13" s="511"/>
      <c r="BV13" s="511"/>
      <c r="BW13" s="152" t="str">
        <f t="shared" si="22"/>
        <v/>
      </c>
      <c r="BX13" s="511"/>
      <c r="BY13" s="511"/>
      <c r="BZ13" s="498"/>
      <c r="CA13" s="499"/>
      <c r="CB13" s="499"/>
      <c r="CC13" s="499"/>
      <c r="CD13" s="152" t="str">
        <f t="shared" si="23"/>
        <v/>
      </c>
      <c r="CE13" s="409"/>
      <c r="CF13" s="409"/>
      <c r="CG13" s="498"/>
      <c r="CH13" s="499"/>
      <c r="CI13" s="499"/>
      <c r="CJ13" s="499"/>
      <c r="CK13" s="152" t="str">
        <f t="shared" si="24"/>
        <v/>
      </c>
      <c r="CL13" s="409"/>
      <c r="CM13" s="409"/>
      <c r="CN13" s="498"/>
      <c r="CO13" s="499"/>
      <c r="CP13" s="499"/>
      <c r="CQ13" s="499"/>
      <c r="CR13" s="152" t="str">
        <f t="shared" si="25"/>
        <v/>
      </c>
      <c r="CS13" s="409"/>
      <c r="CT13" s="409"/>
      <c r="CU13" s="498"/>
      <c r="CV13" s="499"/>
      <c r="CW13" s="499"/>
      <c r="CX13" s="499"/>
      <c r="CY13" s="152" t="str">
        <f t="shared" si="26"/>
        <v/>
      </c>
      <c r="CZ13" s="397"/>
      <c r="DA13" s="397"/>
      <c r="DB13" s="510"/>
      <c r="DC13" s="511"/>
      <c r="DD13" s="511"/>
      <c r="DE13" s="511"/>
      <c r="DF13" s="152" t="str">
        <f t="shared" si="27"/>
        <v/>
      </c>
      <c r="DG13" s="500"/>
      <c r="DH13" s="501"/>
      <c r="DI13" s="510"/>
      <c r="DJ13" s="511"/>
      <c r="DK13" s="511"/>
      <c r="DL13" s="511"/>
      <c r="DM13" s="152" t="str">
        <f t="shared" si="28"/>
        <v/>
      </c>
      <c r="DN13" s="500"/>
      <c r="DO13" s="501"/>
      <c r="DP13" s="510"/>
      <c r="DQ13" s="511"/>
      <c r="DR13" s="511"/>
      <c r="DS13" s="511"/>
      <c r="DT13" s="152" t="str">
        <f t="shared" si="29"/>
        <v/>
      </c>
      <c r="DU13" s="500"/>
      <c r="DV13" s="501"/>
      <c r="DW13" s="522"/>
      <c r="DX13" s="511"/>
      <c r="DY13" s="523"/>
      <c r="DZ13" s="511"/>
      <c r="EA13" s="152" t="str">
        <f t="shared" si="30"/>
        <v/>
      </c>
      <c r="EB13" s="420"/>
      <c r="EC13" s="409"/>
      <c r="ED13" s="522"/>
      <c r="EE13" s="511"/>
      <c r="EF13" s="519"/>
      <c r="EG13" s="513"/>
      <c r="EH13" s="152" t="str">
        <f t="shared" si="31"/>
        <v/>
      </c>
      <c r="EI13" s="6"/>
      <c r="EJ13" s="500"/>
      <c r="EK13" s="518"/>
      <c r="EL13" s="513"/>
      <c r="EM13" s="519"/>
      <c r="EN13" s="513"/>
      <c r="EO13" s="139" t="str">
        <f t="shared" si="32"/>
        <v/>
      </c>
      <c r="EP13" s="6"/>
      <c r="EQ13" s="501"/>
      <c r="ER13" s="78"/>
    </row>
    <row r="14" spans="1:148" customFormat="1" x14ac:dyDescent="0.15">
      <c r="A14" s="334">
        <v>6</v>
      </c>
      <c r="B14" s="41" t="s">
        <v>129</v>
      </c>
      <c r="C14" s="123" t="s">
        <v>24</v>
      </c>
      <c r="D14" s="534">
        <v>2016</v>
      </c>
      <c r="E14" s="141">
        <f t="shared" si="0"/>
        <v>223.66000000000003</v>
      </c>
      <c r="F14" s="174"/>
      <c r="G14" s="175" t="str">
        <f>IF('TRA-M'!$A$2-D14&lt;=1,IF(T14&gt;=$P$3,"YES",IF(AA14&gt;=$W$3,"YES",IF(AH14&gt;=$AD$3,"YES",""))),"")</f>
        <v>YES</v>
      </c>
      <c r="H14" s="176" t="str">
        <f t="shared" si="1"/>
        <v/>
      </c>
      <c r="I14" s="177" t="str">
        <f t="shared" si="2"/>
        <v/>
      </c>
      <c r="J14" s="178" t="str">
        <f t="shared" si="3"/>
        <v/>
      </c>
      <c r="K14" s="140">
        <f t="shared" si="4"/>
        <v>97.034999999999997</v>
      </c>
      <c r="L14" s="125">
        <f t="shared" si="5"/>
        <v>45.524999999999999</v>
      </c>
      <c r="M14" s="125">
        <f t="shared" si="6"/>
        <v>28.464999999999996</v>
      </c>
      <c r="N14" s="135">
        <f t="shared" si="7"/>
        <v>52.635000000000005</v>
      </c>
      <c r="O14" s="157" t="str">
        <f t="shared" si="8"/>
        <v/>
      </c>
      <c r="P14" s="510"/>
      <c r="Q14" s="511"/>
      <c r="R14" s="279"/>
      <c r="S14" s="279"/>
      <c r="T14" s="139">
        <f t="shared" si="9"/>
        <v>0</v>
      </c>
      <c r="U14" s="511"/>
      <c r="V14" s="512"/>
      <c r="W14" s="510">
        <f>25.2+3.3</f>
        <v>28.5</v>
      </c>
      <c r="X14" s="511">
        <v>16.43</v>
      </c>
      <c r="Y14" s="279">
        <f>22.2+14.2</f>
        <v>36.4</v>
      </c>
      <c r="Z14" s="279">
        <v>15.705</v>
      </c>
      <c r="AA14" s="139">
        <f t="shared" si="10"/>
        <v>97.034999999999997</v>
      </c>
      <c r="AB14" s="511">
        <f>22.5+14.2</f>
        <v>36.700000000000003</v>
      </c>
      <c r="AC14" s="512">
        <v>15.935</v>
      </c>
      <c r="AD14" s="510">
        <f>26.3+2.9</f>
        <v>29.2</v>
      </c>
      <c r="AE14" s="511">
        <v>16.324999999999999</v>
      </c>
      <c r="AF14" s="388">
        <f>12.2+6.7</f>
        <v>18.899999999999999</v>
      </c>
      <c r="AG14" s="388">
        <v>9.5649999999999995</v>
      </c>
      <c r="AH14" s="139">
        <f t="shared" si="11"/>
        <v>73.989999999999995</v>
      </c>
      <c r="AI14" s="511">
        <f>20.2+13.4</f>
        <v>33.6</v>
      </c>
      <c r="AJ14" s="512">
        <v>16.28</v>
      </c>
      <c r="AK14" s="140" t="str">
        <f t="shared" si="12"/>
        <v/>
      </c>
      <c r="AL14" s="125" t="str">
        <f t="shared" si="13"/>
        <v/>
      </c>
      <c r="AM14" s="135" t="str">
        <f t="shared" si="14"/>
        <v/>
      </c>
      <c r="AN14" s="140" t="str">
        <f t="shared" si="15"/>
        <v/>
      </c>
      <c r="AO14" s="125" t="str">
        <f t="shared" si="16"/>
        <v/>
      </c>
      <c r="AP14" s="135" t="str">
        <f t="shared" si="17"/>
        <v/>
      </c>
      <c r="AQ14" s="541"/>
      <c r="AR14" s="542"/>
      <c r="AS14" s="542"/>
      <c r="AT14" s="542"/>
      <c r="AU14" s="152" t="str">
        <f t="shared" si="18"/>
        <v/>
      </c>
      <c r="AV14" s="511"/>
      <c r="AW14" s="511"/>
      <c r="AX14" s="541"/>
      <c r="AY14" s="542"/>
      <c r="AZ14" s="542"/>
      <c r="BA14" s="542"/>
      <c r="BB14" s="152" t="str">
        <f t="shared" si="19"/>
        <v/>
      </c>
      <c r="BC14" s="511"/>
      <c r="BD14" s="511"/>
      <c r="BE14" s="541"/>
      <c r="BF14" s="542"/>
      <c r="BG14" s="542"/>
      <c r="BH14" s="542"/>
      <c r="BI14" s="152" t="str">
        <f t="shared" si="20"/>
        <v/>
      </c>
      <c r="BJ14" s="511"/>
      <c r="BK14" s="511"/>
      <c r="BL14" s="541"/>
      <c r="BM14" s="542"/>
      <c r="BN14" s="542"/>
      <c r="BO14" s="542"/>
      <c r="BP14" s="152" t="str">
        <f t="shared" si="21"/>
        <v/>
      </c>
      <c r="BQ14" s="511"/>
      <c r="BR14" s="511"/>
      <c r="BS14" s="541"/>
      <c r="BT14" s="542"/>
      <c r="BU14" s="542"/>
      <c r="BV14" s="542"/>
      <c r="BW14" s="152" t="str">
        <f t="shared" si="22"/>
        <v/>
      </c>
      <c r="BX14" s="511"/>
      <c r="BY14" s="511"/>
      <c r="BZ14" s="541"/>
      <c r="CA14" s="542"/>
      <c r="CB14" s="542"/>
      <c r="CC14" s="542"/>
      <c r="CD14" s="152" t="str">
        <f t="shared" si="23"/>
        <v/>
      </c>
      <c r="CE14" s="499"/>
      <c r="CF14" s="499"/>
      <c r="CG14" s="541"/>
      <c r="CH14" s="542"/>
      <c r="CI14" s="542"/>
      <c r="CJ14" s="542"/>
      <c r="CK14" s="152" t="str">
        <f t="shared" si="24"/>
        <v/>
      </c>
      <c r="CL14" s="499"/>
      <c r="CM14" s="499"/>
      <c r="CN14" s="541"/>
      <c r="CO14" s="542"/>
      <c r="CP14" s="542"/>
      <c r="CQ14" s="542"/>
      <c r="CR14" s="152" t="str">
        <f t="shared" si="25"/>
        <v/>
      </c>
      <c r="CS14" s="499"/>
      <c r="CT14" s="499"/>
      <c r="CU14" s="541"/>
      <c r="CV14" s="542"/>
      <c r="CW14" s="542"/>
      <c r="CX14" s="542"/>
      <c r="CY14" s="152" t="str">
        <f t="shared" si="26"/>
        <v/>
      </c>
      <c r="CZ14" s="316"/>
      <c r="DA14" s="316"/>
      <c r="DB14" s="541"/>
      <c r="DC14" s="542"/>
      <c r="DD14" s="542"/>
      <c r="DE14" s="542"/>
      <c r="DF14" s="152" t="str">
        <f t="shared" si="27"/>
        <v/>
      </c>
      <c r="DG14" s="539"/>
      <c r="DH14" s="540"/>
      <c r="DI14" s="541"/>
      <c r="DJ14" s="542"/>
      <c r="DK14" s="542"/>
      <c r="DL14" s="542"/>
      <c r="DM14" s="152" t="str">
        <f t="shared" si="28"/>
        <v/>
      </c>
      <c r="DN14" s="539"/>
      <c r="DO14" s="540"/>
      <c r="DP14" s="541"/>
      <c r="DQ14" s="542"/>
      <c r="DR14" s="542"/>
      <c r="DS14" s="542"/>
      <c r="DT14" s="152" t="str">
        <f t="shared" si="29"/>
        <v/>
      </c>
      <c r="DU14" s="539"/>
      <c r="DV14" s="540"/>
      <c r="DW14" s="547"/>
      <c r="DX14" s="542"/>
      <c r="DY14" s="548"/>
      <c r="DZ14" s="542"/>
      <c r="EA14" s="152" t="str">
        <f t="shared" si="30"/>
        <v/>
      </c>
      <c r="EB14" s="506"/>
      <c r="EC14" s="499"/>
      <c r="ED14" s="547"/>
      <c r="EE14" s="542"/>
      <c r="EF14" s="533"/>
      <c r="EG14" s="539"/>
      <c r="EH14" s="152" t="str">
        <f t="shared" si="31"/>
        <v/>
      </c>
      <c r="EI14" s="6"/>
      <c r="EJ14" s="539"/>
      <c r="EK14" s="532"/>
      <c r="EL14" s="539"/>
      <c r="EM14" s="533"/>
      <c r="EN14" s="539"/>
      <c r="EO14" s="139" t="str">
        <f t="shared" si="32"/>
        <v/>
      </c>
      <c r="EP14" s="6"/>
      <c r="EQ14" s="540"/>
      <c r="ER14" s="78"/>
    </row>
    <row r="15" spans="1:148" x14ac:dyDescent="0.15">
      <c r="A15" s="122"/>
      <c r="B15" s="41" t="s">
        <v>66</v>
      </c>
      <c r="C15" s="123" t="s">
        <v>27</v>
      </c>
      <c r="D15" s="479">
        <v>2013</v>
      </c>
      <c r="E15" s="141">
        <f t="shared" si="0"/>
        <v>201.01500000000001</v>
      </c>
      <c r="F15" s="174"/>
      <c r="G15" s="175" t="str">
        <f>IF('TRA-M'!$A$2-D15&lt;=1,IF(T15&gt;=$P$3,"YES",IF(AA15&gt;=$W$3,"YES",IF(AH15&gt;=$AD$3,"YES",""))),"")</f>
        <v/>
      </c>
      <c r="H15" s="176" t="str">
        <f t="shared" si="1"/>
        <v/>
      </c>
      <c r="I15" s="177" t="str">
        <f t="shared" si="2"/>
        <v/>
      </c>
      <c r="J15" s="178" t="str">
        <f t="shared" si="3"/>
        <v/>
      </c>
      <c r="K15" s="140">
        <f t="shared" si="4"/>
        <v>94.224999999999994</v>
      </c>
      <c r="L15" s="125">
        <f t="shared" si="5"/>
        <v>39.245000000000005</v>
      </c>
      <c r="M15" s="125">
        <f t="shared" si="6"/>
        <v>19.954999999999998</v>
      </c>
      <c r="N15" s="135">
        <f t="shared" si="7"/>
        <v>47.589999999999996</v>
      </c>
      <c r="O15" s="157" t="str">
        <f t="shared" si="8"/>
        <v/>
      </c>
      <c r="P15" s="510"/>
      <c r="Q15" s="511"/>
      <c r="R15" s="279"/>
      <c r="S15" s="279"/>
      <c r="T15" s="139">
        <f t="shared" si="9"/>
        <v>0</v>
      </c>
      <c r="U15" s="511"/>
      <c r="V15" s="512"/>
      <c r="W15" s="180">
        <f>22.8+1.5</f>
        <v>24.3</v>
      </c>
      <c r="X15" s="143">
        <v>14.945</v>
      </c>
      <c r="Y15" s="388">
        <f>8.7+5</f>
        <v>13.7</v>
      </c>
      <c r="Z15" s="388">
        <v>6.2549999999999999</v>
      </c>
      <c r="AA15" s="139">
        <f t="shared" si="10"/>
        <v>59.20000000000001</v>
      </c>
      <c r="AB15" s="542"/>
      <c r="AC15" s="543"/>
      <c r="AD15" s="510">
        <f>25.4+2.7</f>
        <v>28.099999999999998</v>
      </c>
      <c r="AE15" s="511">
        <v>16.010000000000002</v>
      </c>
      <c r="AF15" s="279">
        <f>22.2+13.1</f>
        <v>35.299999999999997</v>
      </c>
      <c r="AG15" s="279">
        <v>14.815</v>
      </c>
      <c r="AH15" s="139">
        <f t="shared" si="11"/>
        <v>94.224999999999994</v>
      </c>
      <c r="AI15" s="511">
        <f>22.2+10.7</f>
        <v>32.9</v>
      </c>
      <c r="AJ15" s="512">
        <v>14.69</v>
      </c>
      <c r="AK15" s="140" t="str">
        <f t="shared" si="12"/>
        <v/>
      </c>
      <c r="AL15" s="125" t="str">
        <f t="shared" si="13"/>
        <v/>
      </c>
      <c r="AM15" s="135" t="str">
        <f t="shared" si="14"/>
        <v/>
      </c>
      <c r="AN15" s="140" t="str">
        <f t="shared" si="15"/>
        <v/>
      </c>
      <c r="AO15" s="125" t="str">
        <f t="shared" si="16"/>
        <v/>
      </c>
      <c r="AP15" s="135" t="str">
        <f t="shared" si="17"/>
        <v/>
      </c>
      <c r="AQ15" s="510"/>
      <c r="AR15" s="511"/>
      <c r="AS15" s="511"/>
      <c r="AT15" s="511"/>
      <c r="AU15" s="152" t="str">
        <f t="shared" si="18"/>
        <v/>
      </c>
      <c r="AV15" s="511"/>
      <c r="AW15" s="511"/>
      <c r="AX15" s="510"/>
      <c r="AY15" s="511"/>
      <c r="AZ15" s="511"/>
      <c r="BA15" s="511"/>
      <c r="BB15" s="152" t="str">
        <f t="shared" si="19"/>
        <v/>
      </c>
      <c r="BC15" s="511"/>
      <c r="BD15" s="511"/>
      <c r="BE15" s="510"/>
      <c r="BF15" s="511"/>
      <c r="BG15" s="511"/>
      <c r="BH15" s="511"/>
      <c r="BI15" s="152" t="str">
        <f t="shared" si="20"/>
        <v/>
      </c>
      <c r="BJ15" s="511"/>
      <c r="BK15" s="511"/>
      <c r="BL15" s="510"/>
      <c r="BM15" s="511"/>
      <c r="BN15" s="511"/>
      <c r="BO15" s="511"/>
      <c r="BP15" s="152" t="str">
        <f t="shared" si="21"/>
        <v/>
      </c>
      <c r="BQ15" s="511"/>
      <c r="BR15" s="511"/>
      <c r="BS15" s="510"/>
      <c r="BT15" s="511"/>
      <c r="BU15" s="511"/>
      <c r="BV15" s="511"/>
      <c r="BW15" s="152" t="str">
        <f t="shared" si="22"/>
        <v/>
      </c>
      <c r="BX15" s="511"/>
      <c r="BY15" s="511"/>
      <c r="BZ15" s="485"/>
      <c r="CA15" s="486"/>
      <c r="CB15" s="486"/>
      <c r="CC15" s="486"/>
      <c r="CD15" s="152" t="str">
        <f t="shared" si="23"/>
        <v/>
      </c>
      <c r="CE15" s="397"/>
      <c r="CF15" s="397"/>
      <c r="CG15" s="485"/>
      <c r="CH15" s="486"/>
      <c r="CI15" s="486"/>
      <c r="CJ15" s="486"/>
      <c r="CK15" s="152" t="str">
        <f t="shared" si="24"/>
        <v/>
      </c>
      <c r="CL15" s="397"/>
      <c r="CM15" s="397"/>
      <c r="CN15" s="485"/>
      <c r="CO15" s="486"/>
      <c r="CP15" s="486"/>
      <c r="CQ15" s="486"/>
      <c r="CR15" s="152" t="str">
        <f t="shared" si="25"/>
        <v/>
      </c>
      <c r="CS15" s="365"/>
      <c r="CT15" s="365"/>
      <c r="CU15" s="485"/>
      <c r="CV15" s="486"/>
      <c r="CW15" s="486"/>
      <c r="CX15" s="486"/>
      <c r="CY15" s="152" t="str">
        <f t="shared" si="26"/>
        <v/>
      </c>
      <c r="CZ15" s="280"/>
      <c r="DA15" s="280"/>
      <c r="DB15" s="485"/>
      <c r="DC15" s="486"/>
      <c r="DD15" s="486"/>
      <c r="DE15" s="486"/>
      <c r="DF15" s="152" t="str">
        <f t="shared" si="27"/>
        <v/>
      </c>
      <c r="DG15" s="539"/>
      <c r="DH15" s="540"/>
      <c r="DI15" s="485"/>
      <c r="DJ15" s="486"/>
      <c r="DK15" s="486"/>
      <c r="DL15" s="486"/>
      <c r="DM15" s="152" t="str">
        <f t="shared" si="28"/>
        <v/>
      </c>
      <c r="DN15" s="539"/>
      <c r="DO15" s="540"/>
      <c r="DP15" s="485"/>
      <c r="DQ15" s="486"/>
      <c r="DR15" s="486"/>
      <c r="DS15" s="486"/>
      <c r="DT15" s="152" t="str">
        <f t="shared" si="29"/>
        <v/>
      </c>
      <c r="DU15" s="539"/>
      <c r="DV15" s="540"/>
      <c r="DW15" s="492"/>
      <c r="DX15" s="486"/>
      <c r="DY15" s="493"/>
      <c r="DZ15" s="486"/>
      <c r="EA15" s="152" t="str">
        <f t="shared" si="30"/>
        <v/>
      </c>
      <c r="EB15" s="283"/>
      <c r="EC15" s="280"/>
      <c r="ED15" s="492"/>
      <c r="EE15" s="486"/>
      <c r="EF15" s="478"/>
      <c r="EG15" s="483"/>
      <c r="EH15" s="152" t="str">
        <f t="shared" si="31"/>
        <v/>
      </c>
      <c r="EI15" s="6"/>
      <c r="EJ15" s="483"/>
      <c r="EK15" s="477"/>
      <c r="EL15" s="483"/>
      <c r="EM15" s="478"/>
      <c r="EN15" s="483"/>
      <c r="EO15" s="139" t="str">
        <f t="shared" si="32"/>
        <v/>
      </c>
      <c r="EP15" s="6"/>
      <c r="EQ15" s="484"/>
      <c r="ER15" s="78"/>
    </row>
    <row r="16" spans="1:148" x14ac:dyDescent="0.15">
      <c r="A16" s="48"/>
      <c r="B16" s="41" t="s">
        <v>88</v>
      </c>
      <c r="C16" s="123" t="s">
        <v>26</v>
      </c>
      <c r="D16" s="521">
        <v>2006</v>
      </c>
      <c r="E16" s="141">
        <f t="shared" si="0"/>
        <v>163.10000000000002</v>
      </c>
      <c r="F16" s="174"/>
      <c r="G16" s="175" t="str">
        <f>IF('TRA-M'!$A$2-D16&lt;=1,IF(T16&gt;=$P$3,"YES",IF(AA16&gt;=$W$3,"YES",IF(AH16&gt;=$AD$3,"YES",""))),"")</f>
        <v/>
      </c>
      <c r="H16" s="176" t="str">
        <f t="shared" si="1"/>
        <v/>
      </c>
      <c r="I16" s="177" t="str">
        <f t="shared" si="2"/>
        <v/>
      </c>
      <c r="J16" s="178" t="str">
        <f t="shared" si="3"/>
        <v/>
      </c>
      <c r="K16" s="328">
        <f t="shared" si="4"/>
        <v>81.180000000000007</v>
      </c>
      <c r="L16" s="329">
        <f t="shared" si="5"/>
        <v>45.89</v>
      </c>
      <c r="M16" s="329">
        <f t="shared" si="6"/>
        <v>24.97</v>
      </c>
      <c r="N16" s="330">
        <f t="shared" si="7"/>
        <v>11.06</v>
      </c>
      <c r="O16" s="157" t="str">
        <f t="shared" si="8"/>
        <v/>
      </c>
      <c r="P16" s="510"/>
      <c r="Q16" s="511"/>
      <c r="R16" s="279"/>
      <c r="S16" s="279"/>
      <c r="T16" s="139">
        <f t="shared" si="9"/>
        <v>0</v>
      </c>
      <c r="U16" s="511"/>
      <c r="V16" s="512"/>
      <c r="W16" s="180">
        <f>20.1+0</f>
        <v>20.100000000000001</v>
      </c>
      <c r="X16" s="143">
        <v>13.244999999999999</v>
      </c>
      <c r="Y16" s="279">
        <f>19.2+13</f>
        <v>32.200000000000003</v>
      </c>
      <c r="Z16" s="279">
        <v>15.635</v>
      </c>
      <c r="AA16" s="139">
        <f t="shared" si="10"/>
        <v>81.180000000000007</v>
      </c>
      <c r="AB16" s="143">
        <f>4.5+3.2</f>
        <v>7.7</v>
      </c>
      <c r="AC16" s="137">
        <v>3.36</v>
      </c>
      <c r="AD16" s="510">
        <f>26.7+2.5</f>
        <v>29.2</v>
      </c>
      <c r="AE16" s="511">
        <v>16.690000000000001</v>
      </c>
      <c r="AF16" s="388">
        <f>9.3+7.6</f>
        <v>16.899999999999999</v>
      </c>
      <c r="AG16" s="388">
        <v>8.07</v>
      </c>
      <c r="AH16" s="139">
        <f t="shared" si="11"/>
        <v>70.86</v>
      </c>
      <c r="AI16" s="511"/>
      <c r="AJ16" s="512"/>
      <c r="AK16" s="328" t="str">
        <f t="shared" si="12"/>
        <v/>
      </c>
      <c r="AL16" s="329" t="str">
        <f t="shared" si="13"/>
        <v/>
      </c>
      <c r="AM16" s="330" t="str">
        <f t="shared" si="14"/>
        <v/>
      </c>
      <c r="AN16" s="328" t="str">
        <f t="shared" si="15"/>
        <v/>
      </c>
      <c r="AO16" s="329" t="str">
        <f t="shared" si="16"/>
        <v/>
      </c>
      <c r="AP16" s="330" t="str">
        <f t="shared" si="17"/>
        <v/>
      </c>
      <c r="AQ16" s="510"/>
      <c r="AR16" s="511"/>
      <c r="AS16" s="511"/>
      <c r="AT16" s="511"/>
      <c r="AU16" s="152" t="str">
        <f t="shared" si="18"/>
        <v/>
      </c>
      <c r="AV16" s="511"/>
      <c r="AW16" s="511"/>
      <c r="AX16" s="510"/>
      <c r="AY16" s="511"/>
      <c r="AZ16" s="511"/>
      <c r="BA16" s="511"/>
      <c r="BB16" s="152" t="str">
        <f t="shared" si="19"/>
        <v/>
      </c>
      <c r="BC16" s="511"/>
      <c r="BD16" s="511"/>
      <c r="BE16" s="510"/>
      <c r="BF16" s="511"/>
      <c r="BG16" s="511"/>
      <c r="BH16" s="511"/>
      <c r="BI16" s="152" t="str">
        <f t="shared" si="20"/>
        <v/>
      </c>
      <c r="BJ16" s="511"/>
      <c r="BK16" s="511"/>
      <c r="BL16" s="510"/>
      <c r="BM16" s="511"/>
      <c r="BN16" s="511"/>
      <c r="BO16" s="511"/>
      <c r="BP16" s="152" t="str">
        <f t="shared" si="21"/>
        <v/>
      </c>
      <c r="BQ16" s="511"/>
      <c r="BR16" s="511"/>
      <c r="BS16" s="510"/>
      <c r="BT16" s="511"/>
      <c r="BU16" s="511"/>
      <c r="BV16" s="511"/>
      <c r="BW16" s="152" t="str">
        <f t="shared" si="22"/>
        <v/>
      </c>
      <c r="BX16" s="511"/>
      <c r="BY16" s="511"/>
      <c r="BZ16" s="510"/>
      <c r="CA16" s="511"/>
      <c r="CB16" s="511"/>
      <c r="CC16" s="511"/>
      <c r="CD16" s="152" t="str">
        <f t="shared" si="23"/>
        <v/>
      </c>
      <c r="CE16" s="397"/>
      <c r="CF16" s="397"/>
      <c r="CG16" s="510"/>
      <c r="CH16" s="511"/>
      <c r="CI16" s="511"/>
      <c r="CJ16" s="511"/>
      <c r="CK16" s="152" t="str">
        <f t="shared" si="24"/>
        <v/>
      </c>
      <c r="CL16" s="397"/>
      <c r="CM16" s="397"/>
      <c r="CN16" s="510"/>
      <c r="CO16" s="511"/>
      <c r="CP16" s="511"/>
      <c r="CQ16" s="511"/>
      <c r="CR16" s="152" t="str">
        <f t="shared" si="25"/>
        <v/>
      </c>
      <c r="CS16" s="365"/>
      <c r="CT16" s="365"/>
      <c r="CU16" s="510"/>
      <c r="CV16" s="511"/>
      <c r="CW16" s="511"/>
      <c r="CX16" s="511"/>
      <c r="CY16" s="152" t="str">
        <f t="shared" si="26"/>
        <v/>
      </c>
      <c r="CZ16" s="331"/>
      <c r="DA16" s="331"/>
      <c r="DB16" s="510"/>
      <c r="DC16" s="511"/>
      <c r="DD16" s="511"/>
      <c r="DE16" s="511"/>
      <c r="DF16" s="152" t="str">
        <f t="shared" si="27"/>
        <v/>
      </c>
      <c r="DG16" s="542"/>
      <c r="DH16" s="543"/>
      <c r="DI16" s="510"/>
      <c r="DJ16" s="511"/>
      <c r="DK16" s="511"/>
      <c r="DL16" s="511"/>
      <c r="DM16" s="152" t="str">
        <f t="shared" si="28"/>
        <v/>
      </c>
      <c r="DN16" s="542"/>
      <c r="DO16" s="543"/>
      <c r="DP16" s="510"/>
      <c r="DQ16" s="511"/>
      <c r="DR16" s="511"/>
      <c r="DS16" s="511"/>
      <c r="DT16" s="152" t="str">
        <f t="shared" si="29"/>
        <v/>
      </c>
      <c r="DU16" s="542"/>
      <c r="DV16" s="543"/>
      <c r="DW16" s="522"/>
      <c r="DX16" s="511"/>
      <c r="DY16" s="523"/>
      <c r="DZ16" s="511"/>
      <c r="EA16" s="152" t="str">
        <f t="shared" si="30"/>
        <v/>
      </c>
      <c r="EB16" s="333"/>
      <c r="EC16" s="331"/>
      <c r="ED16" s="522"/>
      <c r="EE16" s="511"/>
      <c r="EF16" s="519"/>
      <c r="EG16" s="513"/>
      <c r="EH16" s="152" t="str">
        <f t="shared" si="31"/>
        <v/>
      </c>
      <c r="EI16" s="6"/>
      <c r="EJ16" s="513"/>
      <c r="EK16" s="518"/>
      <c r="EL16" s="513"/>
      <c r="EM16" s="519"/>
      <c r="EN16" s="513"/>
      <c r="EO16" s="139" t="str">
        <f t="shared" si="32"/>
        <v/>
      </c>
      <c r="EP16" s="6"/>
      <c r="EQ16" s="514"/>
      <c r="ER16" s="78"/>
    </row>
    <row r="17" spans="1:148" x14ac:dyDescent="0.15">
      <c r="A17" s="48"/>
      <c r="B17" s="41" t="s">
        <v>98</v>
      </c>
      <c r="C17" s="116" t="s">
        <v>24</v>
      </c>
      <c r="D17" s="48">
        <v>2015</v>
      </c>
      <c r="E17" s="141">
        <f t="shared" si="0"/>
        <v>125.34</v>
      </c>
      <c r="F17" s="174"/>
      <c r="G17" s="182" t="str">
        <f>IF('TRA-M'!$A$2-D17&lt;=1,IF(T17&gt;=$P$3,"YES",IF(AA17&gt;=$W$3,"YES",IF(AH17&gt;=$AD$3,"YES",""))),"")</f>
        <v/>
      </c>
      <c r="H17" s="176" t="str">
        <f t="shared" si="1"/>
        <v/>
      </c>
      <c r="I17" s="177" t="str">
        <f t="shared" si="2"/>
        <v/>
      </c>
      <c r="J17" s="178" t="str">
        <f t="shared" si="3"/>
        <v/>
      </c>
      <c r="K17" s="328">
        <f t="shared" si="4"/>
        <v>73.150000000000006</v>
      </c>
      <c r="L17" s="329">
        <f t="shared" si="5"/>
        <v>41.629999999999995</v>
      </c>
      <c r="M17" s="329">
        <f t="shared" si="6"/>
        <v>10.559999999999999</v>
      </c>
      <c r="N17" s="330">
        <f t="shared" si="7"/>
        <v>0</v>
      </c>
      <c r="O17" s="157" t="str">
        <f t="shared" si="8"/>
        <v/>
      </c>
      <c r="P17" s="510"/>
      <c r="Q17" s="511"/>
      <c r="R17" s="279"/>
      <c r="S17" s="279"/>
      <c r="T17" s="139">
        <f t="shared" si="9"/>
        <v>0</v>
      </c>
      <c r="U17" s="511"/>
      <c r="V17" s="512"/>
      <c r="W17" s="510">
        <f>21.6+2.9</f>
        <v>24.5</v>
      </c>
      <c r="X17" s="511">
        <v>17.13</v>
      </c>
      <c r="Y17" s="388">
        <f>3.9+3.2</f>
        <v>7.1</v>
      </c>
      <c r="Z17" s="388">
        <v>3.46</v>
      </c>
      <c r="AA17" s="139">
        <f t="shared" si="10"/>
        <v>52.19</v>
      </c>
      <c r="AB17" s="511"/>
      <c r="AC17" s="512"/>
      <c r="AD17" s="510">
        <f>24.9+2.5</f>
        <v>27.4</v>
      </c>
      <c r="AE17" s="511">
        <v>17.475000000000001</v>
      </c>
      <c r="AF17" s="388">
        <f>11.3+6.9</f>
        <v>18.200000000000003</v>
      </c>
      <c r="AG17" s="388">
        <v>10.074999999999999</v>
      </c>
      <c r="AH17" s="139">
        <f t="shared" si="11"/>
        <v>73.150000000000006</v>
      </c>
      <c r="AI17" s="511"/>
      <c r="AJ17" s="512"/>
      <c r="AK17" s="328" t="str">
        <f t="shared" si="12"/>
        <v/>
      </c>
      <c r="AL17" s="329" t="str">
        <f t="shared" si="13"/>
        <v/>
      </c>
      <c r="AM17" s="330" t="str">
        <f t="shared" si="14"/>
        <v/>
      </c>
      <c r="AN17" s="328" t="str">
        <f t="shared" si="15"/>
        <v/>
      </c>
      <c r="AO17" s="329" t="str">
        <f t="shared" si="16"/>
        <v/>
      </c>
      <c r="AP17" s="330" t="str">
        <f t="shared" si="17"/>
        <v/>
      </c>
      <c r="AQ17" s="165"/>
      <c r="AR17" s="127"/>
      <c r="AS17" s="127"/>
      <c r="AT17" s="127"/>
      <c r="AU17" s="152" t="str">
        <f t="shared" si="18"/>
        <v/>
      </c>
      <c r="AV17" s="511"/>
      <c r="AW17" s="511"/>
      <c r="AX17" s="165"/>
      <c r="AY17" s="127"/>
      <c r="AZ17" s="127"/>
      <c r="BA17" s="127"/>
      <c r="BB17" s="152" t="str">
        <f t="shared" si="19"/>
        <v/>
      </c>
      <c r="BC17" s="511"/>
      <c r="BD17" s="511"/>
      <c r="BE17" s="165"/>
      <c r="BF17" s="127"/>
      <c r="BG17" s="127"/>
      <c r="BH17" s="127"/>
      <c r="BI17" s="152" t="str">
        <f t="shared" si="20"/>
        <v/>
      </c>
      <c r="BJ17" s="511"/>
      <c r="BK17" s="511"/>
      <c r="BL17" s="165"/>
      <c r="BM17" s="127"/>
      <c r="BN17" s="127"/>
      <c r="BO17" s="127"/>
      <c r="BP17" s="152" t="str">
        <f t="shared" si="21"/>
        <v/>
      </c>
      <c r="BQ17" s="511"/>
      <c r="BR17" s="511"/>
      <c r="BS17" s="165"/>
      <c r="BT17" s="127"/>
      <c r="BU17" s="127"/>
      <c r="BV17" s="127"/>
      <c r="BW17" s="152" t="str">
        <f t="shared" si="22"/>
        <v/>
      </c>
      <c r="BX17" s="511"/>
      <c r="BY17" s="511"/>
      <c r="BZ17" s="165"/>
      <c r="CA17" s="127"/>
      <c r="CB17" s="127"/>
      <c r="CC17" s="127"/>
      <c r="CD17" s="152" t="str">
        <f t="shared" si="23"/>
        <v/>
      </c>
      <c r="CE17" s="511"/>
      <c r="CF17" s="511"/>
      <c r="CG17" s="165"/>
      <c r="CH17" s="127"/>
      <c r="CI17" s="127"/>
      <c r="CJ17" s="127"/>
      <c r="CK17" s="152" t="str">
        <f t="shared" si="24"/>
        <v/>
      </c>
      <c r="CL17" s="511"/>
      <c r="CM17" s="511"/>
      <c r="CN17" s="165"/>
      <c r="CO17" s="127"/>
      <c r="CP17" s="127"/>
      <c r="CQ17" s="127"/>
      <c r="CR17" s="152" t="str">
        <f t="shared" si="25"/>
        <v/>
      </c>
      <c r="CS17" s="511"/>
      <c r="CT17" s="511"/>
      <c r="CU17" s="165"/>
      <c r="CV17" s="127"/>
      <c r="CW17" s="127"/>
      <c r="CX17" s="127"/>
      <c r="CY17" s="152" t="str">
        <f t="shared" si="26"/>
        <v/>
      </c>
      <c r="CZ17" s="331"/>
      <c r="DA17" s="331"/>
      <c r="DB17" s="165"/>
      <c r="DC17" s="127"/>
      <c r="DD17" s="127"/>
      <c r="DE17" s="127"/>
      <c r="DF17" s="152" t="str">
        <f t="shared" si="27"/>
        <v/>
      </c>
      <c r="DG17" s="127"/>
      <c r="DH17" s="133"/>
      <c r="DI17" s="165"/>
      <c r="DJ17" s="127"/>
      <c r="DK17" s="127"/>
      <c r="DL17" s="127"/>
      <c r="DM17" s="152" t="str">
        <f t="shared" si="28"/>
        <v/>
      </c>
      <c r="DN17" s="127"/>
      <c r="DO17" s="133"/>
      <c r="DP17" s="165"/>
      <c r="DQ17" s="127"/>
      <c r="DR17" s="127"/>
      <c r="DS17" s="127"/>
      <c r="DT17" s="152" t="str">
        <f t="shared" si="29"/>
        <v/>
      </c>
      <c r="DU17" s="127"/>
      <c r="DV17" s="133"/>
      <c r="DW17" s="45"/>
      <c r="DX17" s="127"/>
      <c r="DY17" s="529"/>
      <c r="DZ17" s="127"/>
      <c r="EA17" s="152" t="str">
        <f t="shared" si="30"/>
        <v/>
      </c>
      <c r="EB17" s="523"/>
      <c r="EC17" s="511"/>
      <c r="ED17" s="45"/>
      <c r="EE17" s="127"/>
      <c r="EF17" s="489"/>
      <c r="EG17" s="481"/>
      <c r="EH17" s="152" t="str">
        <f t="shared" si="31"/>
        <v/>
      </c>
      <c r="EI17" s="6"/>
      <c r="EJ17" s="481"/>
      <c r="EK17" s="488"/>
      <c r="EL17" s="481"/>
      <c r="EM17" s="489"/>
      <c r="EN17" s="481"/>
      <c r="EO17" s="139" t="str">
        <f t="shared" si="32"/>
        <v/>
      </c>
      <c r="EP17" s="6"/>
      <c r="EQ17" s="482"/>
      <c r="ER17" s="78"/>
    </row>
    <row r="18" spans="1:148" x14ac:dyDescent="0.15">
      <c r="A18" s="334"/>
      <c r="B18" s="41" t="s">
        <v>143</v>
      </c>
      <c r="C18" s="116" t="s">
        <v>25</v>
      </c>
      <c r="D18" s="48">
        <v>2016</v>
      </c>
      <c r="E18" s="141">
        <f t="shared" si="0"/>
        <v>100.22499999999999</v>
      </c>
      <c r="F18" s="174"/>
      <c r="G18" s="182" t="str">
        <f>IF('TRA-M'!$A$2-D18&lt;=1,IF(T18&gt;=$P$3,"YES",IF(AA18&gt;=$W$3,"YES",IF(AH18&gt;=$AD$3,"YES",""))),"")</f>
        <v/>
      </c>
      <c r="H18" s="176" t="str">
        <f t="shared" si="1"/>
        <v/>
      </c>
      <c r="I18" s="177" t="str">
        <f t="shared" si="2"/>
        <v/>
      </c>
      <c r="J18" s="178" t="str">
        <f t="shared" si="3"/>
        <v/>
      </c>
      <c r="K18" s="413">
        <f t="shared" si="4"/>
        <v>85.32</v>
      </c>
      <c r="L18" s="414">
        <f t="shared" si="5"/>
        <v>0</v>
      </c>
      <c r="M18" s="414">
        <f t="shared" si="6"/>
        <v>0</v>
      </c>
      <c r="N18" s="415">
        <f t="shared" si="7"/>
        <v>14.905000000000001</v>
      </c>
      <c r="O18" s="157" t="str">
        <f t="shared" si="8"/>
        <v/>
      </c>
      <c r="P18" s="510"/>
      <c r="Q18" s="511"/>
      <c r="R18" s="279"/>
      <c r="S18" s="279"/>
      <c r="T18" s="139">
        <f t="shared" si="9"/>
        <v>0</v>
      </c>
      <c r="U18" s="511"/>
      <c r="V18" s="512"/>
      <c r="W18" s="510"/>
      <c r="X18" s="511"/>
      <c r="Y18" s="279"/>
      <c r="Z18" s="279"/>
      <c r="AA18" s="139">
        <f t="shared" si="10"/>
        <v>0</v>
      </c>
      <c r="AB18" s="511"/>
      <c r="AC18" s="512"/>
      <c r="AD18" s="510">
        <f>22.2+2.3</f>
        <v>24.5</v>
      </c>
      <c r="AE18" s="511">
        <v>16.434999999999999</v>
      </c>
      <c r="AF18" s="279">
        <f>19.9+8.9</f>
        <v>28.799999999999997</v>
      </c>
      <c r="AG18" s="279">
        <v>15.585000000000001</v>
      </c>
      <c r="AH18" s="139">
        <f t="shared" si="11"/>
        <v>85.32</v>
      </c>
      <c r="AI18" s="143">
        <f>6.9+3.1</f>
        <v>10</v>
      </c>
      <c r="AJ18" s="137">
        <v>4.9050000000000002</v>
      </c>
      <c r="AK18" s="413" t="str">
        <f t="shared" si="12"/>
        <v/>
      </c>
      <c r="AL18" s="414" t="str">
        <f t="shared" si="13"/>
        <v/>
      </c>
      <c r="AM18" s="415" t="str">
        <f t="shared" si="14"/>
        <v/>
      </c>
      <c r="AN18" s="413" t="str">
        <f t="shared" si="15"/>
        <v/>
      </c>
      <c r="AO18" s="414" t="str">
        <f t="shared" si="16"/>
        <v/>
      </c>
      <c r="AP18" s="415" t="str">
        <f t="shared" si="17"/>
        <v/>
      </c>
      <c r="AQ18" s="165"/>
      <c r="AR18" s="127"/>
      <c r="AS18" s="127"/>
      <c r="AT18" s="127"/>
      <c r="AU18" s="152" t="str">
        <f t="shared" si="18"/>
        <v/>
      </c>
      <c r="AV18" s="511"/>
      <c r="AW18" s="511"/>
      <c r="AX18" s="165"/>
      <c r="AY18" s="127"/>
      <c r="AZ18" s="127"/>
      <c r="BA18" s="127"/>
      <c r="BB18" s="152" t="str">
        <f t="shared" si="19"/>
        <v/>
      </c>
      <c r="BC18" s="511"/>
      <c r="BD18" s="511"/>
      <c r="BE18" s="165"/>
      <c r="BF18" s="127"/>
      <c r="BG18" s="127"/>
      <c r="BH18" s="127"/>
      <c r="BI18" s="152" t="str">
        <f t="shared" si="20"/>
        <v/>
      </c>
      <c r="BJ18" s="511"/>
      <c r="BK18" s="511"/>
      <c r="BL18" s="165"/>
      <c r="BM18" s="127"/>
      <c r="BN18" s="127"/>
      <c r="BO18" s="127"/>
      <c r="BP18" s="152" t="str">
        <f t="shared" si="21"/>
        <v/>
      </c>
      <c r="BQ18" s="511"/>
      <c r="BR18" s="511"/>
      <c r="BS18" s="165"/>
      <c r="BT18" s="127"/>
      <c r="BU18" s="127"/>
      <c r="BV18" s="127"/>
      <c r="BW18" s="152" t="str">
        <f t="shared" si="22"/>
        <v/>
      </c>
      <c r="BX18" s="511"/>
      <c r="BY18" s="511"/>
      <c r="BZ18" s="165"/>
      <c r="CA18" s="127"/>
      <c r="CB18" s="127"/>
      <c r="CC18" s="127"/>
      <c r="CD18" s="152" t="str">
        <f t="shared" si="23"/>
        <v/>
      </c>
      <c r="CE18" s="409"/>
      <c r="CF18" s="409"/>
      <c r="CG18" s="165"/>
      <c r="CH18" s="127"/>
      <c r="CI18" s="127"/>
      <c r="CJ18" s="127"/>
      <c r="CK18" s="152" t="str">
        <f t="shared" si="24"/>
        <v/>
      </c>
      <c r="CL18" s="409"/>
      <c r="CM18" s="409"/>
      <c r="CN18" s="165"/>
      <c r="CO18" s="127"/>
      <c r="CP18" s="127"/>
      <c r="CQ18" s="127"/>
      <c r="CR18" s="152" t="str">
        <f t="shared" si="25"/>
        <v/>
      </c>
      <c r="CS18" s="409"/>
      <c r="CT18" s="409"/>
      <c r="CU18" s="165"/>
      <c r="CV18" s="127"/>
      <c r="CW18" s="127"/>
      <c r="CX18" s="127"/>
      <c r="CY18" s="152" t="str">
        <f t="shared" si="26"/>
        <v/>
      </c>
      <c r="CZ18" s="409"/>
      <c r="DA18" s="409"/>
      <c r="DB18" s="165"/>
      <c r="DC18" s="127"/>
      <c r="DD18" s="127"/>
      <c r="DE18" s="127"/>
      <c r="DF18" s="152" t="str">
        <f t="shared" si="27"/>
        <v/>
      </c>
      <c r="DG18" s="127"/>
      <c r="DH18" s="133"/>
      <c r="DI18" s="165"/>
      <c r="DJ18" s="127"/>
      <c r="DK18" s="127"/>
      <c r="DL18" s="127"/>
      <c r="DM18" s="152" t="str">
        <f t="shared" si="28"/>
        <v/>
      </c>
      <c r="DN18" s="127"/>
      <c r="DO18" s="133"/>
      <c r="DP18" s="165"/>
      <c r="DQ18" s="127"/>
      <c r="DR18" s="127"/>
      <c r="DS18" s="127"/>
      <c r="DT18" s="152" t="str">
        <f t="shared" si="29"/>
        <v/>
      </c>
      <c r="DU18" s="127"/>
      <c r="DV18" s="133"/>
      <c r="DW18" s="45"/>
      <c r="DX18" s="127"/>
      <c r="DY18" s="529"/>
      <c r="DZ18" s="127"/>
      <c r="EA18" s="152" t="str">
        <f t="shared" si="30"/>
        <v/>
      </c>
      <c r="EB18" s="420"/>
      <c r="EC18" s="409"/>
      <c r="ED18" s="45"/>
      <c r="EE18" s="127"/>
      <c r="EF18" s="527"/>
      <c r="EG18" s="516"/>
      <c r="EH18" s="152" t="str">
        <f t="shared" si="31"/>
        <v/>
      </c>
      <c r="EI18" s="6"/>
      <c r="EJ18" s="516"/>
      <c r="EK18" s="526"/>
      <c r="EL18" s="516"/>
      <c r="EM18" s="527"/>
      <c r="EN18" s="516"/>
      <c r="EO18" s="139" t="str">
        <f t="shared" si="32"/>
        <v/>
      </c>
      <c r="EP18" s="6"/>
      <c r="EQ18" s="517"/>
      <c r="ER18" s="78"/>
    </row>
    <row r="19" spans="1:148" x14ac:dyDescent="0.15">
      <c r="A19" s="48"/>
      <c r="B19" s="41" t="s">
        <v>142</v>
      </c>
      <c r="C19" s="123" t="s">
        <v>25</v>
      </c>
      <c r="D19" s="534">
        <v>2016</v>
      </c>
      <c r="E19" s="141">
        <f t="shared" si="0"/>
        <v>52.695</v>
      </c>
      <c r="F19" s="174"/>
      <c r="G19" s="175" t="str">
        <f>IF('TRA-M'!$A$2-D19&lt;=1,IF(T19&gt;=$P$3,"YES",IF(AA19&gt;=$W$3,"YES",IF(AH19&gt;=$AD$3,"YES",""))),"")</f>
        <v/>
      </c>
      <c r="H19" s="176" t="str">
        <f t="shared" si="1"/>
        <v/>
      </c>
      <c r="I19" s="177" t="str">
        <f t="shared" si="2"/>
        <v/>
      </c>
      <c r="J19" s="178" t="str">
        <f t="shared" si="3"/>
        <v/>
      </c>
      <c r="K19" s="502">
        <f t="shared" si="4"/>
        <v>52.695</v>
      </c>
      <c r="L19" s="503">
        <f t="shared" si="5"/>
        <v>0</v>
      </c>
      <c r="M19" s="503">
        <f t="shared" si="6"/>
        <v>0</v>
      </c>
      <c r="N19" s="504">
        <f t="shared" si="7"/>
        <v>0</v>
      </c>
      <c r="O19" s="157" t="str">
        <f t="shared" si="8"/>
        <v/>
      </c>
      <c r="P19" s="510"/>
      <c r="Q19" s="511"/>
      <c r="R19" s="279"/>
      <c r="S19" s="279"/>
      <c r="T19" s="139">
        <f t="shared" si="9"/>
        <v>0</v>
      </c>
      <c r="U19" s="511"/>
      <c r="V19" s="512"/>
      <c r="W19" s="510"/>
      <c r="X19" s="511"/>
      <c r="Y19" s="279"/>
      <c r="Z19" s="279"/>
      <c r="AA19" s="139">
        <f t="shared" si="10"/>
        <v>0</v>
      </c>
      <c r="AB19" s="511"/>
      <c r="AC19" s="512"/>
      <c r="AD19" s="541">
        <f>24.2+1.5</f>
        <v>25.7</v>
      </c>
      <c r="AE19" s="542">
        <v>15.785</v>
      </c>
      <c r="AF19" s="388">
        <f>4.4+3.2</f>
        <v>7.6000000000000005</v>
      </c>
      <c r="AG19" s="388">
        <v>3.61</v>
      </c>
      <c r="AH19" s="139">
        <f t="shared" si="11"/>
        <v>52.695</v>
      </c>
      <c r="AI19" s="511"/>
      <c r="AJ19" s="512"/>
      <c r="AK19" s="502" t="str">
        <f t="shared" si="12"/>
        <v/>
      </c>
      <c r="AL19" s="503" t="str">
        <f t="shared" si="13"/>
        <v/>
      </c>
      <c r="AM19" s="504" t="str">
        <f t="shared" si="14"/>
        <v/>
      </c>
      <c r="AN19" s="502" t="str">
        <f t="shared" si="15"/>
        <v/>
      </c>
      <c r="AO19" s="503" t="str">
        <f t="shared" si="16"/>
        <v/>
      </c>
      <c r="AP19" s="504" t="str">
        <f t="shared" si="17"/>
        <v/>
      </c>
      <c r="AQ19" s="510"/>
      <c r="AR19" s="511"/>
      <c r="AS19" s="511"/>
      <c r="AT19" s="511"/>
      <c r="AU19" s="152" t="str">
        <f t="shared" si="18"/>
        <v/>
      </c>
      <c r="AV19" s="511"/>
      <c r="AW19" s="511"/>
      <c r="AX19" s="541"/>
      <c r="AY19" s="542"/>
      <c r="AZ19" s="542"/>
      <c r="BA19" s="542"/>
      <c r="BB19" s="152" t="str">
        <f t="shared" si="19"/>
        <v/>
      </c>
      <c r="BC19" s="542"/>
      <c r="BD19" s="542"/>
      <c r="BE19" s="541"/>
      <c r="BF19" s="542"/>
      <c r="BG19" s="542"/>
      <c r="BH19" s="542"/>
      <c r="BI19" s="152" t="str">
        <f t="shared" si="20"/>
        <v/>
      </c>
      <c r="BJ19" s="542"/>
      <c r="BK19" s="542"/>
      <c r="BL19" s="541"/>
      <c r="BM19" s="542"/>
      <c r="BN19" s="542"/>
      <c r="BO19" s="542"/>
      <c r="BP19" s="152" t="str">
        <f t="shared" si="21"/>
        <v/>
      </c>
      <c r="BQ19" s="542"/>
      <c r="BR19" s="542"/>
      <c r="BS19" s="541"/>
      <c r="BT19" s="542"/>
      <c r="BU19" s="542"/>
      <c r="BV19" s="542"/>
      <c r="BW19" s="152" t="str">
        <f t="shared" si="22"/>
        <v/>
      </c>
      <c r="BX19" s="542"/>
      <c r="BY19" s="542"/>
      <c r="BZ19" s="541"/>
      <c r="CA19" s="542"/>
      <c r="CB19" s="542"/>
      <c r="CC19" s="542"/>
      <c r="CD19" s="152" t="str">
        <f t="shared" si="23"/>
        <v/>
      </c>
      <c r="CE19" s="542"/>
      <c r="CF19" s="542"/>
      <c r="CG19" s="541"/>
      <c r="CH19" s="542"/>
      <c r="CI19" s="542"/>
      <c r="CJ19" s="542"/>
      <c r="CK19" s="152" t="str">
        <f t="shared" si="24"/>
        <v/>
      </c>
      <c r="CL19" s="542"/>
      <c r="CM19" s="542"/>
      <c r="CN19" s="541"/>
      <c r="CO19" s="542"/>
      <c r="CP19" s="542"/>
      <c r="CQ19" s="542"/>
      <c r="CR19" s="152" t="str">
        <f t="shared" si="25"/>
        <v/>
      </c>
      <c r="CS19" s="542"/>
      <c r="CT19" s="542"/>
      <c r="CU19" s="510"/>
      <c r="CV19" s="511"/>
      <c r="CW19" s="511"/>
      <c r="CX19" s="511"/>
      <c r="CY19" s="152" t="str">
        <f t="shared" si="26"/>
        <v/>
      </c>
      <c r="CZ19" s="499"/>
      <c r="DA19" s="499"/>
      <c r="DB19" s="541"/>
      <c r="DC19" s="542"/>
      <c r="DD19" s="542"/>
      <c r="DE19" s="542"/>
      <c r="DF19" s="152" t="str">
        <f t="shared" si="27"/>
        <v/>
      </c>
      <c r="DG19" s="542"/>
      <c r="DH19" s="543"/>
      <c r="DI19" s="541"/>
      <c r="DJ19" s="542"/>
      <c r="DK19" s="542"/>
      <c r="DL19" s="542"/>
      <c r="DM19" s="152" t="str">
        <f t="shared" si="28"/>
        <v/>
      </c>
      <c r="DN19" s="542"/>
      <c r="DO19" s="543"/>
      <c r="DP19" s="541"/>
      <c r="DQ19" s="542"/>
      <c r="DR19" s="542"/>
      <c r="DS19" s="542"/>
      <c r="DT19" s="152" t="str">
        <f t="shared" si="29"/>
        <v/>
      </c>
      <c r="DU19" s="542"/>
      <c r="DV19" s="543"/>
      <c r="DW19" s="547"/>
      <c r="DX19" s="542"/>
      <c r="DY19" s="548"/>
      <c r="DZ19" s="542"/>
      <c r="EA19" s="152" t="str">
        <f t="shared" si="30"/>
        <v/>
      </c>
      <c r="EB19" s="548"/>
      <c r="EC19" s="542"/>
      <c r="ED19" s="547"/>
      <c r="EE19" s="542"/>
      <c r="EF19" s="533"/>
      <c r="EG19" s="539"/>
      <c r="EH19" s="152" t="str">
        <f t="shared" si="31"/>
        <v/>
      </c>
      <c r="EI19" s="6"/>
      <c r="EJ19" s="539"/>
      <c r="EK19" s="532"/>
      <c r="EL19" s="539"/>
      <c r="EM19" s="533"/>
      <c r="EN19" s="539"/>
      <c r="EO19" s="139" t="str">
        <f t="shared" si="32"/>
        <v/>
      </c>
      <c r="EP19" s="6"/>
      <c r="EQ19" s="540"/>
      <c r="ER19" s="78"/>
    </row>
    <row r="20" spans="1:148" x14ac:dyDescent="0.15">
      <c r="A20" s="122"/>
      <c r="B20" s="41" t="s">
        <v>141</v>
      </c>
      <c r="C20" s="116" t="s">
        <v>25</v>
      </c>
      <c r="D20" s="546">
        <v>2016</v>
      </c>
      <c r="E20" s="141">
        <f t="shared" si="0"/>
        <v>44.06</v>
      </c>
      <c r="F20" s="174"/>
      <c r="G20" s="175" t="str">
        <f>IF('TRA-M'!$A$2-D20&lt;=1,IF(T20&gt;=$P$3,"YES",IF(AA20&gt;=$W$3,"YES",IF(AH20&gt;=$AD$3,"YES",""))),"")</f>
        <v/>
      </c>
      <c r="H20" s="176" t="str">
        <f t="shared" si="1"/>
        <v/>
      </c>
      <c r="I20" s="177" t="str">
        <f t="shared" si="2"/>
        <v/>
      </c>
      <c r="J20" s="178" t="str">
        <f t="shared" si="3"/>
        <v/>
      </c>
      <c r="K20" s="502">
        <f t="shared" si="4"/>
        <v>44.06</v>
      </c>
      <c r="L20" s="503">
        <f t="shared" si="5"/>
        <v>0</v>
      </c>
      <c r="M20" s="503">
        <f t="shared" si="6"/>
        <v>0</v>
      </c>
      <c r="N20" s="504">
        <f t="shared" si="7"/>
        <v>0</v>
      </c>
      <c r="O20" s="157" t="str">
        <f t="shared" si="8"/>
        <v/>
      </c>
      <c r="P20" s="510"/>
      <c r="Q20" s="511"/>
      <c r="R20" s="279"/>
      <c r="S20" s="279"/>
      <c r="T20" s="139">
        <f t="shared" si="9"/>
        <v>0</v>
      </c>
      <c r="U20" s="511"/>
      <c r="V20" s="512"/>
      <c r="W20" s="510"/>
      <c r="X20" s="511"/>
      <c r="Y20" s="279"/>
      <c r="Z20" s="279"/>
      <c r="AA20" s="139">
        <f t="shared" si="10"/>
        <v>0</v>
      </c>
      <c r="AB20" s="511"/>
      <c r="AC20" s="512"/>
      <c r="AD20" s="180">
        <v>0</v>
      </c>
      <c r="AE20" s="143">
        <v>0</v>
      </c>
      <c r="AF20" s="279">
        <f>17.2+12</f>
        <v>29.2</v>
      </c>
      <c r="AG20" s="279">
        <v>14.86</v>
      </c>
      <c r="AH20" s="139">
        <f t="shared" si="11"/>
        <v>44.06</v>
      </c>
      <c r="AI20" s="511"/>
      <c r="AJ20" s="512"/>
      <c r="AK20" s="502" t="str">
        <f t="shared" si="12"/>
        <v/>
      </c>
      <c r="AL20" s="503" t="str">
        <f t="shared" si="13"/>
        <v/>
      </c>
      <c r="AM20" s="504" t="str">
        <f t="shared" si="14"/>
        <v/>
      </c>
      <c r="AN20" s="502" t="str">
        <f t="shared" si="15"/>
        <v/>
      </c>
      <c r="AO20" s="503" t="str">
        <f t="shared" si="16"/>
        <v/>
      </c>
      <c r="AP20" s="504" t="str">
        <f t="shared" si="17"/>
        <v/>
      </c>
      <c r="AQ20" s="510"/>
      <c r="AR20" s="511"/>
      <c r="AS20" s="511"/>
      <c r="AT20" s="511"/>
      <c r="AU20" s="152" t="str">
        <f t="shared" si="18"/>
        <v/>
      </c>
      <c r="AV20" s="511"/>
      <c r="AW20" s="511"/>
      <c r="AX20" s="535"/>
      <c r="AY20" s="536"/>
      <c r="AZ20" s="536"/>
      <c r="BA20" s="536"/>
      <c r="BB20" s="152" t="str">
        <f t="shared" si="19"/>
        <v/>
      </c>
      <c r="BC20" s="539"/>
      <c r="BD20" s="539"/>
      <c r="BE20" s="535"/>
      <c r="BF20" s="536"/>
      <c r="BG20" s="536"/>
      <c r="BH20" s="536"/>
      <c r="BI20" s="152" t="str">
        <f t="shared" si="20"/>
        <v/>
      </c>
      <c r="BJ20" s="539"/>
      <c r="BK20" s="539"/>
      <c r="BL20" s="535"/>
      <c r="BM20" s="536"/>
      <c r="BN20" s="536"/>
      <c r="BO20" s="536"/>
      <c r="BP20" s="152" t="str">
        <f t="shared" si="21"/>
        <v/>
      </c>
      <c r="BQ20" s="539"/>
      <c r="BR20" s="539"/>
      <c r="BS20" s="535"/>
      <c r="BT20" s="536"/>
      <c r="BU20" s="536"/>
      <c r="BV20" s="536"/>
      <c r="BW20" s="152" t="str">
        <f t="shared" si="22"/>
        <v/>
      </c>
      <c r="BX20" s="539"/>
      <c r="BY20" s="539"/>
      <c r="BZ20" s="535"/>
      <c r="CA20" s="536"/>
      <c r="CB20" s="536"/>
      <c r="CC20" s="536"/>
      <c r="CD20" s="152" t="str">
        <f t="shared" si="23"/>
        <v/>
      </c>
      <c r="CE20" s="539"/>
      <c r="CF20" s="539"/>
      <c r="CG20" s="535"/>
      <c r="CH20" s="536"/>
      <c r="CI20" s="536"/>
      <c r="CJ20" s="536"/>
      <c r="CK20" s="152" t="str">
        <f t="shared" si="24"/>
        <v/>
      </c>
      <c r="CL20" s="539"/>
      <c r="CM20" s="539"/>
      <c r="CN20" s="535"/>
      <c r="CO20" s="536"/>
      <c r="CP20" s="536"/>
      <c r="CQ20" s="536"/>
      <c r="CR20" s="152" t="str">
        <f t="shared" si="25"/>
        <v/>
      </c>
      <c r="CS20" s="539"/>
      <c r="CT20" s="539"/>
      <c r="CU20" s="498"/>
      <c r="CV20" s="499"/>
      <c r="CW20" s="499"/>
      <c r="CX20" s="499"/>
      <c r="CY20" s="152" t="str">
        <f t="shared" si="26"/>
        <v/>
      </c>
      <c r="CZ20" s="499"/>
      <c r="DA20" s="499"/>
      <c r="DB20" s="535"/>
      <c r="DC20" s="536"/>
      <c r="DD20" s="536"/>
      <c r="DE20" s="536"/>
      <c r="DF20" s="152" t="str">
        <f t="shared" si="27"/>
        <v/>
      </c>
      <c r="DG20" s="536"/>
      <c r="DH20" s="537"/>
      <c r="DI20" s="535"/>
      <c r="DJ20" s="536"/>
      <c r="DK20" s="536"/>
      <c r="DL20" s="536"/>
      <c r="DM20" s="152" t="str">
        <f t="shared" si="28"/>
        <v/>
      </c>
      <c r="DN20" s="536"/>
      <c r="DO20" s="537"/>
      <c r="DP20" s="535"/>
      <c r="DQ20" s="536"/>
      <c r="DR20" s="536"/>
      <c r="DS20" s="536"/>
      <c r="DT20" s="152" t="str">
        <f t="shared" si="29"/>
        <v/>
      </c>
      <c r="DU20" s="536"/>
      <c r="DV20" s="537"/>
      <c r="DW20" s="544"/>
      <c r="DX20" s="536"/>
      <c r="DY20" s="545"/>
      <c r="DZ20" s="536"/>
      <c r="EA20" s="152" t="str">
        <f t="shared" si="30"/>
        <v/>
      </c>
      <c r="EB20" s="533"/>
      <c r="EC20" s="539"/>
      <c r="ED20" s="544"/>
      <c r="EE20" s="536"/>
      <c r="EF20" s="545"/>
      <c r="EG20" s="536"/>
      <c r="EH20" s="152"/>
      <c r="EI20" s="6"/>
      <c r="EJ20" s="536"/>
      <c r="EK20" s="544"/>
      <c r="EL20" s="536"/>
      <c r="EM20" s="545"/>
      <c r="EN20" s="536"/>
      <c r="EO20" s="139"/>
      <c r="EP20" s="6"/>
      <c r="EQ20" s="537"/>
      <c r="ER20" s="78"/>
    </row>
    <row r="21" spans="1:148" x14ac:dyDescent="0.15">
      <c r="A21" s="479"/>
      <c r="B21" s="117"/>
      <c r="C21" s="479"/>
      <c r="D21" s="479"/>
      <c r="E21" s="479"/>
      <c r="F21" s="147"/>
      <c r="G21" s="175"/>
      <c r="H21" s="176"/>
      <c r="I21" s="177"/>
      <c r="J21" s="178"/>
      <c r="K21" s="481"/>
      <c r="L21" s="481"/>
      <c r="M21" s="481"/>
      <c r="N21" s="481"/>
      <c r="O21" s="157"/>
      <c r="P21" s="127"/>
      <c r="Q21" s="127"/>
      <c r="R21" s="129"/>
      <c r="S21" s="129"/>
      <c r="T21" s="155"/>
      <c r="U21" s="127"/>
      <c r="V21" s="127"/>
      <c r="W21" s="127"/>
      <c r="X21" s="127"/>
      <c r="Y21" s="129"/>
      <c r="Z21" s="129"/>
      <c r="AA21" s="155"/>
      <c r="AB21" s="127"/>
      <c r="AC21" s="127"/>
      <c r="AD21" s="127"/>
      <c r="AE21" s="127"/>
      <c r="AF21" s="129"/>
      <c r="AG21" s="129"/>
      <c r="AH21" s="155"/>
      <c r="AI21" s="127"/>
      <c r="AJ21" s="127"/>
      <c r="AK21" s="481"/>
      <c r="AL21" s="481"/>
      <c r="AM21" s="481"/>
      <c r="AN21" s="481"/>
      <c r="AO21" s="481"/>
      <c r="AP21" s="481"/>
      <c r="BZ21" s="481"/>
      <c r="CA21" s="481"/>
      <c r="CB21" s="481"/>
      <c r="CC21" s="481"/>
      <c r="CD21" s="481"/>
      <c r="CE21" s="483"/>
      <c r="CF21" s="483"/>
      <c r="CG21" s="481"/>
      <c r="CH21" s="481"/>
      <c r="CI21" s="481"/>
      <c r="CJ21" s="481"/>
      <c r="CK21" s="481"/>
      <c r="CL21" s="483"/>
      <c r="CM21" s="483"/>
      <c r="CN21" s="481"/>
      <c r="CO21" s="481"/>
      <c r="CP21" s="481"/>
      <c r="CQ21" s="481"/>
      <c r="CR21" s="481"/>
      <c r="CS21" s="483"/>
      <c r="CT21" s="483"/>
      <c r="CU21" s="481"/>
      <c r="CV21" s="481"/>
      <c r="CW21" s="481"/>
      <c r="CX21" s="481"/>
      <c r="CY21" s="481"/>
      <c r="CZ21" s="483"/>
      <c r="DA21" s="483"/>
      <c r="DW21" s="489"/>
      <c r="DX21" s="481"/>
      <c r="DY21" s="489"/>
      <c r="DZ21" s="481"/>
      <c r="EA21" s="481"/>
      <c r="EC21" s="483"/>
    </row>
    <row r="22" spans="1:148" x14ac:dyDescent="0.15">
      <c r="A22" s="521"/>
      <c r="B22" s="117"/>
      <c r="C22" s="521"/>
      <c r="D22" s="521"/>
      <c r="E22" s="521"/>
      <c r="F22" s="147"/>
      <c r="G22" s="175"/>
      <c r="H22" s="176"/>
      <c r="I22" s="177"/>
      <c r="J22" s="178"/>
      <c r="K22" s="516"/>
      <c r="L22" s="516"/>
      <c r="M22" s="516"/>
      <c r="N22" s="516"/>
      <c r="O22" s="157"/>
      <c r="P22" s="127"/>
      <c r="Q22" s="127"/>
      <c r="R22" s="129"/>
      <c r="S22" s="129"/>
      <c r="T22" s="155"/>
      <c r="U22" s="127"/>
      <c r="V22" s="127"/>
      <c r="W22" s="127"/>
      <c r="X22" s="127"/>
      <c r="Y22" s="129"/>
      <c r="Z22" s="129"/>
      <c r="AA22" s="155"/>
      <c r="AB22" s="127"/>
      <c r="AC22" s="127"/>
      <c r="AD22" s="127"/>
      <c r="AE22" s="127"/>
      <c r="AF22" s="129"/>
      <c r="AG22" s="129"/>
      <c r="AH22" s="155"/>
      <c r="AI22" s="127"/>
      <c r="AJ22" s="127"/>
      <c r="AK22" s="516"/>
      <c r="AL22" s="516"/>
      <c r="AM22" s="516"/>
      <c r="AN22" s="516"/>
      <c r="AO22" s="516"/>
      <c r="AP22" s="516"/>
      <c r="BZ22" s="516"/>
      <c r="CA22" s="516"/>
      <c r="CB22" s="516"/>
      <c r="CC22" s="516"/>
      <c r="CD22" s="516"/>
      <c r="CE22" s="513"/>
      <c r="CF22" s="513"/>
      <c r="CG22" s="516"/>
      <c r="CH22" s="516"/>
      <c r="CI22" s="516"/>
      <c r="CJ22" s="516"/>
      <c r="CK22" s="516"/>
      <c r="CL22" s="513"/>
      <c r="CM22" s="513"/>
      <c r="CN22" s="516"/>
      <c r="CO22" s="516"/>
      <c r="CP22" s="516"/>
      <c r="CQ22" s="516"/>
      <c r="CR22" s="516"/>
      <c r="CS22" s="513"/>
      <c r="CT22" s="513"/>
      <c r="CU22" s="516"/>
      <c r="CV22" s="516"/>
      <c r="CW22" s="516"/>
      <c r="CX22" s="516"/>
      <c r="CY22" s="516"/>
      <c r="CZ22" s="513"/>
      <c r="DA22" s="513"/>
      <c r="DW22" s="527"/>
      <c r="DX22" s="516"/>
      <c r="DY22" s="527"/>
      <c r="DZ22" s="516"/>
      <c r="EA22" s="516"/>
      <c r="EC22" s="513"/>
    </row>
    <row r="23" spans="1:148" x14ac:dyDescent="0.15">
      <c r="A23" s="445"/>
      <c r="B23" s="117"/>
      <c r="C23" s="445"/>
      <c r="D23" s="445"/>
      <c r="E23" s="445"/>
      <c r="F23" s="147"/>
      <c r="G23" s="175"/>
      <c r="H23" s="176"/>
      <c r="I23" s="177"/>
      <c r="J23" s="178"/>
      <c r="K23" s="443"/>
      <c r="L23" s="443"/>
      <c r="M23" s="443"/>
      <c r="N23" s="443"/>
      <c r="O23" s="157"/>
      <c r="P23" s="127"/>
      <c r="Q23" s="127"/>
      <c r="R23" s="129"/>
      <c r="S23" s="129"/>
      <c r="T23" s="155"/>
      <c r="U23" s="127"/>
      <c r="V23" s="127"/>
      <c r="W23" s="127"/>
      <c r="X23" s="127"/>
      <c r="Y23" s="129"/>
      <c r="Z23" s="129"/>
      <c r="AA23" s="155"/>
      <c r="AB23" s="127"/>
      <c r="AC23" s="127"/>
      <c r="AD23" s="127"/>
      <c r="AE23" s="127"/>
      <c r="AF23" s="129"/>
      <c r="AG23" s="129"/>
      <c r="AH23" s="155"/>
      <c r="AI23" s="127"/>
      <c r="AJ23" s="127"/>
      <c r="AK23" s="443"/>
      <c r="AL23" s="443"/>
      <c r="AM23" s="443"/>
      <c r="AN23" s="443"/>
      <c r="AO23" s="443"/>
      <c r="AP23" s="443"/>
      <c r="BZ23" s="443"/>
      <c r="CA23" s="443"/>
      <c r="CB23" s="443"/>
      <c r="CC23" s="443"/>
      <c r="CD23" s="443"/>
      <c r="CE23" s="441"/>
      <c r="CF23" s="441"/>
      <c r="CG23" s="443"/>
      <c r="CH23" s="443"/>
      <c r="CI23" s="443"/>
      <c r="CJ23" s="443"/>
      <c r="CK23" s="443"/>
      <c r="CL23" s="441"/>
      <c r="CM23" s="441"/>
      <c r="CN23" s="443"/>
      <c r="CO23" s="443"/>
      <c r="CP23" s="443"/>
      <c r="CQ23" s="443"/>
      <c r="CR23" s="443"/>
      <c r="CS23" s="441"/>
      <c r="CT23" s="441"/>
      <c r="CU23" s="443"/>
      <c r="CV23" s="443"/>
      <c r="CW23" s="443"/>
      <c r="CX23" s="443"/>
      <c r="CY23" s="443"/>
      <c r="CZ23" s="441"/>
      <c r="DA23" s="441"/>
      <c r="DW23" s="451"/>
      <c r="DX23" s="443"/>
      <c r="DY23" s="451"/>
      <c r="DZ23" s="443"/>
      <c r="EA23" s="443"/>
      <c r="EC23" s="441"/>
    </row>
    <row r="24" spans="1:148" x14ac:dyDescent="0.15">
      <c r="A24" s="430"/>
      <c r="B24" s="117"/>
      <c r="C24" s="430"/>
      <c r="D24" s="430"/>
      <c r="E24" s="430"/>
      <c r="F24" s="147"/>
      <c r="G24" s="175"/>
      <c r="H24" s="176"/>
      <c r="I24" s="177"/>
      <c r="J24" s="178"/>
      <c r="K24" s="431"/>
      <c r="L24" s="431"/>
      <c r="M24" s="431"/>
      <c r="N24" s="431"/>
      <c r="O24" s="157"/>
      <c r="P24" s="127"/>
      <c r="Q24" s="127"/>
      <c r="R24" s="129"/>
      <c r="S24" s="129"/>
      <c r="T24" s="155"/>
      <c r="U24" s="127"/>
      <c r="V24" s="127"/>
      <c r="W24" s="127"/>
      <c r="X24" s="127"/>
      <c r="Y24" s="129"/>
      <c r="Z24" s="129"/>
      <c r="AA24" s="155"/>
      <c r="AB24" s="127"/>
      <c r="AC24" s="127"/>
      <c r="AD24" s="127"/>
      <c r="AE24" s="127"/>
      <c r="AF24" s="129"/>
      <c r="AG24" s="129"/>
      <c r="AH24" s="155"/>
      <c r="AI24" s="127"/>
      <c r="AJ24" s="127"/>
      <c r="AK24" s="431"/>
      <c r="AL24" s="431"/>
      <c r="AM24" s="431"/>
      <c r="AN24" s="431"/>
      <c r="AO24" s="431"/>
      <c r="AP24" s="431"/>
      <c r="BZ24" s="431"/>
      <c r="CA24" s="431"/>
      <c r="CB24" s="431"/>
      <c r="CC24" s="431"/>
      <c r="CD24" s="431"/>
      <c r="CE24" s="432"/>
      <c r="CF24" s="432"/>
      <c r="CG24" s="431"/>
      <c r="CH24" s="431"/>
      <c r="CI24" s="431"/>
      <c r="CJ24" s="431"/>
      <c r="CK24" s="431"/>
      <c r="CL24" s="432"/>
      <c r="CM24" s="432"/>
      <c r="CN24" s="431"/>
      <c r="CO24" s="431"/>
      <c r="CP24" s="431"/>
      <c r="CQ24" s="431"/>
      <c r="CR24" s="431"/>
      <c r="CS24" s="432"/>
      <c r="CT24" s="432"/>
      <c r="CU24" s="431"/>
      <c r="CV24" s="431"/>
      <c r="CW24" s="431"/>
      <c r="CX24" s="431"/>
      <c r="CY24" s="431"/>
      <c r="CZ24" s="432"/>
      <c r="DA24" s="432"/>
      <c r="DW24" s="434"/>
      <c r="DX24" s="431"/>
      <c r="DY24" s="434"/>
      <c r="DZ24" s="431"/>
      <c r="EA24" s="431"/>
      <c r="EC24" s="432"/>
    </row>
    <row r="25" spans="1:148" x14ac:dyDescent="0.15">
      <c r="B25" s="121" t="s">
        <v>73</v>
      </c>
      <c r="C25" s="271"/>
      <c r="D25" s="271"/>
      <c r="E25" s="271"/>
      <c r="F25" s="147"/>
      <c r="G25" s="175"/>
      <c r="H25" s="176"/>
      <c r="I25" s="177"/>
      <c r="J25" s="178"/>
      <c r="O25" s="157"/>
      <c r="P25" s="127"/>
      <c r="Q25" s="127"/>
      <c r="R25" s="129"/>
      <c r="S25" s="129"/>
      <c r="T25" s="155"/>
      <c r="U25" s="127"/>
      <c r="V25" s="127"/>
      <c r="W25" s="127"/>
      <c r="X25" s="127"/>
      <c r="Y25" s="129"/>
      <c r="Z25" s="129"/>
      <c r="AA25" s="155"/>
      <c r="AB25" s="127"/>
      <c r="AC25" s="127"/>
      <c r="AD25" s="127"/>
      <c r="AE25" s="127"/>
      <c r="AF25" s="129"/>
      <c r="AG25" s="129"/>
      <c r="AH25" s="155"/>
      <c r="AI25" s="127"/>
      <c r="AJ25" s="127"/>
    </row>
    <row r="26" spans="1:148" x14ac:dyDescent="0.15">
      <c r="B26" s="106" t="s">
        <v>91</v>
      </c>
      <c r="C26" s="107"/>
      <c r="D26" s="107"/>
      <c r="E26" s="107"/>
      <c r="F26" s="107"/>
      <c r="G26" s="107"/>
      <c r="H26" s="108"/>
      <c r="I26" s="109"/>
      <c r="J26" s="148"/>
      <c r="K26" s="184"/>
      <c r="L26" s="127"/>
      <c r="M26" s="127"/>
      <c r="P26" s="134"/>
      <c r="Q26" s="134"/>
      <c r="R26" s="513"/>
      <c r="S26" s="513"/>
      <c r="T26" s="134"/>
      <c r="U26" s="513"/>
      <c r="V26" s="134"/>
      <c r="W26" s="134"/>
      <c r="X26" s="134"/>
      <c r="Y26" s="513"/>
      <c r="Z26" s="513"/>
      <c r="AA26" s="134"/>
      <c r="AB26" s="513"/>
      <c r="AC26" s="134"/>
      <c r="AD26" s="134"/>
      <c r="AE26" s="134"/>
      <c r="AF26" s="131"/>
      <c r="AG26" s="131"/>
      <c r="AH26" s="134"/>
      <c r="AI26" s="242"/>
      <c r="AJ26" s="134"/>
    </row>
    <row r="27" spans="1:148" x14ac:dyDescent="0.15">
      <c r="B27" s="40" t="s">
        <v>63</v>
      </c>
      <c r="K27" s="185"/>
      <c r="P27" s="134"/>
      <c r="Q27" s="134"/>
      <c r="R27" s="513"/>
      <c r="S27" s="513"/>
      <c r="T27" s="134"/>
      <c r="U27" s="513"/>
      <c r="V27" s="134"/>
      <c r="W27" s="134"/>
      <c r="X27" s="134"/>
      <c r="Y27" s="513"/>
      <c r="Z27" s="513"/>
      <c r="AA27" s="134"/>
      <c r="AB27" s="513"/>
      <c r="AC27" s="134"/>
      <c r="AD27" s="134"/>
      <c r="AE27" s="134"/>
      <c r="AF27" s="131"/>
      <c r="AG27" s="131"/>
      <c r="AH27" s="134"/>
      <c r="AI27" s="242"/>
      <c r="AJ27" s="134"/>
    </row>
    <row r="28" spans="1:148" x14ac:dyDescent="0.15">
      <c r="B28" s="40" t="s">
        <v>50</v>
      </c>
      <c r="K28" s="185"/>
    </row>
    <row r="29" spans="1:148" x14ac:dyDescent="0.15">
      <c r="B29" s="40" t="s">
        <v>56</v>
      </c>
    </row>
  </sheetData>
  <sortState ref="A7:ER20">
    <sortCondition descending="1" ref="F7:F20"/>
    <sortCondition descending="1" ref="H7:H20"/>
    <sortCondition descending="1" ref="E7:E20"/>
  </sortState>
  <mergeCells count="57">
    <mergeCell ref="ED1:EJ1"/>
    <mergeCell ref="ED2:EJ2"/>
    <mergeCell ref="EK1:EQ1"/>
    <mergeCell ref="EK2:EQ2"/>
    <mergeCell ref="EK3:EQ3"/>
    <mergeCell ref="ED3:EJ3"/>
    <mergeCell ref="K1:N1"/>
    <mergeCell ref="K2:N2"/>
    <mergeCell ref="AK1:AM1"/>
    <mergeCell ref="AK2:AM2"/>
    <mergeCell ref="AX2:BD2"/>
    <mergeCell ref="W1:AC1"/>
    <mergeCell ref="W2:AC2"/>
    <mergeCell ref="AD1:AJ1"/>
    <mergeCell ref="AD2:AJ2"/>
    <mergeCell ref="P1:V1"/>
    <mergeCell ref="P2:V2"/>
    <mergeCell ref="DW3:EC3"/>
    <mergeCell ref="BZ2:CF2"/>
    <mergeCell ref="AQ1:AW1"/>
    <mergeCell ref="AX3:BD3"/>
    <mergeCell ref="BE3:BK3"/>
    <mergeCell ref="AQ3:AW3"/>
    <mergeCell ref="BL2:BR2"/>
    <mergeCell ref="BE2:BK2"/>
    <mergeCell ref="AQ2:AW2"/>
    <mergeCell ref="AX1:BD1"/>
    <mergeCell ref="DW1:EC1"/>
    <mergeCell ref="DW2:EC2"/>
    <mergeCell ref="BS3:BY3"/>
    <mergeCell ref="CU3:DA3"/>
    <mergeCell ref="CG2:CM2"/>
    <mergeCell ref="BS1:BY1"/>
    <mergeCell ref="BZ3:CF3"/>
    <mergeCell ref="BL3:BR3"/>
    <mergeCell ref="AN2:AP2"/>
    <mergeCell ref="AN1:AP1"/>
    <mergeCell ref="BS2:BY2"/>
    <mergeCell ref="BZ1:CF1"/>
    <mergeCell ref="BE1:BK1"/>
    <mergeCell ref="BL1:BR1"/>
    <mergeCell ref="DP3:DV3"/>
    <mergeCell ref="DI1:DO1"/>
    <mergeCell ref="DI2:DO2"/>
    <mergeCell ref="DI3:DO3"/>
    <mergeCell ref="CG3:CM3"/>
    <mergeCell ref="CG1:CM1"/>
    <mergeCell ref="CN2:CT2"/>
    <mergeCell ref="CN1:CT1"/>
    <mergeCell ref="CU1:DA1"/>
    <mergeCell ref="CU2:DA2"/>
    <mergeCell ref="DB2:DH2"/>
    <mergeCell ref="DB1:DH1"/>
    <mergeCell ref="DB3:DH3"/>
    <mergeCell ref="CN3:CT3"/>
    <mergeCell ref="DP1:DV1"/>
    <mergeCell ref="DP2:DV2"/>
  </mergeCells>
  <phoneticPr fontId="0" type="noConversion"/>
  <pageMargins left="0.47244094488188998" right="0.43307086614173201" top="0.66929133858267698" bottom="0.31496062992126" header="0.15748031496063" footer="0.196850393700787"/>
  <pageSetup scale="37" fitToWidth="0" orientation="landscape" r:id="rId1"/>
  <headerFooter alignWithMargins="0">
    <oddHeader>&amp;L&amp;A&amp;R&amp;F</oddHeader>
    <oddFooter>&amp;CPage &amp;P</oddFooter>
  </headerFooter>
  <colBreaks count="4" manualBreakCount="4">
    <brk id="22" max="29" man="1"/>
    <brk id="49" max="29" man="1"/>
    <brk id="77" max="29" man="1"/>
    <brk id="10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29"/>
  <sheetViews>
    <sheetView view="pageBreakPreview" zoomScale="80" zoomScaleNormal="80" zoomScaleSheetLayoutView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ColWidth="9.1640625" defaultRowHeight="13" x14ac:dyDescent="0.15"/>
  <cols>
    <col min="1" max="1" width="5.6640625" style="11" customWidth="1"/>
    <col min="2" max="2" width="25.6640625" style="13" customWidth="1"/>
    <col min="3" max="4" width="7.6640625" style="11" customWidth="1"/>
    <col min="5" max="6" width="8.6640625" style="11" customWidth="1"/>
    <col min="7" max="7" width="8.6640625" style="28" customWidth="1"/>
    <col min="8" max="8" width="8.6640625" style="31" customWidth="1"/>
    <col min="9" max="10" width="8.6640625" style="35" customWidth="1"/>
    <col min="11" max="15" width="8.6640625" style="125" customWidth="1"/>
    <col min="16" max="29" width="9.1640625" style="443" customWidth="1"/>
    <col min="30" max="42" width="9.1640625" style="125" customWidth="1"/>
    <col min="43" max="47" width="9.1640625" style="150"/>
    <col min="48" max="48" width="9.1640625" style="186"/>
    <col min="49" max="54" width="9.1640625" style="150"/>
    <col min="55" max="55" width="9.1640625" style="186"/>
    <col min="56" max="61" width="9.1640625" style="150"/>
    <col min="62" max="62" width="9.1640625" style="186"/>
    <col min="63" max="66" width="9.1640625" style="150"/>
    <col min="67" max="67" width="9.33203125" style="150" bestFit="1" customWidth="1"/>
    <col min="68" max="68" width="9.1640625" style="150"/>
    <col min="69" max="69" width="9.1640625" style="186"/>
    <col min="70" max="75" width="9.1640625" style="150"/>
    <col min="76" max="76" width="9.1640625" style="186"/>
    <col min="77" max="82" width="9.1640625" style="150"/>
    <col min="83" max="83" width="9.1640625" style="186"/>
    <col min="84" max="89" width="9.1640625" style="150"/>
    <col min="90" max="90" width="9.1640625" style="186"/>
    <col min="91" max="96" width="9.1640625" style="150"/>
    <col min="97" max="97" width="9.1640625" style="186"/>
    <col min="98" max="103" width="9.1640625" style="150"/>
    <col min="104" max="104" width="9.1640625" style="186"/>
    <col min="105" max="110" width="9.1640625" style="150"/>
    <col min="111" max="111" width="9.1640625" style="186"/>
    <col min="112" max="117" width="9.1640625" style="150"/>
    <col min="118" max="118" width="9.1640625" style="186"/>
    <col min="119" max="124" width="9.1640625" style="150"/>
    <col min="125" max="125" width="9.1640625" style="186"/>
    <col min="126" max="131" width="9.1640625" style="150"/>
    <col min="132" max="132" width="9.1640625" style="186"/>
    <col min="133" max="138" width="9.1640625" style="150"/>
    <col min="139" max="139" width="9.1640625" style="186"/>
    <col min="140" max="145" width="9.1640625" style="150"/>
    <col min="146" max="146" width="9.1640625" style="186"/>
    <col min="147" max="147" width="9.1640625" style="150"/>
    <col min="148" max="16384" width="9.1640625" style="13"/>
  </cols>
  <sheetData>
    <row r="1" spans="1:147" customFormat="1" x14ac:dyDescent="0.15">
      <c r="A1" s="1"/>
      <c r="B1" s="17" t="s">
        <v>19</v>
      </c>
      <c r="C1" s="17"/>
      <c r="D1" s="17"/>
      <c r="E1" s="38"/>
      <c r="F1" s="18"/>
      <c r="G1" s="28"/>
      <c r="H1" s="29">
        <v>92.5</v>
      </c>
      <c r="I1" s="32"/>
      <c r="J1" s="32"/>
      <c r="K1" s="570" t="s">
        <v>12</v>
      </c>
      <c r="L1" s="571"/>
      <c r="M1" s="571"/>
      <c r="N1" s="572"/>
      <c r="O1" s="156"/>
      <c r="P1" s="567" t="s">
        <v>113</v>
      </c>
      <c r="Q1" s="568"/>
      <c r="R1" s="568"/>
      <c r="S1" s="568"/>
      <c r="T1" s="568"/>
      <c r="U1" s="568"/>
      <c r="V1" s="569"/>
      <c r="W1" s="567" t="s">
        <v>115</v>
      </c>
      <c r="X1" s="568"/>
      <c r="Y1" s="568"/>
      <c r="Z1" s="568"/>
      <c r="AA1" s="568"/>
      <c r="AB1" s="568"/>
      <c r="AC1" s="569"/>
      <c r="AD1" s="567" t="s">
        <v>138</v>
      </c>
      <c r="AE1" s="568"/>
      <c r="AF1" s="568"/>
      <c r="AG1" s="568"/>
      <c r="AH1" s="568"/>
      <c r="AI1" s="568"/>
      <c r="AJ1" s="569"/>
      <c r="AK1" s="570" t="s">
        <v>16</v>
      </c>
      <c r="AL1" s="571"/>
      <c r="AM1" s="571"/>
      <c r="AN1" s="570" t="s">
        <v>10</v>
      </c>
      <c r="AO1" s="571"/>
      <c r="AP1" s="571"/>
      <c r="AQ1" s="567" t="s">
        <v>94</v>
      </c>
      <c r="AR1" s="568"/>
      <c r="AS1" s="568"/>
      <c r="AT1" s="568"/>
      <c r="AU1" s="568"/>
      <c r="AV1" s="568"/>
      <c r="AW1" s="569"/>
      <c r="AX1" s="567" t="s">
        <v>92</v>
      </c>
      <c r="AY1" s="568"/>
      <c r="AZ1" s="568"/>
      <c r="BA1" s="568"/>
      <c r="BB1" s="568"/>
      <c r="BC1" s="568"/>
      <c r="BD1" s="569"/>
      <c r="BE1" s="567" t="s">
        <v>92</v>
      </c>
      <c r="BF1" s="568"/>
      <c r="BG1" s="568"/>
      <c r="BH1" s="568"/>
      <c r="BI1" s="568"/>
      <c r="BJ1" s="568"/>
      <c r="BK1" s="569"/>
      <c r="BL1" s="567" t="s">
        <v>107</v>
      </c>
      <c r="BM1" s="568"/>
      <c r="BN1" s="568"/>
      <c r="BO1" s="568"/>
      <c r="BP1" s="568"/>
      <c r="BQ1" s="568"/>
      <c r="BR1" s="569"/>
      <c r="BS1" s="567" t="s">
        <v>107</v>
      </c>
      <c r="BT1" s="568"/>
      <c r="BU1" s="568"/>
      <c r="BV1" s="568"/>
      <c r="BW1" s="568"/>
      <c r="BX1" s="568"/>
      <c r="BY1" s="569"/>
      <c r="BZ1" s="567" t="s">
        <v>107</v>
      </c>
      <c r="CA1" s="568"/>
      <c r="CB1" s="568"/>
      <c r="CC1" s="568"/>
      <c r="CD1" s="568"/>
      <c r="CE1" s="568"/>
      <c r="CF1" s="569"/>
      <c r="CG1" s="567" t="s">
        <v>120</v>
      </c>
      <c r="CH1" s="568"/>
      <c r="CI1" s="571"/>
      <c r="CJ1" s="571"/>
      <c r="CK1" s="571"/>
      <c r="CL1" s="571"/>
      <c r="CM1" s="572"/>
      <c r="CN1" s="567" t="s">
        <v>136</v>
      </c>
      <c r="CO1" s="568"/>
      <c r="CP1" s="568"/>
      <c r="CQ1" s="568"/>
      <c r="CR1" s="568"/>
      <c r="CS1" s="568"/>
      <c r="CT1" s="569"/>
      <c r="CU1" s="567"/>
      <c r="CV1" s="568"/>
      <c r="CW1" s="568"/>
      <c r="CX1" s="568"/>
      <c r="CY1" s="568"/>
      <c r="CZ1" s="568"/>
      <c r="DA1" s="569"/>
      <c r="DB1" s="567"/>
      <c r="DC1" s="568"/>
      <c r="DD1" s="568"/>
      <c r="DE1" s="568"/>
      <c r="DF1" s="568"/>
      <c r="DG1" s="568"/>
      <c r="DH1" s="569"/>
      <c r="DI1" s="567"/>
      <c r="DJ1" s="568"/>
      <c r="DK1" s="568"/>
      <c r="DL1" s="568"/>
      <c r="DM1" s="568"/>
      <c r="DN1" s="568"/>
      <c r="DO1" s="569"/>
      <c r="DP1" s="567"/>
      <c r="DQ1" s="568"/>
      <c r="DR1" s="568"/>
      <c r="DS1" s="568"/>
      <c r="DT1" s="568"/>
      <c r="DU1" s="568"/>
      <c r="DV1" s="569"/>
      <c r="DW1" s="567"/>
      <c r="DX1" s="568"/>
      <c r="DY1" s="568"/>
      <c r="DZ1" s="568"/>
      <c r="EA1" s="568"/>
      <c r="EB1" s="568"/>
      <c r="EC1" s="569"/>
      <c r="ED1" s="567"/>
      <c r="EE1" s="568"/>
      <c r="EF1" s="571"/>
      <c r="EG1" s="571"/>
      <c r="EH1" s="571"/>
      <c r="EI1" s="571"/>
      <c r="EJ1" s="572"/>
      <c r="EK1" s="567"/>
      <c r="EL1" s="568"/>
      <c r="EM1" s="571"/>
      <c r="EN1" s="571"/>
      <c r="EO1" s="571"/>
      <c r="EP1" s="571"/>
      <c r="EQ1" s="572"/>
    </row>
    <row r="2" spans="1:147" customFormat="1" x14ac:dyDescent="0.15">
      <c r="A2" s="1"/>
      <c r="B2" s="18" t="s">
        <v>21</v>
      </c>
      <c r="C2" s="18"/>
      <c r="D2" s="18"/>
      <c r="E2" s="38"/>
      <c r="F2" s="18"/>
      <c r="G2" s="54"/>
      <c r="H2" s="155">
        <v>238.6</v>
      </c>
      <c r="I2" s="155">
        <v>245.8</v>
      </c>
      <c r="J2" s="155">
        <v>254.4</v>
      </c>
      <c r="K2" s="570" t="s">
        <v>11</v>
      </c>
      <c r="L2" s="571"/>
      <c r="M2" s="571"/>
      <c r="N2" s="572"/>
      <c r="O2" s="156"/>
      <c r="P2" s="567" t="s">
        <v>100</v>
      </c>
      <c r="Q2" s="568"/>
      <c r="R2" s="568"/>
      <c r="S2" s="568"/>
      <c r="T2" s="568"/>
      <c r="U2" s="568"/>
      <c r="V2" s="569"/>
      <c r="W2" s="567" t="s">
        <v>116</v>
      </c>
      <c r="X2" s="568"/>
      <c r="Y2" s="568"/>
      <c r="Z2" s="568"/>
      <c r="AA2" s="568"/>
      <c r="AB2" s="568"/>
      <c r="AC2" s="569"/>
      <c r="AD2" s="567" t="s">
        <v>139</v>
      </c>
      <c r="AE2" s="568"/>
      <c r="AF2" s="568"/>
      <c r="AG2" s="568"/>
      <c r="AH2" s="568"/>
      <c r="AI2" s="568"/>
      <c r="AJ2" s="569"/>
      <c r="AK2" s="570" t="s">
        <v>17</v>
      </c>
      <c r="AL2" s="571"/>
      <c r="AM2" s="571"/>
      <c r="AN2" s="570" t="s">
        <v>11</v>
      </c>
      <c r="AO2" s="571"/>
      <c r="AP2" s="571"/>
      <c r="AQ2" s="567" t="s">
        <v>93</v>
      </c>
      <c r="AR2" s="568"/>
      <c r="AS2" s="568"/>
      <c r="AT2" s="568"/>
      <c r="AU2" s="568"/>
      <c r="AV2" s="568"/>
      <c r="AW2" s="569"/>
      <c r="AX2" s="567" t="s">
        <v>105</v>
      </c>
      <c r="AY2" s="568"/>
      <c r="AZ2" s="568"/>
      <c r="BA2" s="568"/>
      <c r="BB2" s="568"/>
      <c r="BC2" s="568"/>
      <c r="BD2" s="569"/>
      <c r="BE2" s="567" t="s">
        <v>106</v>
      </c>
      <c r="BF2" s="568"/>
      <c r="BG2" s="568"/>
      <c r="BH2" s="568"/>
      <c r="BI2" s="568"/>
      <c r="BJ2" s="568"/>
      <c r="BK2" s="569"/>
      <c r="BL2" s="567" t="s">
        <v>108</v>
      </c>
      <c r="BM2" s="568"/>
      <c r="BN2" s="568"/>
      <c r="BO2" s="568"/>
      <c r="BP2" s="568"/>
      <c r="BQ2" s="568"/>
      <c r="BR2" s="569"/>
      <c r="BS2" s="567" t="s">
        <v>108</v>
      </c>
      <c r="BT2" s="568"/>
      <c r="BU2" s="568"/>
      <c r="BV2" s="568"/>
      <c r="BW2" s="568"/>
      <c r="BX2" s="568"/>
      <c r="BY2" s="569"/>
      <c r="BZ2" s="567" t="s">
        <v>108</v>
      </c>
      <c r="CA2" s="568"/>
      <c r="CB2" s="568"/>
      <c r="CC2" s="568"/>
      <c r="CD2" s="568"/>
      <c r="CE2" s="568"/>
      <c r="CF2" s="569"/>
      <c r="CG2" s="567" t="s">
        <v>121</v>
      </c>
      <c r="CH2" s="568"/>
      <c r="CI2" s="571"/>
      <c r="CJ2" s="571"/>
      <c r="CK2" s="571"/>
      <c r="CL2" s="571"/>
      <c r="CM2" s="572"/>
      <c r="CN2" s="567" t="s">
        <v>137</v>
      </c>
      <c r="CO2" s="568"/>
      <c r="CP2" s="568"/>
      <c r="CQ2" s="568"/>
      <c r="CR2" s="568"/>
      <c r="CS2" s="568"/>
      <c r="CT2" s="569"/>
      <c r="CU2" s="567"/>
      <c r="CV2" s="568"/>
      <c r="CW2" s="568"/>
      <c r="CX2" s="568"/>
      <c r="CY2" s="568"/>
      <c r="CZ2" s="568"/>
      <c r="DA2" s="569"/>
      <c r="DB2" s="567"/>
      <c r="DC2" s="568"/>
      <c r="DD2" s="568"/>
      <c r="DE2" s="568"/>
      <c r="DF2" s="568"/>
      <c r="DG2" s="568"/>
      <c r="DH2" s="569"/>
      <c r="DI2" s="567"/>
      <c r="DJ2" s="568"/>
      <c r="DK2" s="568"/>
      <c r="DL2" s="568"/>
      <c r="DM2" s="568"/>
      <c r="DN2" s="568"/>
      <c r="DO2" s="569"/>
      <c r="DP2" s="567"/>
      <c r="DQ2" s="568"/>
      <c r="DR2" s="568"/>
      <c r="DS2" s="568"/>
      <c r="DT2" s="568"/>
      <c r="DU2" s="568"/>
      <c r="DV2" s="569"/>
      <c r="DW2" s="567"/>
      <c r="DX2" s="568"/>
      <c r="DY2" s="568"/>
      <c r="DZ2" s="568"/>
      <c r="EA2" s="568"/>
      <c r="EB2" s="568"/>
      <c r="EC2" s="569"/>
      <c r="ED2" s="567"/>
      <c r="EE2" s="568"/>
      <c r="EF2" s="568"/>
      <c r="EG2" s="568"/>
      <c r="EH2" s="568"/>
      <c r="EI2" s="568"/>
      <c r="EJ2" s="569"/>
      <c r="EK2" s="567"/>
      <c r="EL2" s="568"/>
      <c r="EM2" s="568"/>
      <c r="EN2" s="568"/>
      <c r="EO2" s="568"/>
      <c r="EP2" s="568"/>
      <c r="EQ2" s="569"/>
    </row>
    <row r="3" spans="1:147" customFormat="1" x14ac:dyDescent="0.15">
      <c r="A3" s="1"/>
      <c r="B3" s="17" t="s">
        <v>18</v>
      </c>
      <c r="C3" s="17"/>
      <c r="D3" s="17"/>
      <c r="E3" s="38"/>
      <c r="F3" s="18"/>
      <c r="G3" s="36"/>
      <c r="H3" s="30"/>
      <c r="I3" s="33"/>
      <c r="J3" s="33"/>
      <c r="K3" s="140"/>
      <c r="L3" s="125"/>
      <c r="M3" s="125"/>
      <c r="N3" s="135"/>
      <c r="O3" s="156"/>
      <c r="P3" s="170">
        <v>89.5</v>
      </c>
      <c r="Q3" s="124"/>
      <c r="R3" s="128">
        <v>93.9</v>
      </c>
      <c r="S3" s="128"/>
      <c r="T3" s="168">
        <v>96.6</v>
      </c>
      <c r="U3" s="130">
        <v>100</v>
      </c>
      <c r="V3" s="130"/>
      <c r="W3" s="170">
        <v>89.5</v>
      </c>
      <c r="X3" s="124"/>
      <c r="Y3" s="128">
        <v>93.9</v>
      </c>
      <c r="Z3" s="128"/>
      <c r="AA3" s="168">
        <v>96.6</v>
      </c>
      <c r="AB3" s="130">
        <v>100</v>
      </c>
      <c r="AC3" s="130"/>
      <c r="AD3" s="170">
        <v>89.5</v>
      </c>
      <c r="AE3" s="124"/>
      <c r="AF3" s="128">
        <v>93.9</v>
      </c>
      <c r="AG3" s="128"/>
      <c r="AH3" s="168">
        <v>96.6</v>
      </c>
      <c r="AI3" s="130">
        <v>100</v>
      </c>
      <c r="AJ3" s="130"/>
      <c r="AK3" s="140"/>
      <c r="AL3" s="125"/>
      <c r="AM3" s="125"/>
      <c r="AN3" s="140"/>
      <c r="AO3" s="125"/>
      <c r="AP3" s="125"/>
      <c r="AQ3" s="581"/>
      <c r="AR3" s="582"/>
      <c r="AS3" s="582"/>
      <c r="AT3" s="582"/>
      <c r="AU3" s="582"/>
      <c r="AV3" s="582"/>
      <c r="AW3" s="583"/>
      <c r="AX3" s="581"/>
      <c r="AY3" s="582"/>
      <c r="AZ3" s="582"/>
      <c r="BA3" s="582"/>
      <c r="BB3" s="582"/>
      <c r="BC3" s="582"/>
      <c r="BD3" s="583"/>
      <c r="BE3" s="581"/>
      <c r="BF3" s="582"/>
      <c r="BG3" s="582"/>
      <c r="BH3" s="582"/>
      <c r="BI3" s="582"/>
      <c r="BJ3" s="582"/>
      <c r="BK3" s="583"/>
      <c r="BL3" s="581"/>
      <c r="BM3" s="582"/>
      <c r="BN3" s="582"/>
      <c r="BO3" s="582"/>
      <c r="BP3" s="582"/>
      <c r="BQ3" s="582"/>
      <c r="BR3" s="583"/>
      <c r="BS3" s="581" t="s">
        <v>109</v>
      </c>
      <c r="BT3" s="582"/>
      <c r="BU3" s="582"/>
      <c r="BV3" s="582"/>
      <c r="BW3" s="582"/>
      <c r="BX3" s="582"/>
      <c r="BY3" s="583"/>
      <c r="BZ3" s="581" t="s">
        <v>78</v>
      </c>
      <c r="CA3" s="582"/>
      <c r="CB3" s="582"/>
      <c r="CC3" s="582"/>
      <c r="CD3" s="582"/>
      <c r="CE3" s="582"/>
      <c r="CF3" s="583"/>
      <c r="CG3" s="581"/>
      <c r="CH3" s="582"/>
      <c r="CI3" s="582"/>
      <c r="CJ3" s="582"/>
      <c r="CK3" s="582"/>
      <c r="CL3" s="582"/>
      <c r="CM3" s="583"/>
      <c r="CN3" s="581"/>
      <c r="CO3" s="582"/>
      <c r="CP3" s="582"/>
      <c r="CQ3" s="582"/>
      <c r="CR3" s="582"/>
      <c r="CS3" s="582"/>
      <c r="CT3" s="583"/>
      <c r="CU3" s="581"/>
      <c r="CV3" s="582"/>
      <c r="CW3" s="582"/>
      <c r="CX3" s="582"/>
      <c r="CY3" s="582"/>
      <c r="CZ3" s="582"/>
      <c r="DA3" s="583"/>
      <c r="DB3" s="581"/>
      <c r="DC3" s="582"/>
      <c r="DD3" s="582"/>
      <c r="DE3" s="582"/>
      <c r="DF3" s="582"/>
      <c r="DG3" s="582"/>
      <c r="DH3" s="583"/>
      <c r="DI3" s="581"/>
      <c r="DJ3" s="582"/>
      <c r="DK3" s="582"/>
      <c r="DL3" s="582"/>
      <c r="DM3" s="582"/>
      <c r="DN3" s="582"/>
      <c r="DO3" s="583"/>
      <c r="DP3" s="581"/>
      <c r="DQ3" s="582"/>
      <c r="DR3" s="582"/>
      <c r="DS3" s="582"/>
      <c r="DT3" s="582"/>
      <c r="DU3" s="582"/>
      <c r="DV3" s="583"/>
      <c r="DW3" s="581"/>
      <c r="DX3" s="582"/>
      <c r="DY3" s="582"/>
      <c r="DZ3" s="582"/>
      <c r="EA3" s="582"/>
      <c r="EB3" s="582"/>
      <c r="EC3" s="583"/>
      <c r="ED3" s="581"/>
      <c r="EE3" s="582"/>
      <c r="EF3" s="582"/>
      <c r="EG3" s="582"/>
      <c r="EH3" s="582"/>
      <c r="EI3" s="582"/>
      <c r="EJ3" s="583"/>
      <c r="EK3" s="581"/>
      <c r="EL3" s="582"/>
      <c r="EM3" s="582"/>
      <c r="EN3" s="582"/>
      <c r="EO3" s="582"/>
      <c r="EP3" s="582"/>
      <c r="EQ3" s="583"/>
    </row>
    <row r="4" spans="1:147" customFormat="1" x14ac:dyDescent="0.15">
      <c r="A4" s="1"/>
      <c r="B4" s="17" t="s">
        <v>20</v>
      </c>
      <c r="C4" s="17"/>
      <c r="D4" s="24" t="s">
        <v>44</v>
      </c>
      <c r="E4" s="10" t="s">
        <v>8</v>
      </c>
      <c r="F4" s="62" t="s">
        <v>46</v>
      </c>
      <c r="G4" s="28" t="s">
        <v>34</v>
      </c>
      <c r="H4" s="29" t="s">
        <v>9</v>
      </c>
      <c r="I4" s="32" t="s">
        <v>14</v>
      </c>
      <c r="J4" s="60" t="s">
        <v>43</v>
      </c>
      <c r="K4" s="140" t="s">
        <v>4</v>
      </c>
      <c r="L4" s="125" t="s">
        <v>4</v>
      </c>
      <c r="M4" s="125" t="s">
        <v>4</v>
      </c>
      <c r="N4" s="135" t="s">
        <v>4</v>
      </c>
      <c r="O4" s="156" t="s">
        <v>4</v>
      </c>
      <c r="P4" s="170" t="s">
        <v>34</v>
      </c>
      <c r="Q4" s="124"/>
      <c r="R4" s="128" t="s">
        <v>9</v>
      </c>
      <c r="S4" s="128"/>
      <c r="T4" s="168" t="s">
        <v>14</v>
      </c>
      <c r="U4" s="130" t="s">
        <v>43</v>
      </c>
      <c r="V4" s="130"/>
      <c r="W4" s="170" t="s">
        <v>34</v>
      </c>
      <c r="X4" s="124"/>
      <c r="Y4" s="128" t="s">
        <v>9</v>
      </c>
      <c r="Z4" s="128"/>
      <c r="AA4" s="168" t="s">
        <v>14</v>
      </c>
      <c r="AB4" s="130" t="s">
        <v>43</v>
      </c>
      <c r="AC4" s="130"/>
      <c r="AD4" s="170" t="s">
        <v>34</v>
      </c>
      <c r="AE4" s="124"/>
      <c r="AF4" s="128" t="s">
        <v>9</v>
      </c>
      <c r="AG4" s="128"/>
      <c r="AH4" s="168" t="s">
        <v>14</v>
      </c>
      <c r="AI4" s="130" t="s">
        <v>43</v>
      </c>
      <c r="AJ4" s="130"/>
      <c r="AK4" s="140" t="s">
        <v>4</v>
      </c>
      <c r="AL4" s="157" t="s">
        <v>4</v>
      </c>
      <c r="AM4" s="125" t="s">
        <v>4</v>
      </c>
      <c r="AN4" s="140" t="s">
        <v>4</v>
      </c>
      <c r="AO4" s="157" t="s">
        <v>4</v>
      </c>
      <c r="AP4" s="125" t="s">
        <v>4</v>
      </c>
      <c r="AQ4" s="171"/>
      <c r="AR4" s="150"/>
      <c r="AS4" s="150"/>
      <c r="AT4" s="150"/>
      <c r="AU4" s="150"/>
      <c r="AV4" s="186"/>
      <c r="AW4" s="154"/>
      <c r="AX4" s="171"/>
      <c r="AY4" s="150"/>
      <c r="AZ4" s="150"/>
      <c r="BA4" s="150"/>
      <c r="BB4" s="150"/>
      <c r="BC4" s="186"/>
      <c r="BD4" s="154"/>
      <c r="BE4" s="171"/>
      <c r="BF4" s="150"/>
      <c r="BG4" s="150"/>
      <c r="BH4" s="150"/>
      <c r="BI4" s="150"/>
      <c r="BJ4" s="186"/>
      <c r="BK4" s="154"/>
      <c r="BL4" s="171"/>
      <c r="BM4" s="150"/>
      <c r="BN4" s="150"/>
      <c r="BO4" s="150"/>
      <c r="BP4" s="150"/>
      <c r="BQ4" s="186"/>
      <c r="BR4" s="154"/>
      <c r="BS4" s="171"/>
      <c r="BT4" s="150"/>
      <c r="BU4" s="150"/>
      <c r="BV4" s="150"/>
      <c r="BW4" s="150"/>
      <c r="BX4" s="186"/>
      <c r="BY4" s="154"/>
      <c r="BZ4" s="171"/>
      <c r="CA4" s="150"/>
      <c r="CB4" s="150"/>
      <c r="CC4" s="150"/>
      <c r="CD4" s="150"/>
      <c r="CE4" s="186"/>
      <c r="CF4" s="154"/>
      <c r="CG4" s="165"/>
      <c r="CH4" s="127"/>
      <c r="CI4" s="516"/>
      <c r="CJ4" s="516"/>
      <c r="CK4" s="513"/>
      <c r="CL4" s="513"/>
      <c r="CM4" s="517"/>
      <c r="CN4" s="171"/>
      <c r="CO4" s="150"/>
      <c r="CP4" s="150"/>
      <c r="CQ4" s="150"/>
      <c r="CR4" s="150"/>
      <c r="CS4" s="186"/>
      <c r="CT4" s="154"/>
      <c r="CU4" s="171"/>
      <c r="CV4" s="150"/>
      <c r="CW4" s="150"/>
      <c r="CX4" s="150"/>
      <c r="CY4" s="150"/>
      <c r="CZ4" s="186"/>
      <c r="DA4" s="154"/>
      <c r="DB4" s="171"/>
      <c r="DC4" s="150"/>
      <c r="DD4" s="150"/>
      <c r="DE4" s="150"/>
      <c r="DF4" s="150"/>
      <c r="DG4" s="186"/>
      <c r="DH4" s="154"/>
      <c r="DI4" s="171"/>
      <c r="DJ4" s="150"/>
      <c r="DK4" s="150"/>
      <c r="DL4" s="150"/>
      <c r="DM4" s="150"/>
      <c r="DN4" s="186"/>
      <c r="DO4" s="154"/>
      <c r="DP4" s="171"/>
      <c r="DQ4" s="150"/>
      <c r="DR4" s="150"/>
      <c r="DS4" s="150"/>
      <c r="DT4" s="150"/>
      <c r="DU4" s="186"/>
      <c r="DV4" s="154"/>
      <c r="DW4" s="171"/>
      <c r="DX4" s="150"/>
      <c r="DY4" s="150"/>
      <c r="DZ4" s="150"/>
      <c r="EA4" s="150"/>
      <c r="EB4" s="186"/>
      <c r="EC4" s="154"/>
      <c r="ED4" s="171"/>
      <c r="EE4" s="150"/>
      <c r="EF4" s="150"/>
      <c r="EG4" s="150"/>
      <c r="EH4" s="150"/>
      <c r="EI4" s="186"/>
      <c r="EJ4" s="154"/>
      <c r="EK4" s="171"/>
      <c r="EL4" s="150"/>
      <c r="EM4" s="150"/>
      <c r="EN4" s="150"/>
      <c r="EO4" s="150"/>
      <c r="EP4" s="186"/>
      <c r="EQ4" s="154"/>
    </row>
    <row r="5" spans="1:147" customFormat="1" x14ac:dyDescent="0.15">
      <c r="A5" s="1"/>
      <c r="B5" s="19" t="str">
        <f>+'TRA-M'!$A$1</f>
        <v>JUNE 2016</v>
      </c>
      <c r="C5" s="21" t="s">
        <v>23</v>
      </c>
      <c r="D5" s="21" t="s">
        <v>45</v>
      </c>
      <c r="E5" s="10" t="s">
        <v>7</v>
      </c>
      <c r="F5" s="159">
        <v>13.3</v>
      </c>
      <c r="G5" s="28" t="s">
        <v>13</v>
      </c>
      <c r="H5" s="29" t="s">
        <v>13</v>
      </c>
      <c r="I5" s="32" t="s">
        <v>13</v>
      </c>
      <c r="J5" s="60" t="s">
        <v>13</v>
      </c>
      <c r="K5" s="140" t="s">
        <v>2</v>
      </c>
      <c r="L5" s="125" t="s">
        <v>5</v>
      </c>
      <c r="M5" s="125" t="s">
        <v>6</v>
      </c>
      <c r="N5" s="135" t="s">
        <v>3</v>
      </c>
      <c r="O5" s="156" t="s">
        <v>15</v>
      </c>
      <c r="P5" s="515" t="s">
        <v>0</v>
      </c>
      <c r="Q5" s="513" t="s">
        <v>52</v>
      </c>
      <c r="R5" s="516" t="s">
        <v>1</v>
      </c>
      <c r="S5" s="513" t="s">
        <v>53</v>
      </c>
      <c r="T5" s="516" t="s">
        <v>2</v>
      </c>
      <c r="U5" s="516" t="s">
        <v>3</v>
      </c>
      <c r="V5" s="513" t="s">
        <v>54</v>
      </c>
      <c r="W5" s="515" t="s">
        <v>0</v>
      </c>
      <c r="X5" s="513" t="s">
        <v>52</v>
      </c>
      <c r="Y5" s="516" t="s">
        <v>1</v>
      </c>
      <c r="Z5" s="513" t="s">
        <v>53</v>
      </c>
      <c r="AA5" s="516" t="s">
        <v>2</v>
      </c>
      <c r="AB5" s="516" t="s">
        <v>3</v>
      </c>
      <c r="AC5" s="513" t="s">
        <v>54</v>
      </c>
      <c r="AD5" s="442" t="s">
        <v>0</v>
      </c>
      <c r="AE5" s="441" t="s">
        <v>52</v>
      </c>
      <c r="AF5" s="443" t="s">
        <v>1</v>
      </c>
      <c r="AG5" s="441" t="s">
        <v>53</v>
      </c>
      <c r="AH5" s="443" t="s">
        <v>2</v>
      </c>
      <c r="AI5" s="443" t="s">
        <v>3</v>
      </c>
      <c r="AJ5" s="441" t="s">
        <v>54</v>
      </c>
      <c r="AK5" s="140" t="s">
        <v>0</v>
      </c>
      <c r="AL5" s="157" t="s">
        <v>6</v>
      </c>
      <c r="AM5" s="125" t="s">
        <v>3</v>
      </c>
      <c r="AN5" s="140" t="s">
        <v>0</v>
      </c>
      <c r="AO5" s="157" t="s">
        <v>6</v>
      </c>
      <c r="AP5" s="125" t="s">
        <v>3</v>
      </c>
      <c r="AQ5" s="515" t="s">
        <v>0</v>
      </c>
      <c r="AR5" s="516" t="s">
        <v>55</v>
      </c>
      <c r="AS5" s="516" t="s">
        <v>1</v>
      </c>
      <c r="AT5" s="516" t="s">
        <v>53</v>
      </c>
      <c r="AU5" s="513" t="s">
        <v>2</v>
      </c>
      <c r="AV5" s="513" t="s">
        <v>3</v>
      </c>
      <c r="AW5" s="514" t="s">
        <v>54</v>
      </c>
      <c r="AX5" s="515" t="s">
        <v>0</v>
      </c>
      <c r="AY5" s="516" t="s">
        <v>55</v>
      </c>
      <c r="AZ5" s="516" t="s">
        <v>1</v>
      </c>
      <c r="BA5" s="516" t="s">
        <v>53</v>
      </c>
      <c r="BB5" s="513" t="s">
        <v>2</v>
      </c>
      <c r="BC5" s="513" t="s">
        <v>3</v>
      </c>
      <c r="BD5" s="514" t="s">
        <v>54</v>
      </c>
      <c r="BE5" s="515" t="s">
        <v>0</v>
      </c>
      <c r="BF5" s="516" t="s">
        <v>55</v>
      </c>
      <c r="BG5" s="516" t="s">
        <v>1</v>
      </c>
      <c r="BH5" s="516" t="s">
        <v>53</v>
      </c>
      <c r="BI5" s="513" t="s">
        <v>2</v>
      </c>
      <c r="BJ5" s="513" t="s">
        <v>3</v>
      </c>
      <c r="BK5" s="514" t="s">
        <v>54</v>
      </c>
      <c r="BL5" s="515" t="s">
        <v>0</v>
      </c>
      <c r="BM5" s="516" t="s">
        <v>55</v>
      </c>
      <c r="BN5" s="516" t="s">
        <v>1</v>
      </c>
      <c r="BO5" s="516" t="s">
        <v>53</v>
      </c>
      <c r="BP5" s="513" t="s">
        <v>2</v>
      </c>
      <c r="BQ5" s="513" t="s">
        <v>3</v>
      </c>
      <c r="BR5" s="514" t="s">
        <v>54</v>
      </c>
      <c r="BS5" s="515" t="s">
        <v>0</v>
      </c>
      <c r="BT5" s="516" t="s">
        <v>55</v>
      </c>
      <c r="BU5" s="516" t="s">
        <v>1</v>
      </c>
      <c r="BV5" s="516" t="s">
        <v>53</v>
      </c>
      <c r="BW5" s="513" t="s">
        <v>2</v>
      </c>
      <c r="BX5" s="513" t="s">
        <v>3</v>
      </c>
      <c r="BY5" s="514" t="s">
        <v>54</v>
      </c>
      <c r="BZ5" s="515" t="s">
        <v>0</v>
      </c>
      <c r="CA5" s="516" t="s">
        <v>55</v>
      </c>
      <c r="CB5" s="516" t="s">
        <v>1</v>
      </c>
      <c r="CC5" s="516" t="s">
        <v>53</v>
      </c>
      <c r="CD5" s="513" t="s">
        <v>2</v>
      </c>
      <c r="CE5" s="513" t="s">
        <v>3</v>
      </c>
      <c r="CF5" s="514" t="s">
        <v>54</v>
      </c>
      <c r="CG5" s="515" t="s">
        <v>0</v>
      </c>
      <c r="CH5" s="516" t="s">
        <v>55</v>
      </c>
      <c r="CI5" s="516" t="s">
        <v>1</v>
      </c>
      <c r="CJ5" s="516" t="s">
        <v>53</v>
      </c>
      <c r="CK5" s="513" t="s">
        <v>2</v>
      </c>
      <c r="CL5" s="516" t="s">
        <v>3</v>
      </c>
      <c r="CM5" s="517" t="s">
        <v>54</v>
      </c>
      <c r="CN5" s="515" t="s">
        <v>0</v>
      </c>
      <c r="CO5" s="516" t="s">
        <v>55</v>
      </c>
      <c r="CP5" s="516" t="s">
        <v>1</v>
      </c>
      <c r="CQ5" s="516" t="s">
        <v>53</v>
      </c>
      <c r="CR5" s="513" t="s">
        <v>2</v>
      </c>
      <c r="CS5" s="513" t="s">
        <v>3</v>
      </c>
      <c r="CT5" s="514" t="s">
        <v>54</v>
      </c>
      <c r="CU5" s="361" t="s">
        <v>0</v>
      </c>
      <c r="CV5" s="362" t="s">
        <v>55</v>
      </c>
      <c r="CW5" s="362" t="s">
        <v>1</v>
      </c>
      <c r="CX5" s="362" t="s">
        <v>53</v>
      </c>
      <c r="CY5" s="363" t="s">
        <v>2</v>
      </c>
      <c r="CZ5" s="363" t="s">
        <v>3</v>
      </c>
      <c r="DA5" s="364" t="s">
        <v>54</v>
      </c>
      <c r="DB5" s="225" t="s">
        <v>0</v>
      </c>
      <c r="DC5" s="226" t="s">
        <v>55</v>
      </c>
      <c r="DD5" s="226" t="s">
        <v>1</v>
      </c>
      <c r="DE5" s="226" t="s">
        <v>53</v>
      </c>
      <c r="DF5" s="227" t="s">
        <v>2</v>
      </c>
      <c r="DG5" s="227" t="s">
        <v>3</v>
      </c>
      <c r="DH5" s="228" t="s">
        <v>54</v>
      </c>
      <c r="DI5" s="225" t="s">
        <v>0</v>
      </c>
      <c r="DJ5" s="226" t="s">
        <v>55</v>
      </c>
      <c r="DK5" s="226" t="s">
        <v>1</v>
      </c>
      <c r="DL5" s="226" t="s">
        <v>53</v>
      </c>
      <c r="DM5" s="227" t="s">
        <v>2</v>
      </c>
      <c r="DN5" s="227" t="s">
        <v>3</v>
      </c>
      <c r="DO5" s="228" t="s">
        <v>54</v>
      </c>
      <c r="DP5" s="225" t="s">
        <v>0</v>
      </c>
      <c r="DQ5" s="226" t="s">
        <v>55</v>
      </c>
      <c r="DR5" s="226" t="s">
        <v>1</v>
      </c>
      <c r="DS5" s="226" t="s">
        <v>53</v>
      </c>
      <c r="DT5" s="227" t="s">
        <v>2</v>
      </c>
      <c r="DU5" s="227" t="s">
        <v>3</v>
      </c>
      <c r="DV5" s="228" t="s">
        <v>54</v>
      </c>
      <c r="DW5" s="206" t="s">
        <v>0</v>
      </c>
      <c r="DX5" s="205" t="s">
        <v>55</v>
      </c>
      <c r="DY5" s="205" t="s">
        <v>1</v>
      </c>
      <c r="DZ5" s="205" t="s">
        <v>53</v>
      </c>
      <c r="EA5" s="203" t="s">
        <v>2</v>
      </c>
      <c r="EB5" s="203" t="s">
        <v>3</v>
      </c>
      <c r="EC5" s="204" t="s">
        <v>54</v>
      </c>
      <c r="ED5" s="140" t="s">
        <v>0</v>
      </c>
      <c r="EE5" s="125" t="s">
        <v>55</v>
      </c>
      <c r="EF5" s="125" t="s">
        <v>1</v>
      </c>
      <c r="EG5" s="125" t="s">
        <v>53</v>
      </c>
      <c r="EH5" s="131" t="s">
        <v>2</v>
      </c>
      <c r="EI5" s="131" t="s">
        <v>3</v>
      </c>
      <c r="EJ5" s="153" t="s">
        <v>54</v>
      </c>
      <c r="EK5" s="140" t="s">
        <v>0</v>
      </c>
      <c r="EL5" s="125" t="s">
        <v>55</v>
      </c>
      <c r="EM5" s="125" t="s">
        <v>1</v>
      </c>
      <c r="EN5" s="125" t="s">
        <v>53</v>
      </c>
      <c r="EO5" s="131" t="s">
        <v>2</v>
      </c>
      <c r="EP5" s="131" t="s">
        <v>3</v>
      </c>
      <c r="EQ5" s="153" t="s">
        <v>54</v>
      </c>
    </row>
    <row r="6" spans="1:147" customFormat="1" ht="13.5" customHeight="1" x14ac:dyDescent="0.15">
      <c r="A6" s="1"/>
      <c r="C6" s="1"/>
      <c r="D6" s="1"/>
      <c r="E6" s="10"/>
      <c r="F6" s="11"/>
      <c r="G6" s="28"/>
      <c r="H6" s="29"/>
      <c r="I6" s="32"/>
      <c r="J6" s="32"/>
      <c r="K6" s="140"/>
      <c r="L6" s="125"/>
      <c r="M6" s="125"/>
      <c r="N6" s="135"/>
      <c r="O6" s="156"/>
      <c r="P6" s="516"/>
      <c r="Q6" s="516"/>
      <c r="R6" s="516"/>
      <c r="S6" s="516"/>
      <c r="T6" s="516"/>
      <c r="U6" s="127"/>
      <c r="V6" s="133"/>
      <c r="W6" s="516"/>
      <c r="X6" s="516"/>
      <c r="Y6" s="516"/>
      <c r="Z6" s="516"/>
      <c r="AA6" s="516"/>
      <c r="AB6" s="127"/>
      <c r="AC6" s="133"/>
      <c r="AD6" s="443"/>
      <c r="AE6" s="443"/>
      <c r="AF6" s="443"/>
      <c r="AG6" s="443"/>
      <c r="AH6" s="443"/>
      <c r="AI6" s="127"/>
      <c r="AJ6" s="133"/>
      <c r="AK6" s="125"/>
      <c r="AL6" s="125"/>
      <c r="AM6" s="125"/>
      <c r="AN6" s="140"/>
      <c r="AO6" s="125"/>
      <c r="AP6" s="154"/>
      <c r="AQ6" s="359"/>
      <c r="AR6" s="358"/>
      <c r="AS6" s="358"/>
      <c r="AT6" s="358"/>
      <c r="AU6" s="358"/>
      <c r="AV6" s="358"/>
      <c r="AW6" s="360"/>
      <c r="AX6" s="359"/>
      <c r="AY6" s="358"/>
      <c r="AZ6" s="358"/>
      <c r="BA6" s="358"/>
      <c r="BB6" s="358"/>
      <c r="BC6" s="358"/>
      <c r="BD6" s="360"/>
      <c r="BE6" s="359"/>
      <c r="BF6" s="358"/>
      <c r="BG6" s="358"/>
      <c r="BH6" s="358"/>
      <c r="BI6" s="358"/>
      <c r="BJ6" s="358"/>
      <c r="BK6" s="360"/>
      <c r="BL6" s="359"/>
      <c r="BM6" s="358"/>
      <c r="BN6" s="358"/>
      <c r="BO6" s="358"/>
      <c r="BP6" s="358"/>
      <c r="BQ6" s="358"/>
      <c r="BR6" s="360"/>
      <c r="BS6" s="359"/>
      <c r="BT6" s="358"/>
      <c r="BU6" s="358"/>
      <c r="BV6" s="358"/>
      <c r="BW6" s="358"/>
      <c r="BX6" s="358"/>
      <c r="BY6" s="360"/>
      <c r="BZ6" s="359"/>
      <c r="CA6" s="358"/>
      <c r="CB6" s="358"/>
      <c r="CC6" s="358"/>
      <c r="CD6" s="358"/>
      <c r="CE6" s="358"/>
      <c r="CF6" s="360"/>
      <c r="CG6" s="165"/>
      <c r="CH6" s="127"/>
      <c r="CI6" s="127"/>
      <c r="CJ6" s="127"/>
      <c r="CK6" s="511"/>
      <c r="CL6" s="511"/>
      <c r="CM6" s="133"/>
      <c r="CN6" s="359"/>
      <c r="CO6" s="358"/>
      <c r="CP6" s="358"/>
      <c r="CQ6" s="358"/>
      <c r="CR6" s="358"/>
      <c r="CS6" s="358"/>
      <c r="CT6" s="360"/>
      <c r="CU6" s="359"/>
      <c r="CV6" s="358"/>
      <c r="CW6" s="358"/>
      <c r="CX6" s="358"/>
      <c r="CY6" s="358"/>
      <c r="CZ6" s="358"/>
      <c r="DA6" s="360"/>
      <c r="DB6" s="359"/>
      <c r="DC6" s="358"/>
      <c r="DD6" s="358"/>
      <c r="DE6" s="358"/>
      <c r="DF6" s="358"/>
      <c r="DG6" s="358"/>
      <c r="DH6" s="360"/>
      <c r="DI6" s="359"/>
      <c r="DJ6" s="358"/>
      <c r="DK6" s="358"/>
      <c r="DL6" s="358"/>
      <c r="DM6" s="358"/>
      <c r="DN6" s="358"/>
      <c r="DO6" s="360"/>
      <c r="DP6" s="171"/>
      <c r="DQ6" s="150"/>
      <c r="DR6" s="150"/>
      <c r="DS6" s="150"/>
      <c r="DT6" s="150"/>
      <c r="DU6" s="186"/>
      <c r="DV6" s="154"/>
      <c r="DW6" s="171"/>
      <c r="DX6" s="150"/>
      <c r="DY6" s="150"/>
      <c r="DZ6" s="150"/>
      <c r="EA6" s="150"/>
      <c r="EB6" s="186"/>
      <c r="EC6" s="154"/>
      <c r="ED6" s="171"/>
      <c r="EE6" s="150"/>
      <c r="EF6" s="150"/>
      <c r="EG6" s="150"/>
      <c r="EH6" s="150"/>
      <c r="EI6" s="186"/>
      <c r="EJ6" s="154"/>
      <c r="EK6" s="171"/>
      <c r="EL6" s="150"/>
      <c r="EM6" s="150"/>
      <c r="EN6" s="150"/>
      <c r="EO6" s="150"/>
      <c r="EP6" s="186"/>
      <c r="EQ6" s="154"/>
    </row>
    <row r="7" spans="1:147" customFormat="1" x14ac:dyDescent="0.15">
      <c r="A7" s="1">
        <v>1</v>
      </c>
      <c r="B7" s="554" t="s">
        <v>157</v>
      </c>
      <c r="C7" s="560" t="s">
        <v>24</v>
      </c>
      <c r="D7" s="546">
        <v>2004</v>
      </c>
      <c r="E7" s="141">
        <f t="shared" ref="E7:E19" si="0">IF(O7="",SUM(K7:N7),SUM(K7:N7)+O7)</f>
        <v>259.19000000000005</v>
      </c>
      <c r="F7" s="75" t="s">
        <v>47</v>
      </c>
      <c r="G7" s="27" t="str">
        <f>IF('TRA-M'!$A$2-D7&lt;=1,IF(T7&gt;=$P$3,"YES",IF(AA7&gt;=$W$3,"YES",IF(AH7&gt;=$AD$3,"YES",""))),"")</f>
        <v/>
      </c>
      <c r="H7" s="7" t="str">
        <f t="shared" ref="H7:H19" si="1">IF(T7&gt;=$R$3,IF(F7="YES","YES",""),IF(AA7&gt;=$Y$3,IF(F7="YES","YES",""),IF(AH7&gt;=$AF$3,IF(F7="YES","YES",""),"")))</f>
        <v>YES</v>
      </c>
      <c r="I7" s="34" t="str">
        <f t="shared" ref="I7:I19" si="2">IF(T7&gt;=$T$3,IF(F7="YES","YES",""),IF(AA7&gt;=$AA$3,IF(F7="YES","YES",""),IF(AH7&gt;=$AH$3,IF(F7="YES","YES",""),"")))</f>
        <v>YES</v>
      </c>
      <c r="J7" s="52" t="str">
        <f t="shared" ref="J7:J19" si="3">IF(T7&gt;=$U$3,IF(F7="YES","YES",""),IF(AA7&gt;=$AB$3,IF(F7="YES","YES",""),IF(AH7&gt;=$AI$3,IF(F7="YES","YES",""),"")))</f>
        <v>YES</v>
      </c>
      <c r="K7" s="140">
        <f t="shared" ref="K7:K19" si="4">MAX($AH7,$AA7,$T7)</f>
        <v>101.89</v>
      </c>
      <c r="L7" s="125">
        <f t="shared" ref="L7:L19" si="5">IF($K7=$AH7,MAX($W7+$X7,$P7+$Q7),IF($K7=$AA7,MAX($AD7+$AE7,$P7+$Q7),MAX($AD7+$AE7,$W7+$X7)))</f>
        <v>46.900000000000006</v>
      </c>
      <c r="M7" s="125">
        <f t="shared" ref="M7:M19" si="6">IF($K7=$AH7,MAX($Y7+$Z7,$R7+$S7),IF($K7=$AA7,MAX($AF7+$AG7,$R7+$S7),MAX($AF7+$AG7,$Y7+$Z7)))</f>
        <v>50.484999999999999</v>
      </c>
      <c r="N7" s="135">
        <f t="shared" ref="N7:N19" si="7">MAX($AI7+$AJ7,$AB7+$AC7,$U7+$V7)</f>
        <v>55.405000000000001</v>
      </c>
      <c r="O7" s="156">
        <f t="shared" ref="O7:O19" si="8">IF(MAX(AK7:AM7)&lt;=0,"",MAX(AK7:AM7))</f>
        <v>4.509999999999998</v>
      </c>
      <c r="P7" s="510"/>
      <c r="Q7" s="511"/>
      <c r="R7" s="542"/>
      <c r="S7" s="511"/>
      <c r="T7" s="139">
        <f t="shared" ref="T7:T19" si="9">SUM(P7:S7)</f>
        <v>0</v>
      </c>
      <c r="U7" s="542"/>
      <c r="V7" s="512"/>
      <c r="W7" s="510">
        <f>27.6+2.7</f>
        <v>30.3</v>
      </c>
      <c r="X7" s="511">
        <v>16.600000000000001</v>
      </c>
      <c r="Y7" s="318">
        <f>20.1+14.6</f>
        <v>34.700000000000003</v>
      </c>
      <c r="Z7" s="511">
        <v>15.785</v>
      </c>
      <c r="AA7" s="139">
        <f t="shared" ref="AA7:AA19" si="10">SUM(W7:Z7)</f>
        <v>97.385000000000005</v>
      </c>
      <c r="AB7" s="318">
        <f>25.2+14</f>
        <v>39.200000000000003</v>
      </c>
      <c r="AC7" s="512">
        <v>15.914999999999999</v>
      </c>
      <c r="AD7" s="510">
        <f>27.7+2.9</f>
        <v>30.599999999999998</v>
      </c>
      <c r="AE7" s="542">
        <v>17.46</v>
      </c>
      <c r="AF7" s="318">
        <f>23+15</f>
        <v>38</v>
      </c>
      <c r="AG7" s="511">
        <v>15.83</v>
      </c>
      <c r="AH7" s="139">
        <f t="shared" ref="AH7:AH19" si="11">SUM(AD7:AG7)</f>
        <v>101.89</v>
      </c>
      <c r="AI7" s="318">
        <f>23.6+15.6</f>
        <v>39.200000000000003</v>
      </c>
      <c r="AJ7" s="512">
        <v>16.204999999999998</v>
      </c>
      <c r="AK7" s="140">
        <f t="shared" ref="AK7:AK19" si="12">IF(AN7="","",AN7-L7)</f>
        <v>0.65499999999999403</v>
      </c>
      <c r="AL7" s="125">
        <f t="shared" ref="AL7:AL19" si="13">IF(AO7="","",AO7-M7)</f>
        <v>4.509999999999998</v>
      </c>
      <c r="AM7" s="135">
        <f t="shared" ref="AM7:AM19" si="14">IF(AP7="","",AP7-N7)</f>
        <v>0.20999999999999375</v>
      </c>
      <c r="AN7" s="140">
        <f t="shared" ref="AN7:AN19" si="15">IF(MAX($AQ7+$AR7,$AX7+$AY7,$BE7+$BF7,$BL7+$BM7,$BS7+$BT7,$BZ7+$CA7,$CG7+$CH7,$CN7+$CO7,$CU7+$CV7,$DB7+$DC7,$DI7+$DJ7,$DP7+$DQ7,$DW7+$DX7,$ED7+$EE7,$EK7+$EL7)=0,"",MAX($AQ7+$AR7,$AX7+$AY7,$BE7+$BF7,$BL7+$BM7,$BS7+$BT7,$BZ7+$CA7,$CG7+$CH7,$CN7+$CO7,$CU7+$CV7,$DB7+$DC7,$DI7+$DJ7,$DP7+$DQ7,$DW7+$DX7,$ED7+$EE7,$EK7+$EL7))</f>
        <v>47.555</v>
      </c>
      <c r="AO7" s="125">
        <f t="shared" ref="AO7:AO19" si="16">IF(MAX($AS7+$AT7,$AZ7+$BA7,$BG7+$BH7,$BN7+$BO7,$BU7+$BV7,$CB7+$CC7,$CI7+$CJ7,$CP7+$CQ7,$CW7+$CX7,$DD7+$DE7,$DK7+$DL7,$DR7+$DS7,$DY7+$DZ7,$EF7+$EG7,$EM7+$EN7)=0,"",MAX($AS7+$AT7,$AZ7+$BA7,$BG7+$BH7,$BN7+$BO7,$BU7+$BV7,$CB7+$CC7,$CI7+$CJ7,$CP7+$CQ7,$CW7+$CX7,$DD7+$DE7,$DK7+$DL7,$DR7+$DS7,$DY7+$DZ7,$EF7+$EG7,$EM7+$EN7))</f>
        <v>54.994999999999997</v>
      </c>
      <c r="AP7" s="135">
        <f t="shared" ref="AP7:AP19" si="17">IF(MAX($AV7+$AW7,$BC7+$BD7,$BJ7+$BK7,$BQ7+$BR7,$BX7+$BY7,$CE7+$CF7,$CL7+$CM7,$CS7+$CT7,$CZ7+$DA7,$DG7+$DH7,$DN7+$DO7,$DU7+$DV7,$EB7+$EC7,$EI7+$EJ7,$EP7+$EQ7)=0,"",MAX($AV7+$AW7,$BC7+$BD7,$BJ7+$BK7,$BQ7+$BR7,$BX7+$BY7,$CE7+$CF7,$CL7+$CM7,$CS7+$CT7,$CZ7+$DA7,$DG7+$DH7,$DN7+$DO7,$DU7+$DV7,$EB7+$EC7,$EI7+$EJ7,$EP7+$EQ7))</f>
        <v>55.614999999999995</v>
      </c>
      <c r="AQ7" s="429">
        <f>28.2+2.5</f>
        <v>30.7</v>
      </c>
      <c r="AR7" s="511">
        <v>16.855</v>
      </c>
      <c r="AS7" s="143">
        <f>9.3+6.7</f>
        <v>16</v>
      </c>
      <c r="AT7" s="143">
        <v>6.71</v>
      </c>
      <c r="AU7" s="152">
        <f t="shared" ref="AU7:AU19" si="18">IF(AS7&lt;&gt;"",SUM(AQ7:AT7),"")</f>
        <v>70.265000000000001</v>
      </c>
      <c r="AV7" s="318">
        <f>22.5+15</f>
        <v>37.5</v>
      </c>
      <c r="AW7" s="512">
        <v>16.059999999999999</v>
      </c>
      <c r="AX7" s="181"/>
      <c r="AY7" s="132"/>
      <c r="AZ7" s="132"/>
      <c r="BA7" s="132"/>
      <c r="BB7" s="278" t="str">
        <f t="shared" ref="BB7:BB19" si="19">IF(AZ7&lt;&gt;"",SUM(AX7:BA7),"")</f>
        <v/>
      </c>
      <c r="BC7" s="132"/>
      <c r="BD7" s="142"/>
      <c r="BE7" s="510"/>
      <c r="BF7" s="511"/>
      <c r="BG7" s="511"/>
      <c r="BH7" s="511"/>
      <c r="BI7" s="152" t="str">
        <f t="shared" ref="BI7:BI19" si="20">IF(BG7&lt;&gt;"",SUM(BE7:BH7),"")</f>
        <v/>
      </c>
      <c r="BJ7" s="511"/>
      <c r="BK7" s="512"/>
      <c r="BL7" s="510">
        <f>27.3+2.7</f>
        <v>30</v>
      </c>
      <c r="BM7" s="511">
        <v>16.914999999999999</v>
      </c>
      <c r="BN7" s="318">
        <f>24.3+14.6</f>
        <v>38.9</v>
      </c>
      <c r="BO7" s="511">
        <v>16.09</v>
      </c>
      <c r="BP7" s="152">
        <f t="shared" ref="BP7:BP19" si="21">IF(BN7&lt;&gt;"",SUM(BL7:BO7),"")</f>
        <v>101.905</v>
      </c>
      <c r="BQ7" s="318">
        <f>24.6+14.6</f>
        <v>39.200000000000003</v>
      </c>
      <c r="BR7" s="512">
        <v>16.305</v>
      </c>
      <c r="BS7" s="510"/>
      <c r="BT7" s="511"/>
      <c r="BU7" s="511"/>
      <c r="BV7" s="511"/>
      <c r="BW7" s="152" t="str">
        <f t="shared" ref="BW7:BW19" si="22">IF(BU7&lt;&gt;"",SUM(BS7:BV7),"")</f>
        <v/>
      </c>
      <c r="BX7" s="318">
        <f>24.9+14.6</f>
        <v>39.5</v>
      </c>
      <c r="BY7" s="512">
        <v>16.114999999999998</v>
      </c>
      <c r="BZ7" s="510"/>
      <c r="CA7" s="511"/>
      <c r="CB7" s="318">
        <f>24.3+14.6</f>
        <v>38.9</v>
      </c>
      <c r="CC7" s="511">
        <v>16.094999999999999</v>
      </c>
      <c r="CD7" s="152">
        <f t="shared" ref="CD7:CD19" si="23">IF(CB7&lt;&gt;"",SUM(BZ7:CC7),"")</f>
        <v>54.994999999999997</v>
      </c>
      <c r="CE7" s="511"/>
      <c r="CF7" s="512"/>
      <c r="CG7" s="541"/>
      <c r="CH7" s="542"/>
      <c r="CI7" s="542"/>
      <c r="CJ7" s="542"/>
      <c r="CK7" s="139" t="str">
        <f t="shared" ref="CK7:CK19" si="24">IF(CI7&lt;&gt;"",SUM(CG7:CJ7),"")</f>
        <v/>
      </c>
      <c r="CL7" s="279"/>
      <c r="CM7" s="543"/>
      <c r="CN7" s="510"/>
      <c r="CO7" s="511"/>
      <c r="CP7" s="511"/>
      <c r="CQ7" s="511"/>
      <c r="CR7" s="152" t="str">
        <f t="shared" ref="CR7:CR19" si="25">IF(CP7&lt;&gt;"",SUM(CN7:CQ7),"")</f>
        <v/>
      </c>
      <c r="CS7" s="511"/>
      <c r="CT7" s="512"/>
      <c r="CU7" s="485"/>
      <c r="CV7" s="486"/>
      <c r="CW7" s="486"/>
      <c r="CX7" s="486"/>
      <c r="CY7" s="152" t="str">
        <f t="shared" ref="CY7:CY19" si="26">IF(CW7&lt;&gt;"",SUM(CU7:CX7),"")</f>
        <v/>
      </c>
      <c r="CZ7" s="439"/>
      <c r="DA7" s="440"/>
      <c r="DB7" s="438"/>
      <c r="DC7" s="439"/>
      <c r="DD7" s="439"/>
      <c r="DE7" s="439"/>
      <c r="DF7" s="152" t="str">
        <f t="shared" ref="DF7:DF19" si="27">IF(DD7&lt;&gt;"",SUM(DB7:DE7),"")</f>
        <v/>
      </c>
      <c r="DG7" s="439"/>
      <c r="DH7" s="440"/>
      <c r="DI7" s="347"/>
      <c r="DJ7" s="348"/>
      <c r="DK7" s="348"/>
      <c r="DL7" s="348"/>
      <c r="DM7" s="152" t="str">
        <f t="shared" ref="DM7:DM19" si="28">IF(DK7&lt;&gt;"",SUM(DI7:DL7),"")</f>
        <v/>
      </c>
      <c r="DN7" s="348"/>
      <c r="DO7" s="349"/>
      <c r="DP7" s="541"/>
      <c r="DQ7" s="542"/>
      <c r="DR7" s="542"/>
      <c r="DS7" s="542"/>
      <c r="DT7" s="152" t="str">
        <f t="shared" ref="DT7:DT19" si="29">IF(DR7&lt;&gt;"",SUM(DP7:DS7),"")</f>
        <v/>
      </c>
      <c r="DU7" s="126"/>
      <c r="DV7" s="543"/>
      <c r="DW7" s="541"/>
      <c r="DX7" s="542"/>
      <c r="DY7" s="542"/>
      <c r="DZ7" s="542"/>
      <c r="EA7" s="152" t="str">
        <f t="shared" ref="EA7:EA19" si="30">IF(DY7&lt;&gt;"",SUM(DW7:DZ7),"")</f>
        <v/>
      </c>
      <c r="EB7" s="126"/>
      <c r="EC7" s="543"/>
      <c r="ED7" s="538"/>
      <c r="EE7" s="539"/>
      <c r="EF7" s="539"/>
      <c r="EG7" s="539"/>
      <c r="EH7" s="151" t="str">
        <f t="shared" ref="EH7:EH18" si="31">IF(EF7&lt;&gt;"",SUM(ED7:EG7),"")</f>
        <v/>
      </c>
      <c r="EI7" s="500"/>
      <c r="EJ7" s="543"/>
      <c r="EK7" s="538"/>
      <c r="EL7" s="539"/>
      <c r="EM7" s="539"/>
      <c r="EN7" s="539"/>
      <c r="EO7" s="151" t="str">
        <f t="shared" ref="EO7:EO18" si="32">IF(EM7&lt;&gt;"",SUM(EK7:EN7),"")</f>
        <v/>
      </c>
      <c r="EP7" s="500"/>
      <c r="EQ7" s="543"/>
    </row>
    <row r="8" spans="1:147" customFormat="1" x14ac:dyDescent="0.15">
      <c r="A8" s="507">
        <v>2</v>
      </c>
      <c r="B8" s="166" t="s">
        <v>51</v>
      </c>
      <c r="C8" s="167" t="s">
        <v>24</v>
      </c>
      <c r="D8" s="74">
        <v>2010</v>
      </c>
      <c r="E8" s="141">
        <f t="shared" si="0"/>
        <v>253.36500000000001</v>
      </c>
      <c r="F8" s="75" t="s">
        <v>47</v>
      </c>
      <c r="G8" s="27" t="str">
        <f>IF('TRA-M'!$A$2-D8&lt;=1,IF(T8&gt;=$P$3,"YES",IF(AA8&gt;=$W$3,"YES",IF(AH8&gt;=$AD$3,"YES",""))),"")</f>
        <v/>
      </c>
      <c r="H8" s="7" t="str">
        <f t="shared" si="1"/>
        <v>YES</v>
      </c>
      <c r="I8" s="34" t="str">
        <f t="shared" si="2"/>
        <v>YES</v>
      </c>
      <c r="J8" s="52" t="str">
        <f t="shared" si="3"/>
        <v/>
      </c>
      <c r="K8" s="140">
        <f t="shared" si="4"/>
        <v>99.135000000000005</v>
      </c>
      <c r="L8" s="125">
        <f t="shared" si="5"/>
        <v>46.515000000000001</v>
      </c>
      <c r="M8" s="125">
        <f t="shared" si="6"/>
        <v>49.21</v>
      </c>
      <c r="N8" s="135">
        <f t="shared" si="7"/>
        <v>52.565000000000005</v>
      </c>
      <c r="O8" s="156">
        <f t="shared" si="8"/>
        <v>5.9400000000000048</v>
      </c>
      <c r="P8" s="510">
        <f>27+2.9</f>
        <v>29.9</v>
      </c>
      <c r="Q8" s="511">
        <v>16.614999999999998</v>
      </c>
      <c r="R8" s="143">
        <f>6.7+4.9</f>
        <v>11.600000000000001</v>
      </c>
      <c r="S8" s="143">
        <v>4.88</v>
      </c>
      <c r="T8" s="139">
        <f t="shared" si="9"/>
        <v>62.995000000000005</v>
      </c>
      <c r="U8" s="511"/>
      <c r="V8" s="511"/>
      <c r="W8" s="510">
        <f>26.7+2.9</f>
        <v>29.599999999999998</v>
      </c>
      <c r="X8" s="511">
        <v>16.045000000000002</v>
      </c>
      <c r="Y8" s="318">
        <f>20.1+14.6</f>
        <v>34.700000000000003</v>
      </c>
      <c r="Z8" s="511">
        <v>14.51</v>
      </c>
      <c r="AA8" s="139">
        <f t="shared" si="10"/>
        <v>94.855000000000004</v>
      </c>
      <c r="AB8" s="318">
        <f>23.1+14.6</f>
        <v>37.700000000000003</v>
      </c>
      <c r="AC8" s="511">
        <v>14.865</v>
      </c>
      <c r="AD8" s="510">
        <f>27.6+2.9</f>
        <v>30.5</v>
      </c>
      <c r="AE8" s="511">
        <v>16.350000000000001</v>
      </c>
      <c r="AF8" s="318">
        <f>23+14.4</f>
        <v>37.4</v>
      </c>
      <c r="AG8" s="511">
        <v>14.885</v>
      </c>
      <c r="AH8" s="139">
        <f t="shared" si="11"/>
        <v>99.135000000000005</v>
      </c>
      <c r="AI8" s="318">
        <f>21.9+14.4</f>
        <v>36.299999999999997</v>
      </c>
      <c r="AJ8" s="511">
        <v>14.875</v>
      </c>
      <c r="AK8" s="140">
        <f t="shared" si="12"/>
        <v>6.4999999999997726E-2</v>
      </c>
      <c r="AL8" s="125">
        <f t="shared" si="13"/>
        <v>5.9400000000000048</v>
      </c>
      <c r="AM8" s="135">
        <f t="shared" si="14"/>
        <v>-36.025000000000006</v>
      </c>
      <c r="AN8" s="140">
        <f t="shared" si="15"/>
        <v>46.58</v>
      </c>
      <c r="AO8" s="125">
        <f t="shared" si="16"/>
        <v>55.150000000000006</v>
      </c>
      <c r="AP8" s="135">
        <f t="shared" si="17"/>
        <v>16.54</v>
      </c>
      <c r="AQ8" s="510"/>
      <c r="AR8" s="511"/>
      <c r="AS8" s="511"/>
      <c r="AT8" s="511"/>
      <c r="AU8" s="152" t="str">
        <f t="shared" si="18"/>
        <v/>
      </c>
      <c r="AV8" s="511"/>
      <c r="AW8" s="512"/>
      <c r="AX8" s="510">
        <f>26.4+2.9</f>
        <v>29.299999999999997</v>
      </c>
      <c r="AY8" s="511">
        <v>16.34</v>
      </c>
      <c r="AZ8" s="318">
        <f>25.2+14.4</f>
        <v>39.6</v>
      </c>
      <c r="BA8" s="511">
        <v>15.55</v>
      </c>
      <c r="BB8" s="152">
        <f t="shared" si="19"/>
        <v>100.79</v>
      </c>
      <c r="BC8" s="143">
        <f>6.8+4.9</f>
        <v>11.7</v>
      </c>
      <c r="BD8" s="137">
        <v>4.84</v>
      </c>
      <c r="BE8" s="510"/>
      <c r="BF8" s="511"/>
      <c r="BG8" s="511"/>
      <c r="BH8" s="511"/>
      <c r="BI8" s="152" t="str">
        <f t="shared" si="20"/>
        <v/>
      </c>
      <c r="BJ8" s="511"/>
      <c r="BK8" s="512"/>
      <c r="BL8" s="510">
        <f>27.3+2.9</f>
        <v>30.2</v>
      </c>
      <c r="BM8" s="511">
        <v>16.38</v>
      </c>
      <c r="BN8" s="465">
        <f>9.3+6.9</f>
        <v>16.200000000000003</v>
      </c>
      <c r="BO8" s="143">
        <v>6.44</v>
      </c>
      <c r="BP8" s="152">
        <f t="shared" si="21"/>
        <v>69.22</v>
      </c>
      <c r="BQ8" s="511"/>
      <c r="BR8" s="512"/>
      <c r="BS8" s="510"/>
      <c r="BT8" s="511"/>
      <c r="BU8" s="511"/>
      <c r="BV8" s="511"/>
      <c r="BW8" s="152" t="str">
        <f t="shared" si="22"/>
        <v/>
      </c>
      <c r="BX8" s="511"/>
      <c r="BY8" s="512"/>
      <c r="BZ8" s="510"/>
      <c r="CA8" s="511"/>
      <c r="CB8" s="511"/>
      <c r="CC8" s="511"/>
      <c r="CD8" s="152" t="str">
        <f t="shared" si="23"/>
        <v/>
      </c>
      <c r="CE8" s="511"/>
      <c r="CF8" s="512"/>
      <c r="CG8" s="510"/>
      <c r="CH8" s="511"/>
      <c r="CI8" s="511"/>
      <c r="CJ8" s="511"/>
      <c r="CK8" s="139" t="str">
        <f t="shared" si="24"/>
        <v/>
      </c>
      <c r="CL8" s="279"/>
      <c r="CM8" s="511"/>
      <c r="CN8" s="510"/>
      <c r="CO8" s="511"/>
      <c r="CP8" s="511"/>
      <c r="CQ8" s="511"/>
      <c r="CR8" s="152" t="str">
        <f t="shared" si="25"/>
        <v/>
      </c>
      <c r="CS8" s="511"/>
      <c r="CT8" s="512"/>
      <c r="CU8" s="485"/>
      <c r="CV8" s="486"/>
      <c r="CW8" s="486"/>
      <c r="CX8" s="486"/>
      <c r="CY8" s="152" t="str">
        <f t="shared" si="26"/>
        <v/>
      </c>
      <c r="CZ8" s="439"/>
      <c r="DA8" s="440"/>
      <c r="DB8" s="438"/>
      <c r="DC8" s="439"/>
      <c r="DD8" s="439"/>
      <c r="DE8" s="439"/>
      <c r="DF8" s="152" t="str">
        <f t="shared" si="27"/>
        <v/>
      </c>
      <c r="DG8" s="439"/>
      <c r="DH8" s="440"/>
      <c r="DI8" s="347"/>
      <c r="DJ8" s="348"/>
      <c r="DK8" s="348"/>
      <c r="DL8" s="348"/>
      <c r="DM8" s="152" t="str">
        <f t="shared" si="28"/>
        <v/>
      </c>
      <c r="DN8" s="348"/>
      <c r="DO8" s="349"/>
      <c r="DP8" s="165"/>
      <c r="DQ8" s="127"/>
      <c r="DR8" s="127"/>
      <c r="DS8" s="127"/>
      <c r="DT8" s="152" t="str">
        <f t="shared" si="29"/>
        <v/>
      </c>
      <c r="DU8" s="126"/>
      <c r="DV8" s="133"/>
      <c r="DW8" s="165"/>
      <c r="DX8" s="127"/>
      <c r="DY8" s="127"/>
      <c r="DZ8" s="127"/>
      <c r="EA8" s="152" t="str">
        <f t="shared" si="30"/>
        <v/>
      </c>
      <c r="EB8" s="126"/>
      <c r="EC8" s="133"/>
      <c r="ED8" s="515"/>
      <c r="EE8" s="516"/>
      <c r="EF8" s="516"/>
      <c r="EG8" s="516"/>
      <c r="EH8" s="151" t="str">
        <f t="shared" si="31"/>
        <v/>
      </c>
      <c r="EI8" s="513"/>
      <c r="EJ8" s="517"/>
      <c r="EK8" s="515"/>
      <c r="EL8" s="516"/>
      <c r="EM8" s="516"/>
      <c r="EN8" s="516"/>
      <c r="EO8" s="151" t="str">
        <f t="shared" si="32"/>
        <v/>
      </c>
      <c r="EP8" s="513"/>
      <c r="EQ8" s="517"/>
    </row>
    <row r="9" spans="1:147" customFormat="1" x14ac:dyDescent="0.15">
      <c r="A9" s="546">
        <v>3</v>
      </c>
      <c r="B9" s="166" t="s">
        <v>72</v>
      </c>
      <c r="C9" s="167" t="s">
        <v>24</v>
      </c>
      <c r="D9" s="74">
        <v>2007</v>
      </c>
      <c r="E9" s="141">
        <f t="shared" si="0"/>
        <v>252.23500000000001</v>
      </c>
      <c r="F9" s="75" t="s">
        <v>47</v>
      </c>
      <c r="G9" s="27" t="str">
        <f>IF('TRA-M'!$A$2-D9&lt;=1,IF(T9&gt;=$P$3,"YES",IF(AA9&gt;=$W$3,"YES",IF(AH9&gt;=$AD$3,"YES",""))),"")</f>
        <v/>
      </c>
      <c r="H9" s="7" t="str">
        <f t="shared" si="1"/>
        <v>YES</v>
      </c>
      <c r="I9" s="34" t="str">
        <f t="shared" si="2"/>
        <v>YES</v>
      </c>
      <c r="J9" s="52" t="str">
        <f t="shared" si="3"/>
        <v/>
      </c>
      <c r="K9" s="140">
        <f t="shared" si="4"/>
        <v>98.975000000000009</v>
      </c>
      <c r="L9" s="125">
        <f t="shared" si="5"/>
        <v>46.19</v>
      </c>
      <c r="M9" s="125">
        <f t="shared" si="6"/>
        <v>51.519999999999996</v>
      </c>
      <c r="N9" s="135">
        <f t="shared" si="7"/>
        <v>52.935000000000002</v>
      </c>
      <c r="O9" s="156">
        <f t="shared" si="8"/>
        <v>2.615000000000002</v>
      </c>
      <c r="P9" s="510">
        <f>26.5+2.7</f>
        <v>29.2</v>
      </c>
      <c r="Q9" s="511">
        <v>16.72</v>
      </c>
      <c r="R9" s="318">
        <f>23.2+14.4</f>
        <v>37.6</v>
      </c>
      <c r="S9" s="511">
        <v>15.455</v>
      </c>
      <c r="T9" s="139">
        <f t="shared" si="9"/>
        <v>98.975000000000009</v>
      </c>
      <c r="U9" s="318">
        <f>23.1+14.4</f>
        <v>37.5</v>
      </c>
      <c r="V9" s="512">
        <v>15.435</v>
      </c>
      <c r="W9" s="510">
        <f>26.7+2.7</f>
        <v>29.4</v>
      </c>
      <c r="X9" s="511">
        <v>16.375</v>
      </c>
      <c r="Y9" s="318">
        <f>21+14.4</f>
        <v>35.4</v>
      </c>
      <c r="Z9" s="511">
        <v>14.654999999999999</v>
      </c>
      <c r="AA9" s="139">
        <f t="shared" si="10"/>
        <v>95.83</v>
      </c>
      <c r="AB9" s="318">
        <f>22.8+14.2</f>
        <v>37</v>
      </c>
      <c r="AC9" s="543">
        <v>15.09</v>
      </c>
      <c r="AD9" s="510">
        <f>26.9+2.7</f>
        <v>29.599999999999998</v>
      </c>
      <c r="AE9" s="511">
        <v>16.59</v>
      </c>
      <c r="AF9" s="318">
        <f>21.9+14.4</f>
        <v>36.299999999999997</v>
      </c>
      <c r="AG9" s="511">
        <v>15.22</v>
      </c>
      <c r="AH9" s="139">
        <f t="shared" si="11"/>
        <v>97.71</v>
      </c>
      <c r="AI9" s="318">
        <f>22.8+14.6</f>
        <v>37.4</v>
      </c>
      <c r="AJ9" s="512">
        <v>15.135</v>
      </c>
      <c r="AK9" s="140">
        <f t="shared" si="12"/>
        <v>-0.95000000000000284</v>
      </c>
      <c r="AL9" s="125">
        <f t="shared" si="13"/>
        <v>2.615000000000002</v>
      </c>
      <c r="AM9" s="135">
        <f t="shared" si="14"/>
        <v>0.375</v>
      </c>
      <c r="AN9" s="140">
        <f t="shared" si="15"/>
        <v>45.239999999999995</v>
      </c>
      <c r="AO9" s="125">
        <f t="shared" si="16"/>
        <v>54.134999999999998</v>
      </c>
      <c r="AP9" s="135">
        <f t="shared" si="17"/>
        <v>53.31</v>
      </c>
      <c r="AQ9" s="510"/>
      <c r="AR9" s="511"/>
      <c r="AS9" s="511"/>
      <c r="AT9" s="511"/>
      <c r="AU9" s="152" t="str">
        <f t="shared" si="18"/>
        <v/>
      </c>
      <c r="AV9" s="542"/>
      <c r="AW9" s="512"/>
      <c r="AX9" s="510">
        <f>25.8+2.7</f>
        <v>28.5</v>
      </c>
      <c r="AY9" s="511">
        <v>16.739999999999998</v>
      </c>
      <c r="AZ9" s="318">
        <f>23.7+14.8</f>
        <v>38.5</v>
      </c>
      <c r="BA9" s="511">
        <v>15.635</v>
      </c>
      <c r="BB9" s="152">
        <f t="shared" si="19"/>
        <v>99.375</v>
      </c>
      <c r="BC9" s="511">
        <f>22.2+14.8</f>
        <v>37</v>
      </c>
      <c r="BD9" s="512">
        <v>15.074999999999999</v>
      </c>
      <c r="BE9" s="510"/>
      <c r="BF9" s="511"/>
      <c r="BG9" s="542"/>
      <c r="BH9" s="511"/>
      <c r="BI9" s="152" t="str">
        <f t="shared" si="20"/>
        <v/>
      </c>
      <c r="BJ9" s="511"/>
      <c r="BK9" s="512"/>
      <c r="BL9" s="510">
        <f>24.6+2.7</f>
        <v>27.3</v>
      </c>
      <c r="BM9" s="511">
        <v>16.649999999999999</v>
      </c>
      <c r="BN9" s="318">
        <f>21.3+14.8</f>
        <v>36.1</v>
      </c>
      <c r="BO9" s="511">
        <v>15.335000000000001</v>
      </c>
      <c r="BP9" s="152">
        <f t="shared" si="21"/>
        <v>95.385000000000019</v>
      </c>
      <c r="BQ9" s="511"/>
      <c r="BR9" s="512"/>
      <c r="BS9" s="510"/>
      <c r="BT9" s="511"/>
      <c r="BU9" s="542"/>
      <c r="BV9" s="511"/>
      <c r="BW9" s="152" t="str">
        <f t="shared" si="22"/>
        <v/>
      </c>
      <c r="BX9" s="318">
        <f>23.1+14.4</f>
        <v>37.5</v>
      </c>
      <c r="BY9" s="512">
        <v>15.81</v>
      </c>
      <c r="BZ9" s="510"/>
      <c r="CA9" s="511"/>
      <c r="CB9" s="511"/>
      <c r="CC9" s="511"/>
      <c r="CD9" s="152" t="str">
        <f t="shared" si="23"/>
        <v/>
      </c>
      <c r="CE9" s="511"/>
      <c r="CF9" s="512"/>
      <c r="CG9" s="165"/>
      <c r="CH9" s="127"/>
      <c r="CI9" s="127"/>
      <c r="CJ9" s="127"/>
      <c r="CK9" s="139" t="str">
        <f t="shared" si="24"/>
        <v/>
      </c>
      <c r="CL9" s="279"/>
      <c r="CM9" s="127"/>
      <c r="CN9" s="510"/>
      <c r="CO9" s="511"/>
      <c r="CP9" s="511"/>
      <c r="CQ9" s="511"/>
      <c r="CR9" s="152" t="str">
        <f t="shared" si="25"/>
        <v/>
      </c>
      <c r="CS9" s="511"/>
      <c r="CT9" s="512"/>
      <c r="CU9" s="485"/>
      <c r="CV9" s="486"/>
      <c r="CW9" s="486"/>
      <c r="CX9" s="486"/>
      <c r="CY9" s="152" t="str">
        <f t="shared" si="26"/>
        <v/>
      </c>
      <c r="CZ9" s="439"/>
      <c r="DA9" s="440"/>
      <c r="DB9" s="438"/>
      <c r="DC9" s="439"/>
      <c r="DD9" s="439"/>
      <c r="DE9" s="439"/>
      <c r="DF9" s="152" t="str">
        <f t="shared" si="27"/>
        <v/>
      </c>
      <c r="DG9" s="439"/>
      <c r="DH9" s="440"/>
      <c r="DI9" s="347"/>
      <c r="DJ9" s="348"/>
      <c r="DK9" s="348"/>
      <c r="DL9" s="348"/>
      <c r="DM9" s="152" t="str">
        <f t="shared" si="28"/>
        <v/>
      </c>
      <c r="DN9" s="348"/>
      <c r="DO9" s="349"/>
      <c r="DP9" s="165"/>
      <c r="DQ9" s="127"/>
      <c r="DR9" s="127"/>
      <c r="DS9" s="127"/>
      <c r="DT9" s="152" t="str">
        <f t="shared" si="29"/>
        <v/>
      </c>
      <c r="DU9" s="126"/>
      <c r="DV9" s="133"/>
      <c r="DW9" s="165"/>
      <c r="DX9" s="127"/>
      <c r="DY9" s="127"/>
      <c r="DZ9" s="127"/>
      <c r="EA9" s="152" t="str">
        <f t="shared" si="30"/>
        <v/>
      </c>
      <c r="EB9" s="126"/>
      <c r="EC9" s="133"/>
      <c r="ED9" s="535"/>
      <c r="EE9" s="536"/>
      <c r="EF9" s="536"/>
      <c r="EG9" s="536"/>
      <c r="EH9" s="151" t="str">
        <f t="shared" si="31"/>
        <v/>
      </c>
      <c r="EI9" s="343"/>
      <c r="EJ9" s="342"/>
      <c r="EK9" s="535"/>
      <c r="EL9" s="536"/>
      <c r="EM9" s="536"/>
      <c r="EN9" s="536"/>
      <c r="EO9" s="151" t="str">
        <f t="shared" si="32"/>
        <v/>
      </c>
      <c r="EP9" s="343"/>
      <c r="EQ9" s="342"/>
    </row>
    <row r="10" spans="1:147" customFormat="1" x14ac:dyDescent="0.15">
      <c r="A10" s="74">
        <v>4</v>
      </c>
      <c r="B10" s="383" t="s">
        <v>118</v>
      </c>
      <c r="C10" s="384" t="s">
        <v>25</v>
      </c>
      <c r="D10" s="74">
        <v>2016</v>
      </c>
      <c r="E10" s="141">
        <f t="shared" si="0"/>
        <v>244.21</v>
      </c>
      <c r="F10" s="75" t="s">
        <v>47</v>
      </c>
      <c r="G10" s="27" t="str">
        <f>IF('TRA-M'!$A$2-D10&lt;=1,IF(T10&gt;=$P$3,"YES",IF(AA10&gt;=$W$3,"YES",IF(AH10&gt;=$AD$3,"YES",""))),"")</f>
        <v>YES</v>
      </c>
      <c r="H10" s="7" t="str">
        <f t="shared" si="1"/>
        <v>YES</v>
      </c>
      <c r="I10" s="34" t="str">
        <f t="shared" si="2"/>
        <v>YES</v>
      </c>
      <c r="J10" s="52" t="str">
        <f t="shared" si="3"/>
        <v/>
      </c>
      <c r="K10" s="140">
        <f t="shared" si="4"/>
        <v>97.694999999999993</v>
      </c>
      <c r="L10" s="125">
        <f t="shared" si="5"/>
        <v>42.84</v>
      </c>
      <c r="M10" s="125">
        <f t="shared" si="6"/>
        <v>49.615000000000002</v>
      </c>
      <c r="N10" s="135">
        <f t="shared" si="7"/>
        <v>52.080000000000005</v>
      </c>
      <c r="O10" s="156">
        <f t="shared" si="8"/>
        <v>1.9799999999999969</v>
      </c>
      <c r="P10" s="535"/>
      <c r="Q10" s="536"/>
      <c r="R10" s="536"/>
      <c r="S10" s="536"/>
      <c r="T10" s="139">
        <f t="shared" si="9"/>
        <v>0</v>
      </c>
      <c r="U10" s="511"/>
      <c r="V10" s="512"/>
      <c r="W10" s="510">
        <f>25.5+2</f>
        <v>27.5</v>
      </c>
      <c r="X10" s="511">
        <v>15.34</v>
      </c>
      <c r="Y10" s="318">
        <f>21.6+13.5</f>
        <v>35.1</v>
      </c>
      <c r="Z10" s="511">
        <v>14.515000000000001</v>
      </c>
      <c r="AA10" s="139">
        <f t="shared" si="10"/>
        <v>92.454999999999998</v>
      </c>
      <c r="AB10" s="509">
        <f>23.4+13.5</f>
        <v>36.9</v>
      </c>
      <c r="AC10" s="512">
        <v>14.615</v>
      </c>
      <c r="AD10" s="510">
        <f>27.9+1.9</f>
        <v>29.799999999999997</v>
      </c>
      <c r="AE10" s="542">
        <v>15.425000000000001</v>
      </c>
      <c r="AF10" s="542">
        <f>25.6+11.6</f>
        <v>37.200000000000003</v>
      </c>
      <c r="AG10" s="511">
        <v>15.27</v>
      </c>
      <c r="AH10" s="139">
        <f t="shared" si="11"/>
        <v>97.694999999999993</v>
      </c>
      <c r="AI10" s="511">
        <f>25.6+11.6</f>
        <v>37.200000000000003</v>
      </c>
      <c r="AJ10" s="512">
        <v>14.88</v>
      </c>
      <c r="AK10" s="140">
        <f t="shared" si="12"/>
        <v>1.9799999999999969</v>
      </c>
      <c r="AL10" s="125">
        <f t="shared" si="13"/>
        <v>1.5300000000000011</v>
      </c>
      <c r="AM10" s="135" t="str">
        <f t="shared" si="14"/>
        <v/>
      </c>
      <c r="AN10" s="140">
        <f t="shared" si="15"/>
        <v>44.82</v>
      </c>
      <c r="AO10" s="125">
        <f t="shared" si="16"/>
        <v>51.145000000000003</v>
      </c>
      <c r="AP10" s="135" t="str">
        <f t="shared" si="17"/>
        <v/>
      </c>
      <c r="AQ10" s="541"/>
      <c r="AR10" s="511"/>
      <c r="AS10" s="542"/>
      <c r="AT10" s="542"/>
      <c r="AU10" s="152" t="str">
        <f t="shared" si="18"/>
        <v/>
      </c>
      <c r="AV10" s="542"/>
      <c r="AW10" s="512"/>
      <c r="AX10" s="541"/>
      <c r="AY10" s="542"/>
      <c r="AZ10" s="542"/>
      <c r="BA10" s="542"/>
      <c r="BB10" s="152" t="str">
        <f t="shared" si="19"/>
        <v/>
      </c>
      <c r="BC10" s="542"/>
      <c r="BD10" s="543"/>
      <c r="BE10" s="510"/>
      <c r="BF10" s="511"/>
      <c r="BG10" s="511"/>
      <c r="BH10" s="511"/>
      <c r="BI10" s="152" t="str">
        <f t="shared" si="20"/>
        <v/>
      </c>
      <c r="BJ10" s="511"/>
      <c r="BK10" s="512"/>
      <c r="BL10" s="510"/>
      <c r="BM10" s="511"/>
      <c r="BN10" s="542"/>
      <c r="BO10" s="511"/>
      <c r="BP10" s="152" t="str">
        <f t="shared" si="21"/>
        <v/>
      </c>
      <c r="BQ10" s="542"/>
      <c r="BR10" s="512"/>
      <c r="BS10" s="510"/>
      <c r="BT10" s="511"/>
      <c r="BU10" s="511"/>
      <c r="BV10" s="511"/>
      <c r="BW10" s="152" t="str">
        <f t="shared" si="22"/>
        <v/>
      </c>
      <c r="BX10" s="542"/>
      <c r="BY10" s="512"/>
      <c r="BZ10" s="510"/>
      <c r="CA10" s="511"/>
      <c r="CB10" s="542"/>
      <c r="CC10" s="511"/>
      <c r="CD10" s="152" t="str">
        <f t="shared" si="23"/>
        <v/>
      </c>
      <c r="CE10" s="511"/>
      <c r="CF10" s="512"/>
      <c r="CG10" s="510">
        <f>27.3+2.1</f>
        <v>29.400000000000002</v>
      </c>
      <c r="CH10" s="511">
        <v>15.42</v>
      </c>
      <c r="CI10" s="318">
        <f>23.1+13.3</f>
        <v>36.400000000000006</v>
      </c>
      <c r="CJ10" s="511">
        <v>14.744999999999999</v>
      </c>
      <c r="CK10" s="152">
        <f t="shared" si="24"/>
        <v>95.965000000000003</v>
      </c>
      <c r="CL10" s="542"/>
      <c r="CM10" s="542"/>
      <c r="CN10" s="510">
        <f>25.8+1.9</f>
        <v>27.7</v>
      </c>
      <c r="CO10" s="511">
        <v>15.475</v>
      </c>
      <c r="CP10" s="511">
        <f>22.8+13.1</f>
        <v>35.9</v>
      </c>
      <c r="CQ10" s="511">
        <v>14.66</v>
      </c>
      <c r="CR10" s="152">
        <f t="shared" si="25"/>
        <v>93.734999999999985</v>
      </c>
      <c r="CS10" s="511"/>
      <c r="CT10" s="512"/>
      <c r="CU10" s="485"/>
      <c r="CV10" s="486"/>
      <c r="CW10" s="486"/>
      <c r="CX10" s="486"/>
      <c r="CY10" s="152" t="str">
        <f t="shared" si="26"/>
        <v/>
      </c>
      <c r="CZ10" s="439"/>
      <c r="DA10" s="440"/>
      <c r="DB10" s="438"/>
      <c r="DC10" s="439"/>
      <c r="DD10" s="439"/>
      <c r="DE10" s="439"/>
      <c r="DF10" s="152" t="str">
        <f t="shared" si="27"/>
        <v/>
      </c>
      <c r="DG10" s="439"/>
      <c r="DH10" s="440"/>
      <c r="DI10" s="347"/>
      <c r="DJ10" s="348"/>
      <c r="DK10" s="348"/>
      <c r="DL10" s="348"/>
      <c r="DM10" s="152" t="str">
        <f t="shared" si="28"/>
        <v/>
      </c>
      <c r="DN10" s="348"/>
      <c r="DO10" s="349"/>
      <c r="DP10" s="165"/>
      <c r="DQ10" s="127"/>
      <c r="DR10" s="127"/>
      <c r="DS10" s="127"/>
      <c r="DT10" s="152" t="str">
        <f t="shared" si="29"/>
        <v/>
      </c>
      <c r="DU10" s="126"/>
      <c r="DV10" s="133"/>
      <c r="DW10" s="165"/>
      <c r="DX10" s="127"/>
      <c r="DY10" s="127"/>
      <c r="DZ10" s="127"/>
      <c r="EA10" s="152" t="str">
        <f t="shared" si="30"/>
        <v/>
      </c>
      <c r="EB10" s="126"/>
      <c r="EC10" s="133"/>
      <c r="ED10" s="165"/>
      <c r="EE10" s="127"/>
      <c r="EF10" s="127"/>
      <c r="EG10" s="127"/>
      <c r="EH10" s="151" t="str">
        <f t="shared" si="31"/>
        <v/>
      </c>
      <c r="EI10" s="500"/>
      <c r="EJ10" s="537"/>
      <c r="EK10" s="165"/>
      <c r="EL10" s="127"/>
      <c r="EM10" s="127"/>
      <c r="EN10" s="127"/>
      <c r="EO10" s="151" t="str">
        <f t="shared" si="32"/>
        <v/>
      </c>
      <c r="EP10" s="500"/>
      <c r="EQ10" s="537"/>
    </row>
    <row r="11" spans="1:147" customFormat="1" x14ac:dyDescent="0.15">
      <c r="A11" s="550">
        <v>5</v>
      </c>
      <c r="B11" s="383" t="s">
        <v>68</v>
      </c>
      <c r="C11" s="384" t="s">
        <v>25</v>
      </c>
      <c r="D11" s="74">
        <v>2013</v>
      </c>
      <c r="E11" s="141">
        <f t="shared" si="0"/>
        <v>243.5</v>
      </c>
      <c r="F11" s="75" t="s">
        <v>47</v>
      </c>
      <c r="G11" s="27" t="str">
        <f>IF('TRA-M'!$A$2-D11&lt;=1,IF(T11&gt;=$P$3,"YES",IF(AA11&gt;=$W$3,"YES",IF(AH11&gt;=$AD$3,"YES",""))),"")</f>
        <v/>
      </c>
      <c r="H11" s="7" t="str">
        <f t="shared" si="1"/>
        <v>YES</v>
      </c>
      <c r="I11" s="34" t="str">
        <f t="shared" si="2"/>
        <v/>
      </c>
      <c r="J11" s="52" t="str">
        <f t="shared" si="3"/>
        <v/>
      </c>
      <c r="K11" s="140">
        <f t="shared" si="4"/>
        <v>96.174999999999997</v>
      </c>
      <c r="L11" s="125">
        <f t="shared" si="5"/>
        <v>44.954999999999998</v>
      </c>
      <c r="M11" s="125">
        <f t="shared" si="6"/>
        <v>50.459999999999994</v>
      </c>
      <c r="N11" s="135">
        <f t="shared" si="7"/>
        <v>51.87</v>
      </c>
      <c r="O11" s="156">
        <f t="shared" si="8"/>
        <v>4.0000000000013358E-2</v>
      </c>
      <c r="P11" s="510">
        <f>26.4+2.3</f>
        <v>28.7</v>
      </c>
      <c r="Q11" s="511">
        <v>16.489999999999998</v>
      </c>
      <c r="R11" s="318">
        <f>22.1+13.5</f>
        <v>35.6</v>
      </c>
      <c r="S11" s="511">
        <v>15.385</v>
      </c>
      <c r="T11" s="139">
        <f t="shared" si="9"/>
        <v>96.174999999999997</v>
      </c>
      <c r="U11" s="318">
        <f>23+13.5</f>
        <v>36.5</v>
      </c>
      <c r="V11" s="542">
        <v>15.37</v>
      </c>
      <c r="W11" s="510">
        <f>26.4+2.2</f>
        <v>28.599999999999998</v>
      </c>
      <c r="X11" s="511">
        <v>16.355</v>
      </c>
      <c r="Y11" s="318">
        <f>21.3+14</f>
        <v>35.299999999999997</v>
      </c>
      <c r="Z11" s="511">
        <v>15.16</v>
      </c>
      <c r="AA11" s="139">
        <f t="shared" si="10"/>
        <v>95.414999999999992</v>
      </c>
      <c r="AB11" s="143">
        <f>6.9+4.9</f>
        <v>11.8</v>
      </c>
      <c r="AC11" s="143">
        <v>5.01</v>
      </c>
      <c r="AD11" s="541"/>
      <c r="AE11" s="542"/>
      <c r="AF11" s="542"/>
      <c r="AG11" s="542"/>
      <c r="AH11" s="139">
        <f t="shared" si="11"/>
        <v>0</v>
      </c>
      <c r="AI11" s="542"/>
      <c r="AJ11" s="542"/>
      <c r="AK11" s="140">
        <f t="shared" si="12"/>
        <v>-1.0499999999999972</v>
      </c>
      <c r="AL11" s="125">
        <f t="shared" si="13"/>
        <v>4.0000000000013358E-2</v>
      </c>
      <c r="AM11" s="135" t="str">
        <f t="shared" si="14"/>
        <v/>
      </c>
      <c r="AN11" s="140">
        <f t="shared" si="15"/>
        <v>43.905000000000001</v>
      </c>
      <c r="AO11" s="125">
        <f t="shared" si="16"/>
        <v>50.500000000000007</v>
      </c>
      <c r="AP11" s="135" t="str">
        <f t="shared" si="17"/>
        <v/>
      </c>
      <c r="AQ11" s="541"/>
      <c r="AR11" s="511"/>
      <c r="AS11" s="542"/>
      <c r="AT11" s="511"/>
      <c r="AU11" s="152" t="str">
        <f t="shared" si="18"/>
        <v/>
      </c>
      <c r="AV11" s="318"/>
      <c r="AW11" s="512"/>
      <c r="AX11" s="510"/>
      <c r="AY11" s="511"/>
      <c r="AZ11" s="542"/>
      <c r="BA11" s="511"/>
      <c r="BB11" s="152" t="str">
        <f t="shared" si="19"/>
        <v/>
      </c>
      <c r="BC11" s="511"/>
      <c r="BD11" s="512"/>
      <c r="BE11" s="510">
        <f>26.4+1.3</f>
        <v>27.7</v>
      </c>
      <c r="BF11" s="511">
        <v>16.204999999999998</v>
      </c>
      <c r="BG11" s="318">
        <f>21.6+13.8</f>
        <v>35.400000000000006</v>
      </c>
      <c r="BH11" s="511">
        <v>15.1</v>
      </c>
      <c r="BI11" s="152">
        <f t="shared" si="20"/>
        <v>94.405000000000001</v>
      </c>
      <c r="BJ11" s="511"/>
      <c r="BK11" s="512"/>
      <c r="BL11" s="510"/>
      <c r="BM11" s="511"/>
      <c r="BN11" s="542"/>
      <c r="BO11" s="511"/>
      <c r="BP11" s="152" t="str">
        <f t="shared" si="21"/>
        <v/>
      </c>
      <c r="BQ11" s="511"/>
      <c r="BR11" s="512"/>
      <c r="BS11" s="510"/>
      <c r="BT11" s="511"/>
      <c r="BU11" s="318"/>
      <c r="BV11" s="511"/>
      <c r="BW11" s="152" t="str">
        <f t="shared" si="22"/>
        <v/>
      </c>
      <c r="BX11" s="542"/>
      <c r="BY11" s="543"/>
      <c r="BZ11" s="510"/>
      <c r="CA11" s="511"/>
      <c r="CB11" s="542"/>
      <c r="CC11" s="542"/>
      <c r="CD11" s="152" t="str">
        <f t="shared" si="23"/>
        <v/>
      </c>
      <c r="CE11" s="511"/>
      <c r="CF11" s="512"/>
      <c r="CG11" s="510"/>
      <c r="CH11" s="511"/>
      <c r="CI11" s="511"/>
      <c r="CJ11" s="511"/>
      <c r="CK11" s="139" t="str">
        <f t="shared" si="24"/>
        <v/>
      </c>
      <c r="CL11" s="279"/>
      <c r="CM11" s="127"/>
      <c r="CN11" s="510"/>
      <c r="CO11" s="511"/>
      <c r="CP11" s="511"/>
      <c r="CQ11" s="511"/>
      <c r="CR11" s="152" t="str">
        <f t="shared" si="25"/>
        <v/>
      </c>
      <c r="CS11" s="511"/>
      <c r="CT11" s="512"/>
      <c r="CU11" s="485"/>
      <c r="CV11" s="486"/>
      <c r="CW11" s="486"/>
      <c r="CX11" s="486"/>
      <c r="CY11" s="152" t="str">
        <f t="shared" si="26"/>
        <v/>
      </c>
      <c r="CZ11" s="439"/>
      <c r="DA11" s="440"/>
      <c r="DB11" s="438"/>
      <c r="DC11" s="439"/>
      <c r="DD11" s="439"/>
      <c r="DE11" s="439"/>
      <c r="DF11" s="152" t="str">
        <f t="shared" si="27"/>
        <v/>
      </c>
      <c r="DG11" s="439"/>
      <c r="DH11" s="440"/>
      <c r="DI11" s="347"/>
      <c r="DJ11" s="348"/>
      <c r="DK11" s="348"/>
      <c r="DL11" s="348"/>
      <c r="DM11" s="152" t="str">
        <f t="shared" si="28"/>
        <v/>
      </c>
      <c r="DN11" s="348"/>
      <c r="DO11" s="349"/>
      <c r="DP11" s="165"/>
      <c r="DQ11" s="127"/>
      <c r="DR11" s="127"/>
      <c r="DS11" s="127"/>
      <c r="DT11" s="152" t="str">
        <f t="shared" si="29"/>
        <v/>
      </c>
      <c r="DU11" s="126"/>
      <c r="DV11" s="133"/>
      <c r="DW11" s="165"/>
      <c r="DX11" s="127"/>
      <c r="DY11" s="127"/>
      <c r="DZ11" s="127"/>
      <c r="EA11" s="152" t="str">
        <f t="shared" si="30"/>
        <v/>
      </c>
      <c r="EB11" s="126"/>
      <c r="EC11" s="133"/>
      <c r="ED11" s="165"/>
      <c r="EE11" s="127"/>
      <c r="EF11" s="127"/>
      <c r="EG11" s="127"/>
      <c r="EH11" s="151" t="str">
        <f t="shared" si="31"/>
        <v/>
      </c>
      <c r="EI11" s="539"/>
      <c r="EJ11" s="537"/>
      <c r="EK11" s="165"/>
      <c r="EL11" s="127"/>
      <c r="EM11" s="127"/>
      <c r="EN11" s="127"/>
      <c r="EO11" s="151" t="str">
        <f t="shared" si="32"/>
        <v/>
      </c>
      <c r="EP11" s="539"/>
      <c r="EQ11" s="537"/>
    </row>
    <row r="12" spans="1:147" customFormat="1" x14ac:dyDescent="0.15">
      <c r="A12" s="74">
        <v>6</v>
      </c>
      <c r="B12" s="383" t="s">
        <v>119</v>
      </c>
      <c r="C12" s="384" t="s">
        <v>25</v>
      </c>
      <c r="D12" s="74">
        <v>2016</v>
      </c>
      <c r="E12" s="141">
        <f t="shared" si="0"/>
        <v>241.15000000000003</v>
      </c>
      <c r="F12" s="75" t="s">
        <v>47</v>
      </c>
      <c r="G12" s="27" t="str">
        <f>IF('TRA-M'!$A$2-D12&lt;=1,IF(T12&gt;=$P$3,"YES",IF(AA12&gt;=$W$3,"YES",IF(AH12&gt;=$AD$3,"YES",""))),"")</f>
        <v>YES</v>
      </c>
      <c r="H12" s="7" t="str">
        <f t="shared" si="1"/>
        <v>YES</v>
      </c>
      <c r="I12" s="34" t="str">
        <f t="shared" si="2"/>
        <v/>
      </c>
      <c r="J12" s="52" t="str">
        <f t="shared" si="3"/>
        <v/>
      </c>
      <c r="K12" s="140">
        <f t="shared" si="4"/>
        <v>96.124999999999986</v>
      </c>
      <c r="L12" s="125">
        <f t="shared" si="5"/>
        <v>43.995000000000005</v>
      </c>
      <c r="M12" s="125">
        <f t="shared" si="6"/>
        <v>48.490000000000009</v>
      </c>
      <c r="N12" s="135">
        <f t="shared" si="7"/>
        <v>50.115000000000002</v>
      </c>
      <c r="O12" s="156">
        <f t="shared" si="8"/>
        <v>2.4249999999999972</v>
      </c>
      <c r="P12" s="515"/>
      <c r="Q12" s="516"/>
      <c r="R12" s="516"/>
      <c r="S12" s="516"/>
      <c r="T12" s="139">
        <f t="shared" si="9"/>
        <v>0</v>
      </c>
      <c r="U12" s="511"/>
      <c r="V12" s="512"/>
      <c r="W12" s="510">
        <f>25.8+2</f>
        <v>27.8</v>
      </c>
      <c r="X12" s="511">
        <v>16.195</v>
      </c>
      <c r="Y12" s="318">
        <f>20.1+13.3</f>
        <v>33.400000000000006</v>
      </c>
      <c r="Z12" s="511">
        <v>15.09</v>
      </c>
      <c r="AA12" s="139">
        <f t="shared" si="10"/>
        <v>92.485000000000014</v>
      </c>
      <c r="AB12" s="536">
        <f>20.4+12.6</f>
        <v>33</v>
      </c>
      <c r="AC12" s="542">
        <v>14.69</v>
      </c>
      <c r="AD12" s="510">
        <f>27.2+2</f>
        <v>29.2</v>
      </c>
      <c r="AE12" s="511">
        <v>16.475000000000001</v>
      </c>
      <c r="AF12" s="511">
        <f>22+12.9</f>
        <v>34.9</v>
      </c>
      <c r="AG12" s="511">
        <v>15.55</v>
      </c>
      <c r="AH12" s="139">
        <f t="shared" si="11"/>
        <v>96.124999999999986</v>
      </c>
      <c r="AI12" s="318">
        <f>21.5+13.5</f>
        <v>35</v>
      </c>
      <c r="AJ12" s="542">
        <v>15.115</v>
      </c>
      <c r="AK12" s="140">
        <f t="shared" si="12"/>
        <v>-0.22000000000000597</v>
      </c>
      <c r="AL12" s="125">
        <f t="shared" si="13"/>
        <v>2.4249999999999972</v>
      </c>
      <c r="AM12" s="135" t="str">
        <f t="shared" si="14"/>
        <v/>
      </c>
      <c r="AN12" s="140">
        <f t="shared" si="15"/>
        <v>43.774999999999999</v>
      </c>
      <c r="AO12" s="125">
        <f t="shared" si="16"/>
        <v>50.915000000000006</v>
      </c>
      <c r="AP12" s="135" t="str">
        <f t="shared" si="17"/>
        <v/>
      </c>
      <c r="AQ12" s="510"/>
      <c r="AR12" s="511"/>
      <c r="AS12" s="511"/>
      <c r="AT12" s="511"/>
      <c r="AU12" s="152" t="str">
        <f t="shared" si="18"/>
        <v/>
      </c>
      <c r="AV12" s="511"/>
      <c r="AW12" s="512"/>
      <c r="AX12" s="510"/>
      <c r="AY12" s="511"/>
      <c r="AZ12" s="511"/>
      <c r="BA12" s="511"/>
      <c r="BB12" s="152" t="str">
        <f t="shared" si="19"/>
        <v/>
      </c>
      <c r="BC12" s="511"/>
      <c r="BD12" s="512"/>
      <c r="BE12" s="510"/>
      <c r="BF12" s="511"/>
      <c r="BG12" s="511"/>
      <c r="BH12" s="511"/>
      <c r="BI12" s="152" t="str">
        <f t="shared" si="20"/>
        <v/>
      </c>
      <c r="BJ12" s="511"/>
      <c r="BK12" s="512"/>
      <c r="BL12" s="510"/>
      <c r="BM12" s="511"/>
      <c r="BN12" s="511"/>
      <c r="BO12" s="511"/>
      <c r="BP12" s="152" t="str">
        <f t="shared" si="21"/>
        <v/>
      </c>
      <c r="BQ12" s="511"/>
      <c r="BR12" s="512"/>
      <c r="BS12" s="510"/>
      <c r="BT12" s="511"/>
      <c r="BU12" s="511"/>
      <c r="BV12" s="511"/>
      <c r="BW12" s="152" t="str">
        <f t="shared" si="22"/>
        <v/>
      </c>
      <c r="BX12" s="511"/>
      <c r="BY12" s="512"/>
      <c r="BZ12" s="510"/>
      <c r="CA12" s="511"/>
      <c r="CB12" s="511"/>
      <c r="CC12" s="511"/>
      <c r="CD12" s="152" t="str">
        <f t="shared" si="23"/>
        <v/>
      </c>
      <c r="CE12" s="511"/>
      <c r="CF12" s="512"/>
      <c r="CG12" s="510">
        <f>24.9+2</f>
        <v>26.9</v>
      </c>
      <c r="CH12" s="511">
        <v>16.274999999999999</v>
      </c>
      <c r="CI12" s="318">
        <f>22.2+13.3</f>
        <v>35.5</v>
      </c>
      <c r="CJ12" s="511">
        <v>14.95</v>
      </c>
      <c r="CK12" s="152">
        <f t="shared" si="24"/>
        <v>93.625</v>
      </c>
      <c r="CL12" s="511"/>
      <c r="CM12" s="542"/>
      <c r="CN12" s="510">
        <f>25.8+2</f>
        <v>27.8</v>
      </c>
      <c r="CO12" s="511">
        <v>15.975</v>
      </c>
      <c r="CP12" s="318">
        <f>22.2+13.5</f>
        <v>35.700000000000003</v>
      </c>
      <c r="CQ12" s="511">
        <v>15.215</v>
      </c>
      <c r="CR12" s="152">
        <f t="shared" si="25"/>
        <v>94.69</v>
      </c>
      <c r="CS12" s="511"/>
      <c r="CT12" s="512"/>
      <c r="CU12" s="438"/>
      <c r="CV12" s="439"/>
      <c r="CW12" s="318"/>
      <c r="CX12" s="439"/>
      <c r="CY12" s="152" t="str">
        <f t="shared" si="26"/>
        <v/>
      </c>
      <c r="CZ12" s="439"/>
      <c r="DA12" s="440"/>
      <c r="DB12" s="438"/>
      <c r="DC12" s="439"/>
      <c r="DD12" s="439"/>
      <c r="DE12" s="439"/>
      <c r="DF12" s="152" t="str">
        <f t="shared" si="27"/>
        <v/>
      </c>
      <c r="DG12" s="439"/>
      <c r="DH12" s="440"/>
      <c r="DI12" s="347"/>
      <c r="DJ12" s="348"/>
      <c r="DK12" s="348"/>
      <c r="DL12" s="348"/>
      <c r="DM12" s="152" t="str">
        <f t="shared" si="28"/>
        <v/>
      </c>
      <c r="DN12" s="348"/>
      <c r="DO12" s="349"/>
      <c r="DP12" s="165"/>
      <c r="DQ12" s="127"/>
      <c r="DR12" s="127"/>
      <c r="DS12" s="127"/>
      <c r="DT12" s="152" t="str">
        <f t="shared" si="29"/>
        <v/>
      </c>
      <c r="DU12" s="126"/>
      <c r="DV12" s="133"/>
      <c r="DW12" s="165"/>
      <c r="DX12" s="127"/>
      <c r="DY12" s="127"/>
      <c r="DZ12" s="127"/>
      <c r="EA12" s="152" t="str">
        <f t="shared" si="30"/>
        <v/>
      </c>
      <c r="EB12" s="126"/>
      <c r="EC12" s="133"/>
      <c r="ED12" s="165"/>
      <c r="EE12" s="127"/>
      <c r="EF12" s="127"/>
      <c r="EG12" s="127"/>
      <c r="EH12" s="151" t="str">
        <f t="shared" si="31"/>
        <v/>
      </c>
      <c r="EI12" s="131"/>
      <c r="EJ12" s="269"/>
      <c r="EK12" s="165"/>
      <c r="EL12" s="127"/>
      <c r="EM12" s="127"/>
      <c r="EN12" s="127"/>
      <c r="EO12" s="151" t="str">
        <f t="shared" si="32"/>
        <v/>
      </c>
      <c r="EP12" s="131"/>
      <c r="EQ12" s="269"/>
    </row>
    <row r="13" spans="1:147" customFormat="1" x14ac:dyDescent="0.15">
      <c r="A13" s="162">
        <v>7</v>
      </c>
      <c r="B13" s="89" t="s">
        <v>153</v>
      </c>
      <c r="C13" s="48" t="s">
        <v>24</v>
      </c>
      <c r="D13" s="546">
        <v>1997</v>
      </c>
      <c r="E13" s="141">
        <f t="shared" si="0"/>
        <v>223.32</v>
      </c>
      <c r="F13" s="75" t="s">
        <v>49</v>
      </c>
      <c r="G13" s="27" t="str">
        <f>IF('TRA-M'!$A$2-D13&lt;=1,IF(T13&gt;=$P$3,"YES",IF(AA13&gt;=$W$3,"YES",IF(AH13&gt;=$AD$3,"YES",""))),"")</f>
        <v/>
      </c>
      <c r="H13" s="7" t="str">
        <f t="shared" si="1"/>
        <v/>
      </c>
      <c r="I13" s="34" t="str">
        <f t="shared" si="2"/>
        <v/>
      </c>
      <c r="J13" s="52" t="str">
        <f t="shared" si="3"/>
        <v/>
      </c>
      <c r="K13" s="140">
        <f t="shared" si="4"/>
        <v>95.63</v>
      </c>
      <c r="L13" s="125">
        <f t="shared" si="5"/>
        <v>22.86</v>
      </c>
      <c r="M13" s="125">
        <f t="shared" si="6"/>
        <v>24.954999999999998</v>
      </c>
      <c r="N13" s="135">
        <f t="shared" si="7"/>
        <v>52.555</v>
      </c>
      <c r="O13" s="156">
        <f t="shared" si="8"/>
        <v>27.32</v>
      </c>
      <c r="P13" s="542"/>
      <c r="Q13" s="542"/>
      <c r="R13" s="542"/>
      <c r="S13" s="542"/>
      <c r="T13" s="139">
        <f t="shared" si="9"/>
        <v>0</v>
      </c>
      <c r="U13" s="511"/>
      <c r="V13" s="512"/>
      <c r="W13" s="542">
        <f>27+2.1</f>
        <v>29.1</v>
      </c>
      <c r="X13" s="511">
        <v>16.62</v>
      </c>
      <c r="Y13" s="542">
        <f>23.7+10.3</f>
        <v>34</v>
      </c>
      <c r="Z13" s="511">
        <v>15.91</v>
      </c>
      <c r="AA13" s="139">
        <f t="shared" si="10"/>
        <v>95.63</v>
      </c>
      <c r="AB13" s="542">
        <f>25.5+11.4</f>
        <v>36.9</v>
      </c>
      <c r="AC13" s="512">
        <v>15.654999999999999</v>
      </c>
      <c r="AD13" s="132">
        <v>14.55</v>
      </c>
      <c r="AE13" s="132">
        <v>8.31</v>
      </c>
      <c r="AF13" s="132">
        <v>17</v>
      </c>
      <c r="AG13" s="132">
        <v>7.9550000000000001</v>
      </c>
      <c r="AH13" s="138">
        <f t="shared" si="11"/>
        <v>47.814999999999998</v>
      </c>
      <c r="AI13" s="132">
        <v>18.45</v>
      </c>
      <c r="AJ13" s="142">
        <v>7.8280000000000003</v>
      </c>
      <c r="AK13" s="140">
        <f t="shared" si="12"/>
        <v>23.17</v>
      </c>
      <c r="AL13" s="125">
        <f t="shared" si="13"/>
        <v>27.32</v>
      </c>
      <c r="AM13" s="135">
        <f t="shared" si="14"/>
        <v>-0.99499999999999744</v>
      </c>
      <c r="AN13" s="140">
        <f t="shared" si="15"/>
        <v>46.03</v>
      </c>
      <c r="AO13" s="125">
        <f t="shared" si="16"/>
        <v>52.274999999999999</v>
      </c>
      <c r="AP13" s="135">
        <f t="shared" si="17"/>
        <v>51.56</v>
      </c>
      <c r="AQ13" s="429">
        <f>26.4+2.3</f>
        <v>28.7</v>
      </c>
      <c r="AR13" s="511">
        <v>16.895</v>
      </c>
      <c r="AS13" s="318">
        <f>23.1+13.3</f>
        <v>36.400000000000006</v>
      </c>
      <c r="AT13" s="511">
        <v>15.47</v>
      </c>
      <c r="AU13" s="152">
        <f t="shared" si="18"/>
        <v>97.465000000000003</v>
      </c>
      <c r="AV13" s="318">
        <f>22.8+13.3</f>
        <v>36.1</v>
      </c>
      <c r="AW13" s="512">
        <v>15.46</v>
      </c>
      <c r="AX13" s="510">
        <f>25.3+2.9</f>
        <v>28.2</v>
      </c>
      <c r="AY13" s="511">
        <v>16.760000000000002</v>
      </c>
      <c r="AZ13" s="318">
        <f>23.2+13.3</f>
        <v>36.5</v>
      </c>
      <c r="BA13" s="511">
        <v>15.775</v>
      </c>
      <c r="BB13" s="152">
        <f t="shared" si="19"/>
        <v>97.235000000000014</v>
      </c>
      <c r="BC13" s="511"/>
      <c r="BD13" s="512"/>
      <c r="BE13" s="510"/>
      <c r="BF13" s="511"/>
      <c r="BG13" s="511"/>
      <c r="BH13" s="511"/>
      <c r="BI13" s="152" t="str">
        <f t="shared" si="20"/>
        <v/>
      </c>
      <c r="BJ13" s="511"/>
      <c r="BK13" s="512"/>
      <c r="BL13" s="510">
        <f>26.7+2.3</f>
        <v>29</v>
      </c>
      <c r="BM13" s="511">
        <v>17.03</v>
      </c>
      <c r="BN13" s="318">
        <f>23.1+13.3</f>
        <v>36.400000000000006</v>
      </c>
      <c r="BO13" s="511">
        <v>15.545</v>
      </c>
      <c r="BP13" s="152">
        <f t="shared" si="21"/>
        <v>97.975000000000009</v>
      </c>
      <c r="BQ13" s="511"/>
      <c r="BR13" s="512"/>
      <c r="BS13" s="510"/>
      <c r="BT13" s="511"/>
      <c r="BU13" s="511"/>
      <c r="BV13" s="511"/>
      <c r="BW13" s="152" t="str">
        <f t="shared" si="22"/>
        <v/>
      </c>
      <c r="BX13" s="143">
        <f>6.6+4.6</f>
        <v>11.2</v>
      </c>
      <c r="BY13" s="137">
        <v>5.0199999999999996</v>
      </c>
      <c r="BZ13" s="510"/>
      <c r="CA13" s="511"/>
      <c r="CB13" s="143">
        <f>6.6+3.1</f>
        <v>9.6999999999999993</v>
      </c>
      <c r="CC13" s="143">
        <v>4.915</v>
      </c>
      <c r="CD13" s="152">
        <f t="shared" si="23"/>
        <v>14.614999999999998</v>
      </c>
      <c r="CE13" s="511"/>
      <c r="CF13" s="512"/>
      <c r="CG13" s="510"/>
      <c r="CH13" s="511"/>
      <c r="CI13" s="542"/>
      <c r="CJ13" s="511"/>
      <c r="CK13" s="139" t="str">
        <f t="shared" si="24"/>
        <v/>
      </c>
      <c r="CL13" s="279"/>
      <c r="CM13" s="542"/>
      <c r="CN13" s="510"/>
      <c r="CO13" s="511"/>
      <c r="CP13" s="542"/>
      <c r="CQ13" s="511"/>
      <c r="CR13" s="152" t="str">
        <f t="shared" si="25"/>
        <v/>
      </c>
      <c r="CS13" s="511"/>
      <c r="CT13" s="512"/>
      <c r="CU13" s="438"/>
      <c r="CV13" s="439"/>
      <c r="CW13" s="542"/>
      <c r="CX13" s="439"/>
      <c r="CY13" s="152" t="str">
        <f t="shared" si="26"/>
        <v/>
      </c>
      <c r="CZ13" s="439"/>
      <c r="DA13" s="440"/>
      <c r="DB13" s="438"/>
      <c r="DC13" s="439"/>
      <c r="DD13" s="439"/>
      <c r="DE13" s="439"/>
      <c r="DF13" s="152" t="str">
        <f t="shared" si="27"/>
        <v/>
      </c>
      <c r="DG13" s="439"/>
      <c r="DH13" s="440"/>
      <c r="DI13" s="347"/>
      <c r="DJ13" s="348"/>
      <c r="DK13" s="348"/>
      <c r="DL13" s="348"/>
      <c r="DM13" s="152" t="str">
        <f t="shared" si="28"/>
        <v/>
      </c>
      <c r="DN13" s="348"/>
      <c r="DO13" s="349"/>
      <c r="DP13" s="541"/>
      <c r="DQ13" s="542"/>
      <c r="DR13" s="542"/>
      <c r="DS13" s="542"/>
      <c r="DT13" s="151" t="str">
        <f t="shared" si="29"/>
        <v/>
      </c>
      <c r="DU13" s="126"/>
      <c r="DV13" s="543"/>
      <c r="DW13" s="541"/>
      <c r="DX13" s="542"/>
      <c r="DY13" s="542"/>
      <c r="DZ13" s="542"/>
      <c r="EA13" s="151" t="str">
        <f t="shared" si="30"/>
        <v/>
      </c>
      <c r="EB13" s="126"/>
      <c r="EC13" s="543"/>
      <c r="ED13" s="541"/>
      <c r="EE13" s="542"/>
      <c r="EF13" s="542"/>
      <c r="EG13" s="542"/>
      <c r="EH13" s="151" t="str">
        <f t="shared" si="31"/>
        <v/>
      </c>
      <c r="EI13" s="542"/>
      <c r="EJ13" s="543"/>
      <c r="EK13" s="541"/>
      <c r="EL13" s="542"/>
      <c r="EM13" s="542"/>
      <c r="EN13" s="542"/>
      <c r="EO13" s="151" t="str">
        <f t="shared" si="32"/>
        <v/>
      </c>
      <c r="EP13" s="542"/>
      <c r="EQ13" s="543"/>
    </row>
    <row r="14" spans="1:147" customFormat="1" x14ac:dyDescent="0.15">
      <c r="A14" s="162"/>
      <c r="B14" s="41" t="s">
        <v>67</v>
      </c>
      <c r="C14" s="74" t="s">
        <v>25</v>
      </c>
      <c r="D14" s="74">
        <v>2012</v>
      </c>
      <c r="E14" s="141">
        <f t="shared" si="0"/>
        <v>222.27</v>
      </c>
      <c r="F14" s="75" t="s">
        <v>49</v>
      </c>
      <c r="G14" s="27" t="str">
        <f>IF('TRA-M'!$A$2-D14&lt;=1,IF(T14&gt;=$P$3,"YES",IF(AA14&gt;=$W$3,"YES",IF(AH14&gt;=$AD$3,"YES",""))),"")</f>
        <v/>
      </c>
      <c r="H14" s="7" t="str">
        <f t="shared" si="1"/>
        <v/>
      </c>
      <c r="I14" s="34" t="str">
        <f t="shared" si="2"/>
        <v/>
      </c>
      <c r="J14" s="52" t="str">
        <f t="shared" si="3"/>
        <v/>
      </c>
      <c r="K14" s="140">
        <f t="shared" si="4"/>
        <v>88.009999999999991</v>
      </c>
      <c r="L14" s="125">
        <f t="shared" si="5"/>
        <v>42.774999999999999</v>
      </c>
      <c r="M14" s="125">
        <f t="shared" si="6"/>
        <v>43.965000000000003</v>
      </c>
      <c r="N14" s="135">
        <f t="shared" si="7"/>
        <v>47.52</v>
      </c>
      <c r="O14" s="156" t="str">
        <f t="shared" si="8"/>
        <v/>
      </c>
      <c r="P14" s="510"/>
      <c r="Q14" s="511"/>
      <c r="R14" s="511"/>
      <c r="S14" s="511"/>
      <c r="T14" s="139">
        <f t="shared" si="9"/>
        <v>0</v>
      </c>
      <c r="U14" s="511"/>
      <c r="V14" s="511"/>
      <c r="W14" s="541">
        <f>25.2+2</f>
        <v>27.2</v>
      </c>
      <c r="X14" s="542">
        <v>15.574999999999999</v>
      </c>
      <c r="Y14" s="542">
        <f>19.2+10.5</f>
        <v>29.7</v>
      </c>
      <c r="Z14" s="542">
        <v>14.265000000000001</v>
      </c>
      <c r="AA14" s="139">
        <f t="shared" si="10"/>
        <v>86.74</v>
      </c>
      <c r="AB14" s="143">
        <f>15.3+8.1</f>
        <v>23.4</v>
      </c>
      <c r="AC14" s="143">
        <v>10.82</v>
      </c>
      <c r="AD14" s="510">
        <f>24.3+2</f>
        <v>26.3</v>
      </c>
      <c r="AE14" s="511">
        <v>15.705</v>
      </c>
      <c r="AF14" s="511">
        <f>20.3+11.2</f>
        <v>31.5</v>
      </c>
      <c r="AG14" s="511">
        <v>14.505000000000001</v>
      </c>
      <c r="AH14" s="139">
        <f t="shared" si="11"/>
        <v>88.009999999999991</v>
      </c>
      <c r="AI14" s="511">
        <f>21.3+11.3</f>
        <v>32.6</v>
      </c>
      <c r="AJ14" s="511">
        <v>14.92</v>
      </c>
      <c r="AK14" s="140" t="str">
        <f t="shared" si="12"/>
        <v/>
      </c>
      <c r="AL14" s="125" t="str">
        <f t="shared" si="13"/>
        <v/>
      </c>
      <c r="AM14" s="135" t="str">
        <f t="shared" si="14"/>
        <v/>
      </c>
      <c r="AN14" s="140" t="str">
        <f t="shared" si="15"/>
        <v/>
      </c>
      <c r="AO14" s="125" t="str">
        <f t="shared" si="16"/>
        <v/>
      </c>
      <c r="AP14" s="135" t="str">
        <f t="shared" si="17"/>
        <v/>
      </c>
      <c r="AQ14" s="510"/>
      <c r="AR14" s="511"/>
      <c r="AS14" s="511"/>
      <c r="AT14" s="511"/>
      <c r="AU14" s="152" t="str">
        <f t="shared" si="18"/>
        <v/>
      </c>
      <c r="AV14" s="511"/>
      <c r="AW14" s="512"/>
      <c r="AX14" s="510"/>
      <c r="AY14" s="511"/>
      <c r="AZ14" s="511"/>
      <c r="BA14" s="511"/>
      <c r="BB14" s="152" t="str">
        <f t="shared" si="19"/>
        <v/>
      </c>
      <c r="BC14" s="511"/>
      <c r="BD14" s="512"/>
      <c r="BE14" s="510"/>
      <c r="BF14" s="511"/>
      <c r="BG14" s="511"/>
      <c r="BH14" s="511"/>
      <c r="BI14" s="152" t="str">
        <f t="shared" si="20"/>
        <v/>
      </c>
      <c r="BJ14" s="511"/>
      <c r="BK14" s="512"/>
      <c r="BL14" s="510"/>
      <c r="BM14" s="511"/>
      <c r="BN14" s="511"/>
      <c r="BO14" s="511"/>
      <c r="BP14" s="152" t="str">
        <f t="shared" si="21"/>
        <v/>
      </c>
      <c r="BQ14" s="511"/>
      <c r="BR14" s="512"/>
      <c r="BS14" s="510"/>
      <c r="BT14" s="511"/>
      <c r="BU14" s="511"/>
      <c r="BV14" s="511"/>
      <c r="BW14" s="152" t="str">
        <f t="shared" si="22"/>
        <v/>
      </c>
      <c r="BX14" s="511"/>
      <c r="BY14" s="512"/>
      <c r="BZ14" s="510"/>
      <c r="CA14" s="511"/>
      <c r="CB14" s="511"/>
      <c r="CC14" s="511"/>
      <c r="CD14" s="152" t="str">
        <f t="shared" si="23"/>
        <v/>
      </c>
      <c r="CE14" s="511"/>
      <c r="CF14" s="512"/>
      <c r="CG14" s="165"/>
      <c r="CH14" s="127"/>
      <c r="CI14" s="127"/>
      <c r="CJ14" s="127"/>
      <c r="CK14" s="139" t="str">
        <f t="shared" si="24"/>
        <v/>
      </c>
      <c r="CL14" s="279"/>
      <c r="CM14" s="127"/>
      <c r="CN14" s="510"/>
      <c r="CO14" s="511"/>
      <c r="CP14" s="511"/>
      <c r="CQ14" s="511"/>
      <c r="CR14" s="152" t="str">
        <f t="shared" si="25"/>
        <v/>
      </c>
      <c r="CS14" s="511"/>
      <c r="CT14" s="512"/>
      <c r="CU14" s="438"/>
      <c r="CV14" s="439"/>
      <c r="CW14" s="439"/>
      <c r="CX14" s="439"/>
      <c r="CY14" s="152" t="str">
        <f t="shared" si="26"/>
        <v/>
      </c>
      <c r="CZ14" s="439"/>
      <c r="DA14" s="440"/>
      <c r="DB14" s="438"/>
      <c r="DC14" s="439"/>
      <c r="DD14" s="439"/>
      <c r="DE14" s="439"/>
      <c r="DF14" s="152" t="str">
        <f t="shared" si="27"/>
        <v/>
      </c>
      <c r="DG14" s="439"/>
      <c r="DH14" s="440"/>
      <c r="DI14" s="347"/>
      <c r="DJ14" s="348"/>
      <c r="DK14" s="348"/>
      <c r="DL14" s="348"/>
      <c r="DM14" s="152" t="str">
        <f t="shared" si="28"/>
        <v/>
      </c>
      <c r="DN14" s="348"/>
      <c r="DO14" s="349"/>
      <c r="DP14" s="165"/>
      <c r="DQ14" s="127"/>
      <c r="DR14" s="127"/>
      <c r="DS14" s="127"/>
      <c r="DT14" s="152" t="str">
        <f t="shared" si="29"/>
        <v/>
      </c>
      <c r="DU14" s="126"/>
      <c r="DV14" s="133"/>
      <c r="DW14" s="165"/>
      <c r="DX14" s="127"/>
      <c r="DY14" s="127"/>
      <c r="DZ14" s="127"/>
      <c r="EA14" s="152" t="str">
        <f t="shared" si="30"/>
        <v/>
      </c>
      <c r="EB14" s="126"/>
      <c r="EC14" s="133"/>
      <c r="ED14" s="165"/>
      <c r="EE14" s="127"/>
      <c r="EF14" s="127"/>
      <c r="EG14" s="127"/>
      <c r="EH14" s="151" t="str">
        <f t="shared" si="31"/>
        <v/>
      </c>
      <c r="EI14" s="131"/>
      <c r="EJ14" s="305"/>
      <c r="EK14" s="165"/>
      <c r="EL14" s="127"/>
      <c r="EM14" s="127"/>
      <c r="EN14" s="127"/>
      <c r="EO14" s="151" t="str">
        <f t="shared" si="32"/>
        <v/>
      </c>
      <c r="EP14" s="131"/>
      <c r="EQ14" s="305"/>
    </row>
    <row r="15" spans="1:147" customFormat="1" x14ac:dyDescent="0.15">
      <c r="A15" s="162"/>
      <c r="B15" s="41" t="s">
        <v>74</v>
      </c>
      <c r="C15" s="74" t="s">
        <v>25</v>
      </c>
      <c r="D15" s="74">
        <v>2014</v>
      </c>
      <c r="E15" s="141">
        <f t="shared" si="0"/>
        <v>178.17999999999998</v>
      </c>
      <c r="F15" s="75" t="s">
        <v>49</v>
      </c>
      <c r="G15" s="27" t="str">
        <f>IF('TRA-M'!$A$2-D15&lt;=1,IF(T15&gt;=$P$3,"YES",IF(AA15&gt;=$W$3,"YES",IF(AH15&gt;=$AD$3,"YES",""))),"")</f>
        <v/>
      </c>
      <c r="H15" s="7" t="str">
        <f t="shared" si="1"/>
        <v/>
      </c>
      <c r="I15" s="34" t="str">
        <f t="shared" si="2"/>
        <v/>
      </c>
      <c r="J15" s="52" t="str">
        <f t="shared" si="3"/>
        <v/>
      </c>
      <c r="K15" s="243">
        <f t="shared" si="4"/>
        <v>83.41</v>
      </c>
      <c r="L15" s="244">
        <f t="shared" si="5"/>
        <v>39.489999999999995</v>
      </c>
      <c r="M15" s="244">
        <f t="shared" si="6"/>
        <v>10.645000000000001</v>
      </c>
      <c r="N15" s="245">
        <f t="shared" si="7"/>
        <v>44.634999999999998</v>
      </c>
      <c r="O15" s="156" t="str">
        <f t="shared" si="8"/>
        <v/>
      </c>
      <c r="P15" s="542"/>
      <c r="Q15" s="511"/>
      <c r="R15" s="511"/>
      <c r="S15" s="511"/>
      <c r="T15" s="139">
        <f t="shared" si="9"/>
        <v>0</v>
      </c>
      <c r="U15" s="511"/>
      <c r="V15" s="543"/>
      <c r="W15" s="542">
        <f>21.9+2.5</f>
        <v>24.4</v>
      </c>
      <c r="X15" s="511">
        <v>15.09</v>
      </c>
      <c r="Y15" s="143">
        <f>4.2+3.1</f>
        <v>7.3000000000000007</v>
      </c>
      <c r="Z15" s="143">
        <v>3.3450000000000002</v>
      </c>
      <c r="AA15" s="139">
        <f t="shared" si="10"/>
        <v>50.134999999999991</v>
      </c>
      <c r="AB15" s="542"/>
      <c r="AC15" s="543"/>
      <c r="AD15" s="542">
        <f>25.3+2.5</f>
        <v>27.8</v>
      </c>
      <c r="AE15" s="511">
        <v>15.455</v>
      </c>
      <c r="AF15" s="143">
        <f>17.2+10.8</f>
        <v>28</v>
      </c>
      <c r="AG15" s="143">
        <v>12.154999999999999</v>
      </c>
      <c r="AH15" s="139">
        <f t="shared" si="11"/>
        <v>83.41</v>
      </c>
      <c r="AI15" s="511">
        <f>19.1+11.9</f>
        <v>31</v>
      </c>
      <c r="AJ15" s="543">
        <v>13.635</v>
      </c>
      <c r="AK15" s="243" t="str">
        <f t="shared" si="12"/>
        <v/>
      </c>
      <c r="AL15" s="244" t="str">
        <f t="shared" si="13"/>
        <v/>
      </c>
      <c r="AM15" s="245" t="str">
        <f t="shared" si="14"/>
        <v/>
      </c>
      <c r="AN15" s="243" t="str">
        <f t="shared" si="15"/>
        <v/>
      </c>
      <c r="AO15" s="244" t="str">
        <f t="shared" si="16"/>
        <v/>
      </c>
      <c r="AP15" s="245" t="str">
        <f t="shared" si="17"/>
        <v/>
      </c>
      <c r="AQ15" s="510"/>
      <c r="AR15" s="511"/>
      <c r="AS15" s="511"/>
      <c r="AT15" s="511"/>
      <c r="AU15" s="152" t="str">
        <f t="shared" si="18"/>
        <v/>
      </c>
      <c r="AV15" s="511"/>
      <c r="AW15" s="512"/>
      <c r="AX15" s="510"/>
      <c r="AY15" s="511"/>
      <c r="AZ15" s="511"/>
      <c r="BA15" s="511"/>
      <c r="BB15" s="152" t="str">
        <f t="shared" si="19"/>
        <v/>
      </c>
      <c r="BC15" s="511"/>
      <c r="BD15" s="512"/>
      <c r="BE15" s="510"/>
      <c r="BF15" s="511"/>
      <c r="BG15" s="511"/>
      <c r="BH15" s="511"/>
      <c r="BI15" s="152" t="str">
        <f t="shared" si="20"/>
        <v/>
      </c>
      <c r="BJ15" s="511"/>
      <c r="BK15" s="512"/>
      <c r="BL15" s="510"/>
      <c r="BM15" s="511"/>
      <c r="BN15" s="511"/>
      <c r="BO15" s="511"/>
      <c r="BP15" s="152" t="str">
        <f t="shared" si="21"/>
        <v/>
      </c>
      <c r="BQ15" s="511"/>
      <c r="BR15" s="512"/>
      <c r="BS15" s="510"/>
      <c r="BT15" s="511"/>
      <c r="BU15" s="511"/>
      <c r="BV15" s="511"/>
      <c r="BW15" s="152" t="str">
        <f t="shared" si="22"/>
        <v/>
      </c>
      <c r="BX15" s="511"/>
      <c r="BY15" s="512"/>
      <c r="BZ15" s="510"/>
      <c r="CA15" s="511"/>
      <c r="CB15" s="511"/>
      <c r="CC15" s="511"/>
      <c r="CD15" s="152" t="str">
        <f t="shared" si="23"/>
        <v/>
      </c>
      <c r="CE15" s="511"/>
      <c r="CF15" s="512"/>
      <c r="CG15" s="165"/>
      <c r="CH15" s="127"/>
      <c r="CI15" s="127"/>
      <c r="CJ15" s="127"/>
      <c r="CK15" s="139" t="str">
        <f t="shared" si="24"/>
        <v/>
      </c>
      <c r="CL15" s="279"/>
      <c r="CM15" s="127"/>
      <c r="CN15" s="510"/>
      <c r="CO15" s="511"/>
      <c r="CP15" s="511"/>
      <c r="CQ15" s="511"/>
      <c r="CR15" s="152" t="str">
        <f t="shared" si="25"/>
        <v/>
      </c>
      <c r="CS15" s="511"/>
      <c r="CT15" s="512"/>
      <c r="CU15" s="438"/>
      <c r="CV15" s="439"/>
      <c r="CW15" s="439"/>
      <c r="CX15" s="439"/>
      <c r="CY15" s="152" t="str">
        <f t="shared" si="26"/>
        <v/>
      </c>
      <c r="CZ15" s="439"/>
      <c r="DA15" s="440"/>
      <c r="DB15" s="438"/>
      <c r="DC15" s="439"/>
      <c r="DD15" s="439"/>
      <c r="DE15" s="439"/>
      <c r="DF15" s="152" t="str">
        <f t="shared" si="27"/>
        <v/>
      </c>
      <c r="DG15" s="439"/>
      <c r="DH15" s="440"/>
      <c r="DI15" s="347"/>
      <c r="DJ15" s="348"/>
      <c r="DK15" s="348"/>
      <c r="DL15" s="348"/>
      <c r="DM15" s="152" t="str">
        <f t="shared" si="28"/>
        <v/>
      </c>
      <c r="DN15" s="348"/>
      <c r="DO15" s="349"/>
      <c r="DP15" s="165"/>
      <c r="DQ15" s="127"/>
      <c r="DR15" s="127"/>
      <c r="DS15" s="127"/>
      <c r="DT15" s="152" t="str">
        <f t="shared" si="29"/>
        <v/>
      </c>
      <c r="DU15" s="241"/>
      <c r="DV15" s="133"/>
      <c r="DW15" s="165"/>
      <c r="DX15" s="127"/>
      <c r="DY15" s="127"/>
      <c r="DZ15" s="127"/>
      <c r="EA15" s="152" t="str">
        <f t="shared" si="30"/>
        <v/>
      </c>
      <c r="EB15" s="241"/>
      <c r="EC15" s="133"/>
      <c r="ED15" s="165"/>
      <c r="EE15" s="127"/>
      <c r="EF15" s="127"/>
      <c r="EG15" s="127"/>
      <c r="EH15" s="151" t="str">
        <f t="shared" si="31"/>
        <v/>
      </c>
      <c r="EI15" s="242"/>
      <c r="EJ15" s="277"/>
      <c r="EK15" s="165"/>
      <c r="EL15" s="127"/>
      <c r="EM15" s="127"/>
      <c r="EN15" s="127"/>
      <c r="EO15" s="151" t="str">
        <f t="shared" si="32"/>
        <v/>
      </c>
      <c r="EP15" s="242"/>
      <c r="EQ15" s="277"/>
    </row>
    <row r="16" spans="1:147" customFormat="1" x14ac:dyDescent="0.15">
      <c r="A16" s="550"/>
      <c r="B16" s="41" t="s">
        <v>79</v>
      </c>
      <c r="C16" s="123" t="s">
        <v>24</v>
      </c>
      <c r="D16" s="74">
        <v>2014</v>
      </c>
      <c r="E16" s="141">
        <f t="shared" si="0"/>
        <v>235.59499999999997</v>
      </c>
      <c r="F16" s="437"/>
      <c r="G16" s="27" t="str">
        <f>IF('TRA-M'!$A$2-D16&lt;=1,IF(T16&gt;=$P$3,"YES",IF(AA16&gt;=$W$3,"YES",IF(AH16&gt;=$AD$3,"YES",""))),"")</f>
        <v/>
      </c>
      <c r="H16" s="7" t="str">
        <f t="shared" si="1"/>
        <v/>
      </c>
      <c r="I16" s="34" t="str">
        <f t="shared" si="2"/>
        <v/>
      </c>
      <c r="J16" s="52" t="str">
        <f t="shared" si="3"/>
        <v/>
      </c>
      <c r="K16" s="243">
        <f t="shared" si="4"/>
        <v>92.8</v>
      </c>
      <c r="L16" s="244">
        <f t="shared" si="5"/>
        <v>42.53</v>
      </c>
      <c r="M16" s="244">
        <f t="shared" si="6"/>
        <v>50.244999999999997</v>
      </c>
      <c r="N16" s="245">
        <f t="shared" si="7"/>
        <v>49.634999999999998</v>
      </c>
      <c r="O16" s="156">
        <f t="shared" si="8"/>
        <v>0.38500000000000512</v>
      </c>
      <c r="P16" s="542">
        <f>20.4+2.4</f>
        <v>22.799999999999997</v>
      </c>
      <c r="Q16" s="511">
        <v>16.254999999999999</v>
      </c>
      <c r="R16" s="511">
        <f>21.7+12.9</f>
        <v>34.6</v>
      </c>
      <c r="S16" s="511">
        <v>15.28</v>
      </c>
      <c r="T16" s="139">
        <f t="shared" si="9"/>
        <v>88.935000000000002</v>
      </c>
      <c r="U16" s="511"/>
      <c r="V16" s="543"/>
      <c r="W16" s="132">
        <v>26.35</v>
      </c>
      <c r="X16" s="132">
        <v>16.18</v>
      </c>
      <c r="Y16" s="132">
        <v>34.9</v>
      </c>
      <c r="Z16" s="132">
        <v>15.345000000000001</v>
      </c>
      <c r="AA16" s="138">
        <f t="shared" si="10"/>
        <v>92.775000000000006</v>
      </c>
      <c r="AB16" s="132">
        <v>18.05</v>
      </c>
      <c r="AC16" s="142">
        <v>7.69</v>
      </c>
      <c r="AD16" s="542">
        <f>26.5+2</f>
        <v>28.5</v>
      </c>
      <c r="AE16" s="511">
        <v>16.265000000000001</v>
      </c>
      <c r="AF16" s="542">
        <f>20.7+12.2</f>
        <v>32.9</v>
      </c>
      <c r="AG16" s="542">
        <v>15.135</v>
      </c>
      <c r="AH16" s="139">
        <f t="shared" si="11"/>
        <v>92.8</v>
      </c>
      <c r="AI16" s="511">
        <f>22+12.4</f>
        <v>34.4</v>
      </c>
      <c r="AJ16" s="543">
        <v>15.234999999999999</v>
      </c>
      <c r="AK16" s="243">
        <f t="shared" si="12"/>
        <v>0.38500000000000512</v>
      </c>
      <c r="AL16" s="244">
        <f t="shared" si="13"/>
        <v>-0.15499999999999403</v>
      </c>
      <c r="AM16" s="245" t="str">
        <f t="shared" si="14"/>
        <v/>
      </c>
      <c r="AN16" s="243">
        <f t="shared" si="15"/>
        <v>42.915000000000006</v>
      </c>
      <c r="AO16" s="244">
        <f t="shared" si="16"/>
        <v>50.09</v>
      </c>
      <c r="AP16" s="245" t="str">
        <f t="shared" si="17"/>
        <v/>
      </c>
      <c r="AQ16" s="510"/>
      <c r="AR16" s="511"/>
      <c r="AS16" s="511"/>
      <c r="AT16" s="511"/>
      <c r="AU16" s="152" t="str">
        <f t="shared" si="18"/>
        <v/>
      </c>
      <c r="AV16" s="511"/>
      <c r="AW16" s="512"/>
      <c r="AX16" s="510"/>
      <c r="AY16" s="511"/>
      <c r="AZ16" s="511"/>
      <c r="BA16" s="511"/>
      <c r="BB16" s="152" t="str">
        <f t="shared" si="19"/>
        <v/>
      </c>
      <c r="BC16" s="511"/>
      <c r="BD16" s="512"/>
      <c r="BE16" s="510">
        <f>24.6+2.3</f>
        <v>26.900000000000002</v>
      </c>
      <c r="BF16" s="511">
        <v>16.015000000000001</v>
      </c>
      <c r="BG16" s="511">
        <f>21.6+13.1</f>
        <v>34.700000000000003</v>
      </c>
      <c r="BH16" s="511">
        <v>15.39</v>
      </c>
      <c r="BI16" s="152">
        <f t="shared" si="20"/>
        <v>93.00500000000001</v>
      </c>
      <c r="BJ16" s="511"/>
      <c r="BK16" s="512"/>
      <c r="BL16" s="510"/>
      <c r="BM16" s="511"/>
      <c r="BN16" s="511"/>
      <c r="BO16" s="511"/>
      <c r="BP16" s="152" t="str">
        <f t="shared" si="21"/>
        <v/>
      </c>
      <c r="BQ16" s="511"/>
      <c r="BR16" s="512"/>
      <c r="BS16" s="510"/>
      <c r="BT16" s="511"/>
      <c r="BU16" s="511"/>
      <c r="BV16" s="511"/>
      <c r="BW16" s="152" t="str">
        <f t="shared" si="22"/>
        <v/>
      </c>
      <c r="BX16" s="511"/>
      <c r="BY16" s="512"/>
      <c r="BZ16" s="510"/>
      <c r="CA16" s="511"/>
      <c r="CB16" s="511"/>
      <c r="CC16" s="511"/>
      <c r="CD16" s="152" t="str">
        <f t="shared" si="23"/>
        <v/>
      </c>
      <c r="CE16" s="511"/>
      <c r="CF16" s="512"/>
      <c r="CG16" s="165"/>
      <c r="CH16" s="127"/>
      <c r="CI16" s="127"/>
      <c r="CJ16" s="127"/>
      <c r="CK16" s="139" t="str">
        <f t="shared" si="24"/>
        <v/>
      </c>
      <c r="CL16" s="279"/>
      <c r="CM16" s="133"/>
      <c r="CN16" s="510"/>
      <c r="CO16" s="511"/>
      <c r="CP16" s="511"/>
      <c r="CQ16" s="511"/>
      <c r="CR16" s="152" t="str">
        <f t="shared" si="25"/>
        <v/>
      </c>
      <c r="CS16" s="511"/>
      <c r="CT16" s="512"/>
      <c r="CU16" s="438"/>
      <c r="CV16" s="439"/>
      <c r="CW16" s="439"/>
      <c r="CX16" s="439"/>
      <c r="CY16" s="152" t="str">
        <f t="shared" si="26"/>
        <v/>
      </c>
      <c r="CZ16" s="439"/>
      <c r="DA16" s="440"/>
      <c r="DB16" s="438"/>
      <c r="DC16" s="439"/>
      <c r="DD16" s="439"/>
      <c r="DE16" s="439"/>
      <c r="DF16" s="152" t="str">
        <f t="shared" si="27"/>
        <v/>
      </c>
      <c r="DG16" s="439"/>
      <c r="DH16" s="440"/>
      <c r="DI16" s="347"/>
      <c r="DJ16" s="348"/>
      <c r="DK16" s="348"/>
      <c r="DL16" s="348"/>
      <c r="DM16" s="152" t="str">
        <f t="shared" si="28"/>
        <v/>
      </c>
      <c r="DN16" s="348"/>
      <c r="DO16" s="349"/>
      <c r="DP16" s="165"/>
      <c r="DQ16" s="127"/>
      <c r="DR16" s="127"/>
      <c r="DS16" s="127"/>
      <c r="DT16" s="152" t="str">
        <f t="shared" si="29"/>
        <v/>
      </c>
      <c r="DU16" s="241"/>
      <c r="DV16" s="133"/>
      <c r="DW16" s="165"/>
      <c r="DX16" s="127"/>
      <c r="DY16" s="127"/>
      <c r="DZ16" s="127"/>
      <c r="EA16" s="152" t="str">
        <f t="shared" si="30"/>
        <v/>
      </c>
      <c r="EB16" s="241"/>
      <c r="EC16" s="133"/>
      <c r="ED16" s="165"/>
      <c r="EE16" s="127"/>
      <c r="EF16" s="127"/>
      <c r="EG16" s="127"/>
      <c r="EH16" s="151" t="str">
        <f t="shared" si="31"/>
        <v/>
      </c>
      <c r="EI16" s="242"/>
      <c r="EJ16" s="281"/>
      <c r="EK16" s="165"/>
      <c r="EL16" s="127"/>
      <c r="EM16" s="127"/>
      <c r="EN16" s="127"/>
      <c r="EO16" s="151" t="str">
        <f t="shared" si="32"/>
        <v/>
      </c>
      <c r="EP16" s="242"/>
      <c r="EQ16" s="281"/>
    </row>
    <row r="17" spans="1:147" customFormat="1" x14ac:dyDescent="0.15">
      <c r="A17" s="162"/>
      <c r="B17" s="41" t="s">
        <v>69</v>
      </c>
      <c r="C17" s="74" t="s">
        <v>26</v>
      </c>
      <c r="D17" s="74">
        <v>2013</v>
      </c>
      <c r="E17" s="141">
        <f t="shared" si="0"/>
        <v>128.27500000000001</v>
      </c>
      <c r="F17" s="75"/>
      <c r="G17" s="27" t="str">
        <f>IF('TRA-M'!$A$2-D17&lt;=1,IF(T17&gt;=$P$3,"YES",IF(AA17&gt;=$W$3,"YES",IF(AH17&gt;=$AD$3,"YES",""))),"")</f>
        <v/>
      </c>
      <c r="H17" s="7" t="str">
        <f t="shared" si="1"/>
        <v/>
      </c>
      <c r="I17" s="34" t="str">
        <f t="shared" si="2"/>
        <v/>
      </c>
      <c r="J17" s="52" t="str">
        <f t="shared" si="3"/>
        <v/>
      </c>
      <c r="K17" s="243">
        <f t="shared" si="4"/>
        <v>84.26</v>
      </c>
      <c r="L17" s="244">
        <f t="shared" si="5"/>
        <v>0</v>
      </c>
      <c r="M17" s="244">
        <f t="shared" si="6"/>
        <v>0</v>
      </c>
      <c r="N17" s="245">
        <f t="shared" si="7"/>
        <v>44.015000000000001</v>
      </c>
      <c r="O17" s="156" t="str">
        <f t="shared" si="8"/>
        <v/>
      </c>
      <c r="P17" s="511"/>
      <c r="Q17" s="511"/>
      <c r="R17" s="511"/>
      <c r="S17" s="511"/>
      <c r="T17" s="139">
        <f t="shared" si="9"/>
        <v>0</v>
      </c>
      <c r="U17" s="511"/>
      <c r="V17" s="512"/>
      <c r="W17" s="511"/>
      <c r="X17" s="511"/>
      <c r="Y17" s="542"/>
      <c r="Z17" s="542"/>
      <c r="AA17" s="139">
        <f t="shared" si="10"/>
        <v>0</v>
      </c>
      <c r="AB17" s="511"/>
      <c r="AC17" s="512"/>
      <c r="AD17" s="542">
        <f>24.1+2.2</f>
        <v>26.3</v>
      </c>
      <c r="AE17" s="542">
        <v>14.41</v>
      </c>
      <c r="AF17" s="542">
        <f>20+9.6</f>
        <v>29.6</v>
      </c>
      <c r="AG17" s="542">
        <v>13.95</v>
      </c>
      <c r="AH17" s="139">
        <f t="shared" si="11"/>
        <v>84.26</v>
      </c>
      <c r="AI17" s="511">
        <f>20.6+9.6</f>
        <v>30.200000000000003</v>
      </c>
      <c r="AJ17" s="512">
        <v>13.815</v>
      </c>
      <c r="AK17" s="243" t="str">
        <f t="shared" si="12"/>
        <v/>
      </c>
      <c r="AL17" s="244" t="str">
        <f t="shared" si="13"/>
        <v/>
      </c>
      <c r="AM17" s="245" t="str">
        <f t="shared" si="14"/>
        <v/>
      </c>
      <c r="AN17" s="243" t="str">
        <f t="shared" si="15"/>
        <v/>
      </c>
      <c r="AO17" s="244" t="str">
        <f t="shared" si="16"/>
        <v/>
      </c>
      <c r="AP17" s="245" t="str">
        <f t="shared" si="17"/>
        <v/>
      </c>
      <c r="AQ17" s="510"/>
      <c r="AR17" s="511"/>
      <c r="AS17" s="511"/>
      <c r="AT17" s="511"/>
      <c r="AU17" s="152" t="str">
        <f t="shared" si="18"/>
        <v/>
      </c>
      <c r="AV17" s="511"/>
      <c r="AW17" s="512"/>
      <c r="AX17" s="510"/>
      <c r="AY17" s="511"/>
      <c r="AZ17" s="511"/>
      <c r="BA17" s="511"/>
      <c r="BB17" s="152" t="str">
        <f t="shared" si="19"/>
        <v/>
      </c>
      <c r="BC17" s="511"/>
      <c r="BD17" s="512"/>
      <c r="BE17" s="510"/>
      <c r="BF17" s="511"/>
      <c r="BG17" s="511"/>
      <c r="BH17" s="511"/>
      <c r="BI17" s="152" t="str">
        <f t="shared" si="20"/>
        <v/>
      </c>
      <c r="BJ17" s="511"/>
      <c r="BK17" s="512"/>
      <c r="BL17" s="510"/>
      <c r="BM17" s="511"/>
      <c r="BN17" s="511"/>
      <c r="BO17" s="511"/>
      <c r="BP17" s="152" t="str">
        <f t="shared" si="21"/>
        <v/>
      </c>
      <c r="BQ17" s="511"/>
      <c r="BR17" s="512"/>
      <c r="BS17" s="510"/>
      <c r="BT17" s="511"/>
      <c r="BU17" s="511"/>
      <c r="BV17" s="511"/>
      <c r="BW17" s="152" t="str">
        <f t="shared" si="22"/>
        <v/>
      </c>
      <c r="BX17" s="511"/>
      <c r="BY17" s="512"/>
      <c r="BZ17" s="510"/>
      <c r="CA17" s="511"/>
      <c r="CB17" s="511"/>
      <c r="CC17" s="511"/>
      <c r="CD17" s="152" t="str">
        <f t="shared" si="23"/>
        <v/>
      </c>
      <c r="CE17" s="511"/>
      <c r="CF17" s="512"/>
      <c r="CG17" s="541"/>
      <c r="CH17" s="542"/>
      <c r="CI17" s="542"/>
      <c r="CJ17" s="542"/>
      <c r="CK17" s="152" t="str">
        <f t="shared" si="24"/>
        <v/>
      </c>
      <c r="CL17" s="542"/>
      <c r="CM17" s="543"/>
      <c r="CN17" s="510"/>
      <c r="CO17" s="511"/>
      <c r="CP17" s="511"/>
      <c r="CQ17" s="511"/>
      <c r="CR17" s="152" t="str">
        <f t="shared" si="25"/>
        <v/>
      </c>
      <c r="CS17" s="511"/>
      <c r="CT17" s="512"/>
      <c r="CU17" s="438"/>
      <c r="CV17" s="439"/>
      <c r="CW17" s="439"/>
      <c r="CX17" s="439"/>
      <c r="CY17" s="152" t="str">
        <f t="shared" si="26"/>
        <v/>
      </c>
      <c r="CZ17" s="439"/>
      <c r="DA17" s="440"/>
      <c r="DB17" s="438"/>
      <c r="DC17" s="439"/>
      <c r="DD17" s="439"/>
      <c r="DE17" s="439"/>
      <c r="DF17" s="152" t="str">
        <f t="shared" si="27"/>
        <v/>
      </c>
      <c r="DG17" s="439"/>
      <c r="DH17" s="440"/>
      <c r="DI17" s="347"/>
      <c r="DJ17" s="348"/>
      <c r="DK17" s="348"/>
      <c r="DL17" s="348"/>
      <c r="DM17" s="152" t="str">
        <f t="shared" si="28"/>
        <v/>
      </c>
      <c r="DN17" s="348"/>
      <c r="DO17" s="349"/>
      <c r="DP17" s="165"/>
      <c r="DQ17" s="127"/>
      <c r="DR17" s="127"/>
      <c r="DS17" s="127"/>
      <c r="DT17" s="152" t="str">
        <f t="shared" si="29"/>
        <v/>
      </c>
      <c r="DU17" s="241"/>
      <c r="DV17" s="133"/>
      <c r="DW17" s="165"/>
      <c r="DX17" s="127"/>
      <c r="DY17" s="127"/>
      <c r="DZ17" s="127"/>
      <c r="EA17" s="152" t="str">
        <f t="shared" si="30"/>
        <v/>
      </c>
      <c r="EB17" s="241"/>
      <c r="EC17" s="133"/>
      <c r="ED17" s="165"/>
      <c r="EE17" s="127"/>
      <c r="EF17" s="127"/>
      <c r="EG17" s="127"/>
      <c r="EH17" s="151" t="str">
        <f t="shared" si="31"/>
        <v/>
      </c>
      <c r="EI17" s="242"/>
      <c r="EJ17" s="298"/>
      <c r="EK17" s="165"/>
      <c r="EL17" s="127"/>
      <c r="EM17" s="127"/>
      <c r="EN17" s="127"/>
      <c r="EO17" s="151" t="str">
        <f t="shared" si="32"/>
        <v/>
      </c>
      <c r="EP17" s="242"/>
      <c r="EQ17" s="298"/>
    </row>
    <row r="18" spans="1:147" x14ac:dyDescent="0.15">
      <c r="A18" s="162"/>
      <c r="B18" s="41" t="s">
        <v>70</v>
      </c>
      <c r="C18" s="74" t="s">
        <v>26</v>
      </c>
      <c r="D18" s="74">
        <v>2016</v>
      </c>
      <c r="E18" s="141">
        <f t="shared" si="0"/>
        <v>109.985</v>
      </c>
      <c r="F18" s="75"/>
      <c r="G18" s="27" t="str">
        <f>IF('TRA-M'!$A$2-D18&lt;=1,IF(T18&gt;=$P$3,"YES",IF(AA18&gt;=$W$3,"YES",IF(AH18&gt;=$AD$3,"YES",""))),"")</f>
        <v/>
      </c>
      <c r="H18" s="7" t="str">
        <f t="shared" si="1"/>
        <v/>
      </c>
      <c r="I18" s="34" t="str">
        <f t="shared" si="2"/>
        <v/>
      </c>
      <c r="J18" s="52" t="str">
        <f t="shared" si="3"/>
        <v/>
      </c>
      <c r="K18" s="480">
        <f t="shared" si="4"/>
        <v>67.625</v>
      </c>
      <c r="L18" s="481">
        <f t="shared" si="5"/>
        <v>0</v>
      </c>
      <c r="M18" s="481">
        <f t="shared" si="6"/>
        <v>0</v>
      </c>
      <c r="N18" s="482">
        <f t="shared" si="7"/>
        <v>42.36</v>
      </c>
      <c r="O18" s="156" t="str">
        <f t="shared" si="8"/>
        <v/>
      </c>
      <c r="P18" s="511"/>
      <c r="Q18" s="511"/>
      <c r="R18" s="511"/>
      <c r="S18" s="511"/>
      <c r="T18" s="139">
        <f t="shared" si="9"/>
        <v>0</v>
      </c>
      <c r="U18" s="511"/>
      <c r="V18" s="512"/>
      <c r="W18" s="511"/>
      <c r="X18" s="511"/>
      <c r="Y18" s="511"/>
      <c r="Z18" s="511"/>
      <c r="AA18" s="139">
        <f t="shared" si="10"/>
        <v>0</v>
      </c>
      <c r="AB18" s="511"/>
      <c r="AC18" s="512"/>
      <c r="AD18" s="486">
        <f>25.3+2.2</f>
        <v>27.5</v>
      </c>
      <c r="AE18" s="486">
        <v>14.37</v>
      </c>
      <c r="AF18" s="143">
        <f>11.8+5.6</f>
        <v>17.399999999999999</v>
      </c>
      <c r="AG18" s="143">
        <v>8.3550000000000004</v>
      </c>
      <c r="AH18" s="139">
        <f t="shared" si="11"/>
        <v>67.625</v>
      </c>
      <c r="AI18" s="486">
        <f>19.5+9.2</f>
        <v>28.7</v>
      </c>
      <c r="AJ18" s="487">
        <v>13.66</v>
      </c>
      <c r="AK18" s="480" t="str">
        <f t="shared" si="12"/>
        <v/>
      </c>
      <c r="AL18" s="481" t="str">
        <f t="shared" si="13"/>
        <v/>
      </c>
      <c r="AM18" s="482" t="str">
        <f t="shared" si="14"/>
        <v/>
      </c>
      <c r="AN18" s="480" t="str">
        <f t="shared" si="15"/>
        <v/>
      </c>
      <c r="AO18" s="481" t="str">
        <f t="shared" si="16"/>
        <v/>
      </c>
      <c r="AP18" s="482" t="str">
        <f t="shared" si="17"/>
        <v/>
      </c>
      <c r="AQ18" s="510"/>
      <c r="AR18" s="511"/>
      <c r="AS18" s="511"/>
      <c r="AT18" s="511"/>
      <c r="AU18" s="152" t="str">
        <f t="shared" si="18"/>
        <v/>
      </c>
      <c r="AV18" s="511"/>
      <c r="AW18" s="512"/>
      <c r="AX18" s="510"/>
      <c r="AY18" s="511"/>
      <c r="AZ18" s="511"/>
      <c r="BA18" s="511"/>
      <c r="BB18" s="152" t="str">
        <f t="shared" si="19"/>
        <v/>
      </c>
      <c r="BC18" s="511"/>
      <c r="BD18" s="512"/>
      <c r="BE18" s="510"/>
      <c r="BF18" s="511"/>
      <c r="BG18" s="511"/>
      <c r="BH18" s="511"/>
      <c r="BI18" s="152" t="str">
        <f t="shared" si="20"/>
        <v/>
      </c>
      <c r="BJ18" s="511"/>
      <c r="BK18" s="512"/>
      <c r="BL18" s="510"/>
      <c r="BM18" s="511"/>
      <c r="BN18" s="511"/>
      <c r="BO18" s="511"/>
      <c r="BP18" s="152" t="str">
        <f t="shared" si="21"/>
        <v/>
      </c>
      <c r="BQ18" s="511"/>
      <c r="BR18" s="512"/>
      <c r="BS18" s="510"/>
      <c r="BT18" s="511"/>
      <c r="BU18" s="511"/>
      <c r="BV18" s="511"/>
      <c r="BW18" s="152" t="str">
        <f t="shared" si="22"/>
        <v/>
      </c>
      <c r="BX18" s="511"/>
      <c r="BY18" s="512"/>
      <c r="BZ18" s="510"/>
      <c r="CA18" s="511"/>
      <c r="CB18" s="511"/>
      <c r="CC18" s="511"/>
      <c r="CD18" s="152" t="str">
        <f t="shared" si="23"/>
        <v/>
      </c>
      <c r="CE18" s="511"/>
      <c r="CF18" s="512"/>
      <c r="CG18" s="510"/>
      <c r="CH18" s="511"/>
      <c r="CI18" s="511"/>
      <c r="CJ18" s="511"/>
      <c r="CK18" s="152" t="str">
        <f t="shared" si="24"/>
        <v/>
      </c>
      <c r="CL18" s="511"/>
      <c r="CM18" s="512"/>
      <c r="CN18" s="510"/>
      <c r="CO18" s="511"/>
      <c r="CP18" s="511"/>
      <c r="CQ18" s="511"/>
      <c r="CR18" s="152" t="str">
        <f t="shared" si="25"/>
        <v/>
      </c>
      <c r="CS18" s="511"/>
      <c r="CT18" s="512"/>
      <c r="CU18" s="485"/>
      <c r="CV18" s="486"/>
      <c r="CW18" s="486"/>
      <c r="CX18" s="486"/>
      <c r="CY18" s="152" t="str">
        <f t="shared" si="26"/>
        <v/>
      </c>
      <c r="CZ18" s="486"/>
      <c r="DA18" s="487"/>
      <c r="DB18" s="485"/>
      <c r="DC18" s="486"/>
      <c r="DD18" s="486"/>
      <c r="DE18" s="486"/>
      <c r="DF18" s="152" t="str">
        <f t="shared" si="27"/>
        <v/>
      </c>
      <c r="DG18" s="486"/>
      <c r="DH18" s="487"/>
      <c r="DI18" s="485"/>
      <c r="DJ18" s="486"/>
      <c r="DK18" s="486"/>
      <c r="DL18" s="486"/>
      <c r="DM18" s="152" t="str">
        <f t="shared" si="28"/>
        <v/>
      </c>
      <c r="DN18" s="486"/>
      <c r="DO18" s="487"/>
      <c r="DP18" s="165"/>
      <c r="DQ18" s="127"/>
      <c r="DR18" s="127"/>
      <c r="DS18" s="127"/>
      <c r="DT18" s="152" t="str">
        <f t="shared" si="29"/>
        <v/>
      </c>
      <c r="DU18" s="486"/>
      <c r="DV18" s="133"/>
      <c r="DW18" s="165"/>
      <c r="DX18" s="127"/>
      <c r="DY18" s="127"/>
      <c r="DZ18" s="127"/>
      <c r="EA18" s="152" t="str">
        <f t="shared" si="30"/>
        <v/>
      </c>
      <c r="EB18" s="486"/>
      <c r="EC18" s="133"/>
      <c r="ED18" s="165"/>
      <c r="EE18" s="127"/>
      <c r="EF18" s="127"/>
      <c r="EG18" s="127"/>
      <c r="EH18" s="151" t="str">
        <f t="shared" si="31"/>
        <v/>
      </c>
      <c r="EI18" s="483"/>
      <c r="EJ18" s="482"/>
      <c r="EK18" s="165"/>
      <c r="EL18" s="127"/>
      <c r="EM18" s="127"/>
      <c r="EN18" s="127"/>
      <c r="EO18" s="151" t="str">
        <f t="shared" si="32"/>
        <v/>
      </c>
      <c r="EP18" s="483"/>
      <c r="EQ18" s="482"/>
    </row>
    <row r="19" spans="1:147" x14ac:dyDescent="0.15">
      <c r="A19" s="534"/>
      <c r="B19" s="41" t="s">
        <v>130</v>
      </c>
      <c r="C19" s="74" t="s">
        <v>24</v>
      </c>
      <c r="D19" s="74">
        <v>2016</v>
      </c>
      <c r="E19" s="141">
        <f t="shared" si="0"/>
        <v>96.77000000000001</v>
      </c>
      <c r="F19" s="437"/>
      <c r="G19" s="27" t="str">
        <f>IF('TRA-M'!$A$2-D19&lt;=1,IF(T19&gt;=$P$3,"YES",IF(AA19&gt;=$W$3,"YES",IF(AH19&gt;=$AD$3,"YES",""))),"")</f>
        <v/>
      </c>
      <c r="H19" s="7" t="str">
        <f t="shared" si="1"/>
        <v/>
      </c>
      <c r="I19" s="34" t="str">
        <f t="shared" si="2"/>
        <v/>
      </c>
      <c r="J19" s="52" t="str">
        <f t="shared" si="3"/>
        <v/>
      </c>
      <c r="K19" s="535">
        <f t="shared" si="4"/>
        <v>52.485000000000007</v>
      </c>
      <c r="L19" s="536">
        <f t="shared" si="5"/>
        <v>33.76</v>
      </c>
      <c r="M19" s="536">
        <f t="shared" si="6"/>
        <v>10.525</v>
      </c>
      <c r="N19" s="537">
        <f t="shared" si="7"/>
        <v>0</v>
      </c>
      <c r="O19" s="156" t="str">
        <f t="shared" si="8"/>
        <v/>
      </c>
      <c r="P19" s="542"/>
      <c r="Q19" s="542"/>
      <c r="R19" s="542"/>
      <c r="S19" s="542"/>
      <c r="T19" s="139">
        <f t="shared" si="9"/>
        <v>0</v>
      </c>
      <c r="U19" s="542"/>
      <c r="V19" s="543"/>
      <c r="W19" s="542">
        <f>25.8+2</f>
        <v>27.8</v>
      </c>
      <c r="X19" s="542">
        <v>14.84</v>
      </c>
      <c r="Y19" s="143">
        <f>4.2+2.5</f>
        <v>6.7</v>
      </c>
      <c r="Z19" s="143">
        <v>3.145</v>
      </c>
      <c r="AA19" s="139">
        <f t="shared" si="10"/>
        <v>52.485000000000007</v>
      </c>
      <c r="AB19" s="542"/>
      <c r="AC19" s="543"/>
      <c r="AD19" s="143">
        <f>21.5+0</f>
        <v>21.5</v>
      </c>
      <c r="AE19" s="143">
        <v>12.26</v>
      </c>
      <c r="AF19" s="143">
        <f>4.5+2.9</f>
        <v>7.4</v>
      </c>
      <c r="AG19" s="143">
        <v>3.125</v>
      </c>
      <c r="AH19" s="139">
        <f t="shared" si="11"/>
        <v>44.284999999999997</v>
      </c>
      <c r="AI19" s="542"/>
      <c r="AJ19" s="543"/>
      <c r="AK19" s="535" t="str">
        <f t="shared" si="12"/>
        <v/>
      </c>
      <c r="AL19" s="536" t="str">
        <f t="shared" si="13"/>
        <v/>
      </c>
      <c r="AM19" s="537" t="str">
        <f t="shared" si="14"/>
        <v/>
      </c>
      <c r="AN19" s="535" t="str">
        <f t="shared" si="15"/>
        <v/>
      </c>
      <c r="AO19" s="536" t="str">
        <f t="shared" si="16"/>
        <v/>
      </c>
      <c r="AP19" s="537" t="str">
        <f t="shared" si="17"/>
        <v/>
      </c>
      <c r="AQ19" s="541"/>
      <c r="AR19" s="542"/>
      <c r="AS19" s="542"/>
      <c r="AT19" s="542"/>
      <c r="AU19" s="152" t="str">
        <f t="shared" si="18"/>
        <v/>
      </c>
      <c r="AV19" s="542"/>
      <c r="AW19" s="543"/>
      <c r="AX19" s="541"/>
      <c r="AY19" s="542"/>
      <c r="AZ19" s="542"/>
      <c r="BA19" s="542"/>
      <c r="BB19" s="152" t="str">
        <f t="shared" si="19"/>
        <v/>
      </c>
      <c r="BC19" s="542"/>
      <c r="BD19" s="543"/>
      <c r="BE19" s="541"/>
      <c r="BF19" s="542"/>
      <c r="BG19" s="542"/>
      <c r="BH19" s="542"/>
      <c r="BI19" s="152" t="str">
        <f t="shared" si="20"/>
        <v/>
      </c>
      <c r="BJ19" s="542"/>
      <c r="BK19" s="543"/>
      <c r="BL19" s="541"/>
      <c r="BM19" s="542"/>
      <c r="BN19" s="542"/>
      <c r="BO19" s="542"/>
      <c r="BP19" s="152" t="str">
        <f t="shared" si="21"/>
        <v/>
      </c>
      <c r="BQ19" s="542"/>
      <c r="BR19" s="543"/>
      <c r="BS19" s="541"/>
      <c r="BT19" s="542"/>
      <c r="BU19" s="542"/>
      <c r="BV19" s="542"/>
      <c r="BW19" s="152" t="str">
        <f t="shared" si="22"/>
        <v/>
      </c>
      <c r="BX19" s="542"/>
      <c r="BY19" s="543"/>
      <c r="BZ19" s="541"/>
      <c r="CA19" s="542"/>
      <c r="CB19" s="542"/>
      <c r="CC19" s="542"/>
      <c r="CD19" s="152" t="str">
        <f t="shared" si="23"/>
        <v/>
      </c>
      <c r="CE19" s="542"/>
      <c r="CF19" s="543"/>
      <c r="CG19" s="165"/>
      <c r="CH19" s="127"/>
      <c r="CI19" s="127"/>
      <c r="CJ19" s="127"/>
      <c r="CK19" s="139" t="str">
        <f t="shared" si="24"/>
        <v/>
      </c>
      <c r="CL19" s="279"/>
      <c r="CM19" s="133"/>
      <c r="CN19" s="541"/>
      <c r="CO19" s="542"/>
      <c r="CP19" s="542"/>
      <c r="CQ19" s="542"/>
      <c r="CR19" s="152" t="str">
        <f t="shared" si="25"/>
        <v/>
      </c>
      <c r="CS19" s="542"/>
      <c r="CT19" s="543"/>
      <c r="CU19" s="541"/>
      <c r="CV19" s="542"/>
      <c r="CW19" s="542"/>
      <c r="CX19" s="542"/>
      <c r="CY19" s="152" t="str">
        <f t="shared" si="26"/>
        <v/>
      </c>
      <c r="CZ19" s="542"/>
      <c r="DA19" s="543"/>
      <c r="DB19" s="541"/>
      <c r="DC19" s="542"/>
      <c r="DD19" s="542"/>
      <c r="DE19" s="542"/>
      <c r="DF19" s="152" t="str">
        <f t="shared" si="27"/>
        <v/>
      </c>
      <c r="DG19" s="542"/>
      <c r="DH19" s="543"/>
      <c r="DI19" s="541"/>
      <c r="DJ19" s="542"/>
      <c r="DK19" s="542"/>
      <c r="DL19" s="542"/>
      <c r="DM19" s="152" t="str">
        <f t="shared" si="28"/>
        <v/>
      </c>
      <c r="DN19" s="542"/>
      <c r="DO19" s="543"/>
      <c r="DP19" s="165"/>
      <c r="DQ19" s="127"/>
      <c r="DR19" s="127"/>
      <c r="DS19" s="127"/>
      <c r="DT19" s="152" t="str">
        <f t="shared" si="29"/>
        <v/>
      </c>
      <c r="DU19" s="542"/>
      <c r="DV19" s="133"/>
      <c r="DW19" s="165"/>
      <c r="DX19" s="127"/>
      <c r="DY19" s="127"/>
      <c r="DZ19" s="127"/>
      <c r="EA19" s="152" t="str">
        <f t="shared" si="30"/>
        <v/>
      </c>
      <c r="EB19" s="542"/>
      <c r="EC19" s="133"/>
      <c r="ED19" s="165"/>
      <c r="EE19" s="127"/>
      <c r="EF19" s="127"/>
      <c r="EG19" s="127"/>
      <c r="EH19" s="151"/>
      <c r="EI19" s="539"/>
      <c r="EJ19" s="537"/>
      <c r="EK19" s="165"/>
      <c r="EL19" s="127"/>
      <c r="EM19" s="127"/>
      <c r="EN19" s="127"/>
      <c r="EO19" s="151"/>
      <c r="EP19" s="539"/>
      <c r="EQ19" s="537"/>
    </row>
    <row r="20" spans="1:147" x14ac:dyDescent="0.15">
      <c r="A20" s="521"/>
      <c r="B20" s="117"/>
      <c r="C20" s="71"/>
      <c r="D20" s="71"/>
      <c r="E20" s="521"/>
      <c r="F20" s="53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X20" s="149"/>
      <c r="AY20" s="149"/>
      <c r="AZ20" s="511"/>
      <c r="BA20" s="511"/>
      <c r="BZ20" s="149"/>
      <c r="CA20" s="149"/>
      <c r="CB20" s="511"/>
      <c r="CC20" s="511"/>
      <c r="CG20" s="149"/>
      <c r="CH20" s="149"/>
      <c r="CI20" s="511"/>
      <c r="CJ20" s="511"/>
      <c r="CN20" s="149"/>
      <c r="CO20" s="149"/>
      <c r="CP20" s="511"/>
      <c r="CQ20" s="511"/>
      <c r="CU20" s="149"/>
      <c r="CV20" s="149"/>
      <c r="CW20" s="511"/>
      <c r="CX20" s="511"/>
      <c r="DB20" s="149"/>
      <c r="DC20" s="149"/>
      <c r="DD20" s="511"/>
      <c r="DE20" s="511"/>
      <c r="ED20" s="149"/>
      <c r="EE20" s="149"/>
      <c r="EF20" s="511"/>
      <c r="EG20" s="511"/>
      <c r="EK20" s="149"/>
      <c r="EL20" s="149"/>
      <c r="EM20" s="511"/>
      <c r="EN20" s="511"/>
    </row>
    <row r="21" spans="1:147" x14ac:dyDescent="0.15">
      <c r="A21" s="521"/>
      <c r="B21" s="117"/>
      <c r="C21" s="71"/>
      <c r="D21" s="71"/>
      <c r="E21" s="521"/>
      <c r="F21" s="53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516"/>
      <c r="AN21" s="516"/>
      <c r="AO21" s="516"/>
      <c r="AP21" s="516"/>
      <c r="AX21" s="149"/>
      <c r="AY21" s="149"/>
      <c r="AZ21" s="511"/>
      <c r="BA21" s="511"/>
      <c r="BZ21" s="149"/>
      <c r="CA21" s="149"/>
      <c r="CB21" s="511"/>
      <c r="CC21" s="511"/>
      <c r="CG21" s="149"/>
      <c r="CH21" s="149"/>
      <c r="CI21" s="511"/>
      <c r="CJ21" s="511"/>
      <c r="CN21" s="149"/>
      <c r="CO21" s="149"/>
      <c r="CP21" s="511"/>
      <c r="CQ21" s="511"/>
      <c r="CU21" s="149"/>
      <c r="CV21" s="149"/>
      <c r="CW21" s="511"/>
      <c r="CX21" s="511"/>
      <c r="DB21" s="149"/>
      <c r="DC21" s="149"/>
      <c r="DD21" s="511"/>
      <c r="DE21" s="511"/>
      <c r="ED21" s="149"/>
      <c r="EE21" s="149"/>
      <c r="EF21" s="511"/>
      <c r="EG21" s="511"/>
      <c r="EK21" s="149"/>
      <c r="EL21" s="149"/>
      <c r="EM21" s="511"/>
      <c r="EN21" s="511"/>
    </row>
    <row r="22" spans="1:147" x14ac:dyDescent="0.15">
      <c r="A22" s="323"/>
      <c r="B22" s="117"/>
      <c r="C22" s="71"/>
      <c r="D22" s="71"/>
      <c r="E22" s="323"/>
      <c r="F22" s="53"/>
      <c r="K22" s="322"/>
      <c r="L22" s="322"/>
      <c r="M22" s="322"/>
      <c r="N22" s="322"/>
      <c r="O22" s="322"/>
      <c r="AD22" s="322"/>
      <c r="AE22" s="322"/>
      <c r="AF22" s="322"/>
      <c r="AG22" s="322"/>
      <c r="AH22" s="322"/>
      <c r="AI22" s="322"/>
      <c r="AJ22" s="322"/>
      <c r="AK22" s="322"/>
      <c r="AL22" s="322"/>
      <c r="AM22" s="322"/>
      <c r="AN22" s="322"/>
      <c r="AO22" s="322"/>
      <c r="AP22" s="322"/>
      <c r="AX22" s="149"/>
      <c r="AY22" s="149"/>
      <c r="AZ22" s="511"/>
      <c r="BA22" s="511"/>
      <c r="BZ22" s="149"/>
      <c r="CA22" s="149"/>
      <c r="CB22" s="511"/>
      <c r="CC22" s="511"/>
      <c r="CG22" s="149"/>
      <c r="CH22" s="149"/>
      <c r="CI22" s="511"/>
      <c r="CJ22" s="511"/>
      <c r="CN22" s="149"/>
      <c r="CO22" s="149"/>
      <c r="CP22" s="511"/>
      <c r="CQ22" s="511"/>
      <c r="CU22" s="149"/>
      <c r="CV22" s="149"/>
      <c r="CW22" s="365"/>
      <c r="CX22" s="365"/>
      <c r="DB22" s="149"/>
      <c r="DC22" s="149"/>
      <c r="DD22" s="321"/>
      <c r="DE22" s="321"/>
      <c r="ED22" s="149"/>
      <c r="EE22" s="149"/>
      <c r="EF22" s="321"/>
      <c r="EG22" s="321"/>
      <c r="EK22" s="149"/>
      <c r="EL22" s="149"/>
      <c r="EM22" s="321"/>
      <c r="EN22" s="321"/>
    </row>
    <row r="23" spans="1:147" x14ac:dyDescent="0.15">
      <c r="A23" s="430"/>
      <c r="B23" s="117"/>
      <c r="C23" s="71"/>
      <c r="D23" s="71"/>
      <c r="E23" s="430"/>
      <c r="F23" s="53"/>
      <c r="K23" s="431"/>
      <c r="L23" s="431"/>
      <c r="M23" s="431"/>
      <c r="N23" s="431"/>
      <c r="O23" s="431"/>
      <c r="AD23" s="431"/>
      <c r="AE23" s="431"/>
      <c r="AF23" s="431"/>
      <c r="AG23" s="431"/>
      <c r="AH23" s="431"/>
      <c r="AI23" s="503"/>
      <c r="AJ23" s="431"/>
      <c r="AK23" s="431"/>
      <c r="AL23" s="431"/>
      <c r="AM23" s="431"/>
      <c r="AN23" s="431"/>
      <c r="AO23" s="431"/>
      <c r="AP23" s="431"/>
      <c r="AX23" s="149"/>
      <c r="AY23" s="149"/>
      <c r="AZ23" s="511"/>
      <c r="BA23" s="511"/>
      <c r="BZ23" s="149"/>
      <c r="CA23" s="149"/>
      <c r="CB23" s="511"/>
      <c r="CC23" s="511"/>
      <c r="CG23" s="149"/>
      <c r="CH23" s="149"/>
      <c r="CI23" s="511"/>
      <c r="CJ23" s="511"/>
      <c r="CN23" s="149"/>
      <c r="CO23" s="149"/>
      <c r="CP23" s="511"/>
      <c r="CQ23" s="511"/>
      <c r="CU23" s="149"/>
      <c r="CV23" s="149"/>
      <c r="CW23" s="433"/>
      <c r="CX23" s="433"/>
      <c r="DB23" s="149"/>
      <c r="DC23" s="149"/>
      <c r="DD23" s="433"/>
      <c r="DE23" s="433"/>
      <c r="ED23" s="149"/>
      <c r="EE23" s="149"/>
      <c r="EF23" s="433"/>
      <c r="EG23" s="433"/>
      <c r="EK23" s="149"/>
      <c r="EL23" s="149"/>
      <c r="EM23" s="433"/>
      <c r="EN23" s="433"/>
    </row>
    <row r="24" spans="1:147" x14ac:dyDescent="0.15">
      <c r="A24" s="323"/>
      <c r="B24" s="117"/>
      <c r="C24" s="71"/>
      <c r="D24" s="71"/>
      <c r="E24" s="323"/>
      <c r="F24" s="53"/>
      <c r="K24" s="322"/>
      <c r="L24" s="322"/>
      <c r="M24" s="322"/>
      <c r="N24" s="322"/>
      <c r="O24" s="322"/>
      <c r="AD24" s="322"/>
      <c r="AE24" s="322"/>
      <c r="AF24" s="322"/>
      <c r="AG24" s="322"/>
      <c r="AH24" s="322"/>
      <c r="AI24" s="503"/>
      <c r="AJ24" s="322"/>
      <c r="AK24" s="322"/>
      <c r="AL24" s="322"/>
      <c r="AM24" s="322"/>
      <c r="AN24" s="322"/>
      <c r="AO24" s="322"/>
      <c r="AP24" s="322"/>
      <c r="AX24" s="149"/>
      <c r="AY24" s="149"/>
      <c r="AZ24" s="511"/>
      <c r="BA24" s="511"/>
      <c r="BZ24" s="149"/>
      <c r="CA24" s="149"/>
      <c r="CB24" s="511"/>
      <c r="CC24" s="511"/>
      <c r="CG24" s="149"/>
      <c r="CH24" s="149"/>
      <c r="CI24" s="511"/>
      <c r="CJ24" s="511"/>
      <c r="CN24" s="149"/>
      <c r="CO24" s="149"/>
      <c r="CP24" s="511"/>
      <c r="CQ24" s="511"/>
      <c r="CU24" s="149"/>
      <c r="CV24" s="149"/>
      <c r="CW24" s="365"/>
      <c r="CX24" s="365"/>
      <c r="DB24" s="149"/>
      <c r="DC24" s="149"/>
      <c r="DD24" s="321"/>
      <c r="DE24" s="321"/>
      <c r="ED24" s="149"/>
      <c r="EE24" s="149"/>
      <c r="EF24" s="321"/>
      <c r="EG24" s="321"/>
      <c r="EK24" s="149"/>
      <c r="EL24" s="149"/>
      <c r="EM24" s="321"/>
      <c r="EN24" s="321"/>
    </row>
    <row r="25" spans="1:147" x14ac:dyDescent="0.15">
      <c r="B25" s="121" t="s">
        <v>73</v>
      </c>
      <c r="C25" s="271"/>
      <c r="D25" s="271"/>
      <c r="E25" s="271"/>
      <c r="F25" s="71"/>
      <c r="G25" s="80"/>
      <c r="H25" s="118"/>
      <c r="I25" s="158"/>
      <c r="J25" s="158"/>
      <c r="K25" s="127"/>
      <c r="L25" s="127"/>
      <c r="M25" s="127"/>
      <c r="AI25" s="503"/>
      <c r="AX25" s="149"/>
      <c r="AY25" s="149"/>
      <c r="AZ25" s="127"/>
      <c r="BA25" s="127"/>
      <c r="BZ25" s="149"/>
      <c r="CA25" s="149"/>
      <c r="CB25" s="127"/>
      <c r="CC25" s="127"/>
      <c r="CG25" s="149"/>
      <c r="CH25" s="149"/>
      <c r="CI25" s="127"/>
      <c r="CJ25" s="127"/>
      <c r="CN25" s="149"/>
      <c r="CO25" s="149"/>
      <c r="CP25" s="127"/>
      <c r="CQ25" s="127"/>
      <c r="CU25" s="149"/>
      <c r="CV25" s="149"/>
      <c r="CW25" s="127"/>
      <c r="CX25" s="127"/>
      <c r="DB25" s="149"/>
      <c r="DC25" s="149"/>
      <c r="DD25" s="127"/>
      <c r="DE25" s="127"/>
      <c r="ED25" s="149"/>
      <c r="EE25" s="149"/>
      <c r="EF25" s="127"/>
      <c r="EG25" s="127"/>
      <c r="EK25" s="149"/>
      <c r="EL25" s="149"/>
      <c r="EM25" s="127"/>
      <c r="EN25" s="127"/>
    </row>
    <row r="26" spans="1:147" x14ac:dyDescent="0.15">
      <c r="B26" s="106" t="s">
        <v>91</v>
      </c>
      <c r="C26" s="107"/>
      <c r="D26" s="107"/>
      <c r="E26" s="107"/>
      <c r="F26" s="107"/>
      <c r="G26" s="107"/>
      <c r="H26" s="108"/>
      <c r="I26" s="109"/>
      <c r="J26" s="148"/>
      <c r="K26" s="184"/>
      <c r="L26" s="127"/>
      <c r="M26" s="127"/>
      <c r="AI26" s="503"/>
      <c r="AX26" s="149"/>
      <c r="AY26" s="149"/>
      <c r="AZ26" s="127"/>
      <c r="BA26" s="127"/>
      <c r="BZ26" s="149"/>
      <c r="CA26" s="149"/>
      <c r="CB26" s="127"/>
      <c r="CC26" s="127"/>
      <c r="CG26" s="149"/>
      <c r="CH26" s="149"/>
      <c r="CI26" s="127"/>
      <c r="CJ26" s="127"/>
      <c r="CN26" s="149"/>
      <c r="CO26" s="149"/>
      <c r="CP26" s="127"/>
      <c r="CQ26" s="127"/>
      <c r="CU26" s="149"/>
      <c r="CV26" s="149"/>
      <c r="CW26" s="127"/>
      <c r="CX26" s="127"/>
      <c r="DB26" s="149"/>
      <c r="DC26" s="149"/>
      <c r="DD26" s="127"/>
      <c r="DE26" s="127"/>
      <c r="ED26" s="149"/>
      <c r="EE26" s="149"/>
      <c r="EF26" s="127"/>
      <c r="EG26" s="127"/>
      <c r="EK26" s="149"/>
      <c r="EL26" s="149"/>
      <c r="EM26" s="127"/>
      <c r="EN26" s="127"/>
    </row>
    <row r="27" spans="1:147" x14ac:dyDescent="0.15">
      <c r="B27" s="40" t="s">
        <v>62</v>
      </c>
      <c r="G27" s="11"/>
      <c r="H27" s="28"/>
      <c r="I27" s="31"/>
      <c r="K27" s="185"/>
      <c r="AI27" s="503"/>
      <c r="AX27" s="149"/>
      <c r="AY27" s="149"/>
      <c r="AZ27" s="149"/>
      <c r="BA27" s="149"/>
      <c r="BZ27" s="149"/>
      <c r="CA27" s="149"/>
      <c r="CB27" s="149"/>
      <c r="CC27" s="149"/>
      <c r="CG27" s="149"/>
      <c r="CH27" s="149"/>
      <c r="CI27" s="149"/>
      <c r="CJ27" s="149"/>
      <c r="CN27" s="149"/>
      <c r="CO27" s="149"/>
      <c r="CP27" s="149"/>
      <c r="CQ27" s="149"/>
      <c r="CU27" s="149"/>
      <c r="CV27" s="149"/>
      <c r="CW27" s="149"/>
      <c r="CX27" s="149"/>
      <c r="DB27" s="149"/>
      <c r="DC27" s="149"/>
      <c r="DD27" s="149"/>
      <c r="DE27" s="149"/>
      <c r="ED27" s="149"/>
      <c r="EE27" s="149"/>
      <c r="EF27" s="149"/>
      <c r="EG27" s="149"/>
      <c r="EK27" s="149"/>
      <c r="EL27" s="149"/>
      <c r="EM27" s="149"/>
      <c r="EN27" s="149"/>
    </row>
    <row r="28" spans="1:147" x14ac:dyDescent="0.15">
      <c r="B28" s="40" t="s">
        <v>50</v>
      </c>
      <c r="AI28" s="503"/>
    </row>
    <row r="29" spans="1:147" x14ac:dyDescent="0.15">
      <c r="B29" s="40" t="s">
        <v>56</v>
      </c>
      <c r="AI29" s="503"/>
    </row>
  </sheetData>
  <sortState ref="A7:EQ19">
    <sortCondition descending="1" ref="F7:F19"/>
    <sortCondition descending="1" ref="H7:H19"/>
    <sortCondition descending="1" ref="E7:E19"/>
  </sortState>
  <mergeCells count="57">
    <mergeCell ref="DW3:EC3"/>
    <mergeCell ref="ED1:EJ1"/>
    <mergeCell ref="ED2:EJ2"/>
    <mergeCell ref="ED3:EJ3"/>
    <mergeCell ref="EK1:EQ1"/>
    <mergeCell ref="EK2:EQ2"/>
    <mergeCell ref="EK3:EQ3"/>
    <mergeCell ref="DW1:EC1"/>
    <mergeCell ref="DW2:EC2"/>
    <mergeCell ref="AX3:BD3"/>
    <mergeCell ref="CG3:CM3"/>
    <mergeCell ref="BS2:BY2"/>
    <mergeCell ref="AK1:AM1"/>
    <mergeCell ref="BS1:BY1"/>
    <mergeCell ref="BL3:BR3"/>
    <mergeCell ref="BL2:BR2"/>
    <mergeCell ref="BE2:BK2"/>
    <mergeCell ref="AQ3:AW3"/>
    <mergeCell ref="BE1:BK1"/>
    <mergeCell ref="BZ1:CF1"/>
    <mergeCell ref="BE3:BK3"/>
    <mergeCell ref="BZ2:CF2"/>
    <mergeCell ref="CG2:CM2"/>
    <mergeCell ref="BL1:BR1"/>
    <mergeCell ref="CG1:CM1"/>
    <mergeCell ref="AD1:AJ1"/>
    <mergeCell ref="DP1:DV1"/>
    <mergeCell ref="DP2:DV2"/>
    <mergeCell ref="DP3:DV3"/>
    <mergeCell ref="CN1:CT1"/>
    <mergeCell ref="DB2:DH2"/>
    <mergeCell ref="DB1:DH1"/>
    <mergeCell ref="CU1:DA1"/>
    <mergeCell ref="CU2:DA2"/>
    <mergeCell ref="CN2:CT2"/>
    <mergeCell ref="DB3:DH3"/>
    <mergeCell ref="CN3:CT3"/>
    <mergeCell ref="DI2:DO2"/>
    <mergeCell ref="DI1:DO1"/>
    <mergeCell ref="DI3:DO3"/>
    <mergeCell ref="CU3:DA3"/>
    <mergeCell ref="BS3:BY3"/>
    <mergeCell ref="BZ3:CF3"/>
    <mergeCell ref="K2:N2"/>
    <mergeCell ref="AQ1:AW1"/>
    <mergeCell ref="AN2:AP2"/>
    <mergeCell ref="K1:N1"/>
    <mergeCell ref="AX1:BD1"/>
    <mergeCell ref="AK2:AM2"/>
    <mergeCell ref="P1:V1"/>
    <mergeCell ref="W1:AC1"/>
    <mergeCell ref="P2:V2"/>
    <mergeCell ref="AN1:AP1"/>
    <mergeCell ref="W2:AC2"/>
    <mergeCell ref="AX2:BD2"/>
    <mergeCell ref="AQ2:AW2"/>
    <mergeCell ref="AD2:AJ2"/>
  </mergeCells>
  <phoneticPr fontId="0" type="noConversion"/>
  <pageMargins left="0.74803149606299213" right="0.74803149606299213" top="0.98425196850393704" bottom="0.98425196850393704" header="0.51181102362204722" footer="0.51181102362204722"/>
  <pageSetup scale="34" fitToWidth="2" orientation="landscape" r:id="rId1"/>
  <headerFooter alignWithMargins="0">
    <oddHeader>&amp;L&amp;A&amp;R&amp;F</oddHeader>
    <oddFooter>&amp;CPage &amp;P</oddFooter>
  </headerFooter>
  <colBreaks count="4" manualBreakCount="4">
    <brk id="22" max="29" man="1"/>
    <brk id="49" max="29" man="1"/>
    <brk id="77" max="29" man="1"/>
    <brk id="105" max="2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29"/>
  <sheetViews>
    <sheetView view="pageBreakPreview" zoomScale="80" zoomScaleNormal="80" zoomScaleSheetLayoutView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ColWidth="9.1640625" defaultRowHeight="13" x14ac:dyDescent="0.15"/>
  <cols>
    <col min="1" max="1" width="5.6640625" style="11" customWidth="1"/>
    <col min="2" max="2" width="25.6640625" style="13" customWidth="1"/>
    <col min="3" max="4" width="7.6640625" style="11" customWidth="1"/>
    <col min="5" max="6" width="8.6640625" style="11" customWidth="1"/>
    <col min="7" max="7" width="8.6640625" style="28" customWidth="1"/>
    <col min="8" max="10" width="8.6640625" style="31" customWidth="1"/>
    <col min="11" max="15" width="8.6640625" style="11" customWidth="1"/>
    <col min="16" max="23" width="8.6640625" style="424" customWidth="1"/>
    <col min="24" max="33" width="8.6640625" style="4" customWidth="1"/>
    <col min="34" max="45" width="8.6640625" style="406" customWidth="1"/>
    <col min="46" max="49" width="8.6640625" style="351" customWidth="1"/>
    <col min="50" max="53" width="8.6640625" style="230" customWidth="1"/>
    <col min="54" max="77" width="8.6640625" style="4" customWidth="1"/>
    <col min="78" max="16384" width="9.1640625" style="13"/>
  </cols>
  <sheetData>
    <row r="1" spans="1:78" customFormat="1" x14ac:dyDescent="0.15">
      <c r="A1" s="20"/>
      <c r="B1" s="17" t="s">
        <v>19</v>
      </c>
      <c r="C1" s="17"/>
      <c r="D1" s="17"/>
      <c r="E1" s="38"/>
      <c r="F1" s="18"/>
      <c r="G1" s="28"/>
      <c r="H1" s="29"/>
      <c r="I1" s="29"/>
      <c r="J1" s="29"/>
      <c r="K1" s="591" t="s">
        <v>12</v>
      </c>
      <c r="L1" s="592"/>
      <c r="M1" s="592"/>
      <c r="N1" s="593"/>
      <c r="O1" s="4"/>
      <c r="P1" s="575" t="s">
        <v>114</v>
      </c>
      <c r="Q1" s="592"/>
      <c r="R1" s="592"/>
      <c r="S1" s="593"/>
      <c r="T1" s="575" t="s">
        <v>115</v>
      </c>
      <c r="U1" s="592"/>
      <c r="V1" s="592"/>
      <c r="W1" s="593"/>
      <c r="X1" s="575" t="s">
        <v>138</v>
      </c>
      <c r="Y1" s="592"/>
      <c r="Z1" s="592"/>
      <c r="AA1" s="593"/>
      <c r="AB1" s="591" t="s">
        <v>16</v>
      </c>
      <c r="AC1" s="592"/>
      <c r="AD1" s="592"/>
      <c r="AE1" s="591" t="s">
        <v>10</v>
      </c>
      <c r="AF1" s="592"/>
      <c r="AG1" s="592"/>
      <c r="AH1" s="575" t="s">
        <v>92</v>
      </c>
      <c r="AI1" s="590"/>
      <c r="AJ1" s="590"/>
      <c r="AK1" s="579"/>
      <c r="AL1" s="575" t="s">
        <v>107</v>
      </c>
      <c r="AM1" s="590"/>
      <c r="AN1" s="590"/>
      <c r="AO1" s="579"/>
      <c r="AP1" s="575"/>
      <c r="AQ1" s="590"/>
      <c r="AR1" s="590"/>
      <c r="AS1" s="579"/>
      <c r="AT1" s="575"/>
      <c r="AU1" s="590"/>
      <c r="AV1" s="590"/>
      <c r="AW1" s="579"/>
      <c r="AX1" s="575"/>
      <c r="AY1" s="590"/>
      <c r="AZ1" s="590"/>
      <c r="BA1" s="579"/>
      <c r="BB1" s="575"/>
      <c r="BC1" s="590"/>
      <c r="BD1" s="590"/>
      <c r="BE1" s="579"/>
      <c r="BF1" s="575"/>
      <c r="BG1" s="590"/>
      <c r="BH1" s="590"/>
      <c r="BI1" s="579"/>
      <c r="BJ1" s="575"/>
      <c r="BK1" s="590"/>
      <c r="BL1" s="590"/>
      <c r="BM1" s="579"/>
      <c r="BN1" s="575"/>
      <c r="BO1" s="590"/>
      <c r="BP1" s="590"/>
      <c r="BQ1" s="579"/>
      <c r="BR1" s="575"/>
      <c r="BS1" s="590"/>
      <c r="BT1" s="590"/>
      <c r="BU1" s="579"/>
      <c r="BV1" s="575"/>
      <c r="BW1" s="578"/>
      <c r="BX1" s="578"/>
      <c r="BY1" s="579"/>
    </row>
    <row r="2" spans="1:78" customFormat="1" x14ac:dyDescent="0.15">
      <c r="A2" s="1"/>
      <c r="B2" s="18" t="s">
        <v>21</v>
      </c>
      <c r="C2" s="18"/>
      <c r="D2" s="18"/>
      <c r="E2" s="38"/>
      <c r="F2" s="18"/>
      <c r="G2" s="36"/>
      <c r="H2" s="91">
        <v>213</v>
      </c>
      <c r="I2" s="91">
        <v>220.6</v>
      </c>
      <c r="J2" s="91">
        <v>228</v>
      </c>
      <c r="K2" s="591" t="s">
        <v>11</v>
      </c>
      <c r="L2" s="592"/>
      <c r="M2" s="592"/>
      <c r="N2" s="593"/>
      <c r="O2" s="4"/>
      <c r="P2" s="575" t="s">
        <v>100</v>
      </c>
      <c r="Q2" s="592"/>
      <c r="R2" s="592"/>
      <c r="S2" s="593"/>
      <c r="T2" s="575" t="s">
        <v>116</v>
      </c>
      <c r="U2" s="592"/>
      <c r="V2" s="592"/>
      <c r="W2" s="593"/>
      <c r="X2" s="575" t="s">
        <v>139</v>
      </c>
      <c r="Y2" s="592"/>
      <c r="Z2" s="592"/>
      <c r="AA2" s="593"/>
      <c r="AB2" s="591" t="s">
        <v>17</v>
      </c>
      <c r="AC2" s="592"/>
      <c r="AD2" s="592"/>
      <c r="AE2" s="591" t="s">
        <v>11</v>
      </c>
      <c r="AF2" s="592"/>
      <c r="AG2" s="592"/>
      <c r="AH2" s="575" t="s">
        <v>106</v>
      </c>
      <c r="AI2" s="576"/>
      <c r="AJ2" s="576"/>
      <c r="AK2" s="576"/>
      <c r="AL2" s="575" t="s">
        <v>108</v>
      </c>
      <c r="AM2" s="576"/>
      <c r="AN2" s="576"/>
      <c r="AO2" s="576"/>
      <c r="AP2" s="575"/>
      <c r="AQ2" s="576"/>
      <c r="AR2" s="576"/>
      <c r="AS2" s="576"/>
      <c r="AT2" s="575"/>
      <c r="AU2" s="576"/>
      <c r="AV2" s="576"/>
      <c r="AW2" s="576"/>
      <c r="AX2" s="575"/>
      <c r="AY2" s="592"/>
      <c r="AZ2" s="592"/>
      <c r="BA2" s="593"/>
      <c r="BB2" s="575"/>
      <c r="BC2" s="576"/>
      <c r="BD2" s="576"/>
      <c r="BE2" s="576"/>
      <c r="BF2" s="587"/>
      <c r="BG2" s="588"/>
      <c r="BH2" s="588"/>
      <c r="BI2" s="589"/>
      <c r="BJ2" s="575"/>
      <c r="BK2" s="576"/>
      <c r="BL2" s="576"/>
      <c r="BM2" s="576"/>
      <c r="BN2" s="575"/>
      <c r="BO2" s="576"/>
      <c r="BP2" s="576"/>
      <c r="BQ2" s="576"/>
      <c r="BR2" s="575"/>
      <c r="BS2" s="576"/>
      <c r="BT2" s="576"/>
      <c r="BU2" s="576"/>
      <c r="BV2" s="575"/>
      <c r="BW2" s="576"/>
      <c r="BX2" s="576"/>
      <c r="BY2" s="577"/>
    </row>
    <row r="3" spans="1:78" customFormat="1" x14ac:dyDescent="0.15">
      <c r="A3" s="1"/>
      <c r="B3" s="17" t="s">
        <v>35</v>
      </c>
      <c r="C3" s="17"/>
      <c r="D3" s="17"/>
      <c r="E3" s="38"/>
      <c r="F3" s="18"/>
      <c r="G3" s="36"/>
      <c r="H3" s="30"/>
      <c r="I3" s="30"/>
      <c r="J3" s="30"/>
      <c r="K3" s="10"/>
      <c r="L3" s="11"/>
      <c r="M3" s="11"/>
      <c r="N3" s="12"/>
      <c r="O3" s="1"/>
      <c r="P3" s="58">
        <v>81.599999999999994</v>
      </c>
      <c r="Q3" s="30">
        <v>83.5</v>
      </c>
      <c r="R3" s="33">
        <v>86.3</v>
      </c>
      <c r="S3" s="60">
        <v>89.1</v>
      </c>
      <c r="T3" s="58">
        <v>81.599999999999994</v>
      </c>
      <c r="U3" s="30">
        <v>83.5</v>
      </c>
      <c r="V3" s="33">
        <v>86.3</v>
      </c>
      <c r="W3" s="60">
        <v>89.1</v>
      </c>
      <c r="X3" s="58">
        <v>81.599999999999994</v>
      </c>
      <c r="Y3" s="30">
        <v>83.5</v>
      </c>
      <c r="Z3" s="33">
        <v>86.3</v>
      </c>
      <c r="AA3" s="60">
        <v>89.1</v>
      </c>
      <c r="AB3" s="3"/>
      <c r="AC3" s="4"/>
      <c r="AD3" s="4"/>
      <c r="AE3" s="3"/>
      <c r="AF3" s="4"/>
      <c r="AG3" s="4"/>
      <c r="AH3" s="584"/>
      <c r="AI3" s="585"/>
      <c r="AJ3" s="585"/>
      <c r="AK3" s="586"/>
      <c r="AL3" s="584"/>
      <c r="AM3" s="585"/>
      <c r="AN3" s="585"/>
      <c r="AO3" s="586"/>
      <c r="AP3" s="584"/>
      <c r="AQ3" s="585"/>
      <c r="AR3" s="585"/>
      <c r="AS3" s="586"/>
      <c r="AT3" s="584"/>
      <c r="AU3" s="585"/>
      <c r="AV3" s="585"/>
      <c r="AW3" s="586"/>
      <c r="AX3" s="584"/>
      <c r="AY3" s="585"/>
      <c r="AZ3" s="585"/>
      <c r="BA3" s="586"/>
      <c r="BB3" s="584"/>
      <c r="BC3" s="585"/>
      <c r="BD3" s="585"/>
      <c r="BE3" s="586"/>
      <c r="BF3" s="584"/>
      <c r="BG3" s="585"/>
      <c r="BH3" s="585"/>
      <c r="BI3" s="586"/>
      <c r="BJ3" s="3"/>
      <c r="BK3" s="4"/>
      <c r="BL3" s="4"/>
      <c r="BM3" s="4"/>
      <c r="BN3" s="3"/>
      <c r="BO3" s="4"/>
      <c r="BP3" s="4"/>
      <c r="BQ3" s="4"/>
      <c r="BR3" s="3"/>
      <c r="BS3" s="4"/>
      <c r="BT3" s="4"/>
      <c r="BU3" s="4"/>
      <c r="BV3" s="3"/>
      <c r="BW3" s="4"/>
      <c r="BX3" s="4"/>
      <c r="BY3" s="5"/>
    </row>
    <row r="4" spans="1:78" customFormat="1" x14ac:dyDescent="0.15">
      <c r="A4" s="1"/>
      <c r="B4" s="17" t="s">
        <v>22</v>
      </c>
      <c r="C4" s="17"/>
      <c r="D4" s="24" t="s">
        <v>44</v>
      </c>
      <c r="E4" s="10" t="s">
        <v>8</v>
      </c>
      <c r="F4" s="62" t="s">
        <v>46</v>
      </c>
      <c r="G4" s="28" t="s">
        <v>34</v>
      </c>
      <c r="H4" s="29" t="s">
        <v>9</v>
      </c>
      <c r="I4" s="32" t="s">
        <v>14</v>
      </c>
      <c r="J4" s="60" t="s">
        <v>43</v>
      </c>
      <c r="K4" s="10" t="s">
        <v>4</v>
      </c>
      <c r="L4" s="11" t="s">
        <v>4</v>
      </c>
      <c r="M4" s="11" t="s">
        <v>4</v>
      </c>
      <c r="N4" s="12" t="s">
        <v>4</v>
      </c>
      <c r="O4" s="1" t="s">
        <v>4</v>
      </c>
      <c r="P4" s="59" t="s">
        <v>34</v>
      </c>
      <c r="Q4" s="29" t="s">
        <v>9</v>
      </c>
      <c r="R4" s="32" t="s">
        <v>14</v>
      </c>
      <c r="S4" s="60" t="s">
        <v>43</v>
      </c>
      <c r="T4" s="59" t="s">
        <v>34</v>
      </c>
      <c r="U4" s="29" t="s">
        <v>9</v>
      </c>
      <c r="V4" s="32" t="s">
        <v>14</v>
      </c>
      <c r="W4" s="60" t="s">
        <v>43</v>
      </c>
      <c r="X4" s="59" t="s">
        <v>34</v>
      </c>
      <c r="Y4" s="29" t="s">
        <v>9</v>
      </c>
      <c r="Z4" s="32" t="s">
        <v>14</v>
      </c>
      <c r="AA4" s="60" t="s">
        <v>43</v>
      </c>
      <c r="AB4" s="3" t="s">
        <v>4</v>
      </c>
      <c r="AC4" s="1" t="s">
        <v>4</v>
      </c>
      <c r="AD4" s="4" t="s">
        <v>4</v>
      </c>
      <c r="AE4" s="3" t="s">
        <v>4</v>
      </c>
      <c r="AF4" s="1" t="s">
        <v>4</v>
      </c>
      <c r="AG4" s="4" t="s">
        <v>4</v>
      </c>
      <c r="AH4" s="526"/>
      <c r="AI4" s="527"/>
      <c r="AJ4" s="527"/>
      <c r="AK4" s="527"/>
      <c r="AL4" s="526"/>
      <c r="AM4" s="527"/>
      <c r="AN4" s="527"/>
      <c r="AO4" s="527"/>
      <c r="AP4" s="405"/>
      <c r="AQ4" s="406"/>
      <c r="AR4" s="406"/>
      <c r="AS4" s="406"/>
      <c r="AT4" s="350"/>
      <c r="AU4" s="351"/>
      <c r="AV4" s="351"/>
      <c r="AW4" s="351"/>
      <c r="AX4" s="229"/>
      <c r="AY4" s="230"/>
      <c r="AZ4" s="230"/>
      <c r="BA4" s="230"/>
      <c r="BB4" s="3"/>
      <c r="BC4" s="4"/>
      <c r="BD4" s="4"/>
      <c r="BE4" s="4"/>
      <c r="BF4" s="3"/>
      <c r="BG4" s="4"/>
      <c r="BH4" s="4"/>
      <c r="BI4" s="4"/>
      <c r="BJ4" s="3"/>
      <c r="BK4" s="4"/>
      <c r="BL4" s="4"/>
      <c r="BM4" s="4"/>
      <c r="BN4" s="3"/>
      <c r="BO4" s="4"/>
      <c r="BP4" s="4"/>
      <c r="BQ4" s="5"/>
      <c r="BR4" s="3"/>
      <c r="BS4" s="4"/>
      <c r="BT4" s="4"/>
      <c r="BU4" s="5"/>
      <c r="BV4" s="3"/>
      <c r="BW4" s="4"/>
      <c r="BX4" s="4"/>
      <c r="BY4" s="5"/>
      <c r="BZ4" s="3"/>
    </row>
    <row r="5" spans="1:78" customFormat="1" x14ac:dyDescent="0.15">
      <c r="A5" s="1"/>
      <c r="B5" s="19" t="str">
        <f>+'TRA-M'!$A$1</f>
        <v>JUNE 2016</v>
      </c>
      <c r="C5" s="21" t="s">
        <v>23</v>
      </c>
      <c r="D5" s="21" t="s">
        <v>45</v>
      </c>
      <c r="E5" s="10" t="s">
        <v>7</v>
      </c>
      <c r="F5" s="159">
        <v>13</v>
      </c>
      <c r="G5" s="28" t="s">
        <v>13</v>
      </c>
      <c r="H5" s="29" t="s">
        <v>13</v>
      </c>
      <c r="I5" s="32" t="s">
        <v>13</v>
      </c>
      <c r="J5" s="60" t="s">
        <v>13</v>
      </c>
      <c r="K5" s="10" t="s">
        <v>2</v>
      </c>
      <c r="L5" s="11" t="s">
        <v>5</v>
      </c>
      <c r="M5" s="11" t="s">
        <v>6</v>
      </c>
      <c r="N5" s="12" t="s">
        <v>3</v>
      </c>
      <c r="O5" s="1" t="s">
        <v>15</v>
      </c>
      <c r="P5" s="526" t="s">
        <v>0</v>
      </c>
      <c r="Q5" s="527" t="s">
        <v>1</v>
      </c>
      <c r="R5" s="527" t="s">
        <v>2</v>
      </c>
      <c r="S5" s="528" t="s">
        <v>3</v>
      </c>
      <c r="T5" s="526" t="s">
        <v>0</v>
      </c>
      <c r="U5" s="527" t="s">
        <v>1</v>
      </c>
      <c r="V5" s="527" t="s">
        <v>2</v>
      </c>
      <c r="W5" s="528" t="s">
        <v>3</v>
      </c>
      <c r="X5" s="3" t="s">
        <v>0</v>
      </c>
      <c r="Y5" s="4" t="s">
        <v>1</v>
      </c>
      <c r="Z5" s="4" t="s">
        <v>2</v>
      </c>
      <c r="AA5" s="5" t="s">
        <v>3</v>
      </c>
      <c r="AB5" s="3" t="s">
        <v>0</v>
      </c>
      <c r="AC5" s="1" t="s">
        <v>6</v>
      </c>
      <c r="AD5" s="4" t="s">
        <v>3</v>
      </c>
      <c r="AE5" s="3" t="s">
        <v>0</v>
      </c>
      <c r="AF5" s="1" t="s">
        <v>6</v>
      </c>
      <c r="AG5" s="4" t="s">
        <v>3</v>
      </c>
      <c r="AH5" s="526" t="s">
        <v>0</v>
      </c>
      <c r="AI5" s="527" t="s">
        <v>1</v>
      </c>
      <c r="AJ5" s="519" t="s">
        <v>2</v>
      </c>
      <c r="AK5" s="527" t="s">
        <v>3</v>
      </c>
      <c r="AL5" s="526" t="s">
        <v>0</v>
      </c>
      <c r="AM5" s="527" t="s">
        <v>1</v>
      </c>
      <c r="AN5" s="519" t="s">
        <v>2</v>
      </c>
      <c r="AO5" s="527" t="s">
        <v>3</v>
      </c>
      <c r="AP5" s="405" t="s">
        <v>0</v>
      </c>
      <c r="AQ5" s="406" t="s">
        <v>1</v>
      </c>
      <c r="AR5" s="401" t="s">
        <v>2</v>
      </c>
      <c r="AS5" s="406" t="s">
        <v>3</v>
      </c>
      <c r="AT5" s="350" t="s">
        <v>0</v>
      </c>
      <c r="AU5" s="351" t="s">
        <v>1</v>
      </c>
      <c r="AV5" s="346" t="s">
        <v>2</v>
      </c>
      <c r="AW5" s="351" t="s">
        <v>3</v>
      </c>
      <c r="AX5" s="229" t="s">
        <v>0</v>
      </c>
      <c r="AY5" s="230" t="s">
        <v>1</v>
      </c>
      <c r="AZ5" s="224" t="s">
        <v>2</v>
      </c>
      <c r="BA5" s="230" t="s">
        <v>3</v>
      </c>
      <c r="BB5" s="3" t="s">
        <v>0</v>
      </c>
      <c r="BC5" s="4" t="s">
        <v>1</v>
      </c>
      <c r="BD5" s="8" t="s">
        <v>2</v>
      </c>
      <c r="BE5" s="4" t="s">
        <v>3</v>
      </c>
      <c r="BF5" s="3" t="s">
        <v>0</v>
      </c>
      <c r="BG5" s="4" t="s">
        <v>1</v>
      </c>
      <c r="BH5" s="8" t="s">
        <v>2</v>
      </c>
      <c r="BI5" s="4" t="s">
        <v>3</v>
      </c>
      <c r="BJ5" s="3" t="s">
        <v>0</v>
      </c>
      <c r="BK5" s="4" t="s">
        <v>1</v>
      </c>
      <c r="BL5" s="8" t="s">
        <v>2</v>
      </c>
      <c r="BM5" s="4" t="s">
        <v>3</v>
      </c>
      <c r="BN5" s="3" t="s">
        <v>0</v>
      </c>
      <c r="BO5" s="4" t="s">
        <v>1</v>
      </c>
      <c r="BP5" s="8" t="s">
        <v>2</v>
      </c>
      <c r="BQ5" s="5" t="s">
        <v>3</v>
      </c>
      <c r="BR5" s="3" t="s">
        <v>0</v>
      </c>
      <c r="BS5" s="4" t="s">
        <v>1</v>
      </c>
      <c r="BT5" s="8" t="s">
        <v>2</v>
      </c>
      <c r="BU5" s="5" t="s">
        <v>3</v>
      </c>
      <c r="BV5" s="3" t="s">
        <v>0</v>
      </c>
      <c r="BW5" s="4" t="s">
        <v>1</v>
      </c>
      <c r="BX5" s="8" t="s">
        <v>2</v>
      </c>
      <c r="BY5" s="5" t="s">
        <v>3</v>
      </c>
      <c r="BZ5" s="3"/>
    </row>
    <row r="6" spans="1:78" customFormat="1" x14ac:dyDescent="0.15">
      <c r="A6" s="1"/>
      <c r="C6" s="1"/>
      <c r="D6" s="1"/>
      <c r="E6" s="10"/>
      <c r="F6" s="11"/>
      <c r="G6" s="28"/>
      <c r="H6" s="29"/>
      <c r="I6" s="29"/>
      <c r="J6" s="29"/>
      <c r="K6" s="10"/>
      <c r="L6" s="11"/>
      <c r="M6" s="11"/>
      <c r="N6" s="12"/>
      <c r="O6" s="1"/>
      <c r="P6" s="526"/>
      <c r="Q6" s="527"/>
      <c r="R6" s="527"/>
      <c r="S6" s="528"/>
      <c r="T6" s="526"/>
      <c r="U6" s="527"/>
      <c r="V6" s="527"/>
      <c r="W6" s="528"/>
      <c r="X6" s="3"/>
      <c r="Y6" s="4"/>
      <c r="Z6" s="4"/>
      <c r="AA6" s="5"/>
      <c r="AB6" s="4"/>
      <c r="AC6" s="4"/>
      <c r="AD6" s="4"/>
      <c r="AE6" s="3"/>
      <c r="AF6" s="4"/>
      <c r="AG6" s="4"/>
      <c r="AH6" s="526"/>
      <c r="AI6" s="527"/>
      <c r="AJ6" s="519"/>
      <c r="AK6" s="527"/>
      <c r="AL6" s="526"/>
      <c r="AM6" s="527"/>
      <c r="AN6" s="519"/>
      <c r="AO6" s="527"/>
      <c r="AP6" s="405"/>
      <c r="AQ6" s="406"/>
      <c r="AR6" s="401"/>
      <c r="AS6" s="406"/>
      <c r="AT6" s="350"/>
      <c r="AU6" s="351"/>
      <c r="AV6" s="346"/>
      <c r="AW6" s="351"/>
      <c r="AX6" s="229"/>
      <c r="AY6" s="230"/>
      <c r="AZ6" s="224"/>
      <c r="BA6" s="230"/>
      <c r="BB6" s="3"/>
      <c r="BC6" s="4"/>
      <c r="BD6" s="8"/>
      <c r="BE6" s="4"/>
      <c r="BF6" s="3"/>
      <c r="BG6" s="4"/>
      <c r="BH6" s="8"/>
      <c r="BI6" s="4"/>
      <c r="BJ6" s="3"/>
      <c r="BK6" s="4"/>
      <c r="BL6" s="8"/>
      <c r="BM6" s="4"/>
      <c r="BN6" s="3"/>
      <c r="BO6" s="4"/>
      <c r="BP6" s="8"/>
      <c r="BQ6" s="5"/>
      <c r="BR6" s="3"/>
      <c r="BS6" s="4"/>
      <c r="BT6" s="8"/>
      <c r="BU6" s="5"/>
      <c r="BV6" s="3"/>
      <c r="BW6" s="4"/>
      <c r="BX6" s="8"/>
      <c r="BY6" s="5"/>
      <c r="BZ6" s="3"/>
    </row>
    <row r="7" spans="1:78" customFormat="1" x14ac:dyDescent="0.15">
      <c r="A7" s="105"/>
      <c r="B7" s="79" t="s">
        <v>145</v>
      </c>
      <c r="C7" s="123" t="s">
        <v>27</v>
      </c>
      <c r="D7" s="11">
        <v>2007</v>
      </c>
      <c r="E7" s="22">
        <f>IF(O7="",SUM(K7:N7),SUM(K7:O7))</f>
        <v>204</v>
      </c>
      <c r="F7" s="111" t="s">
        <v>49</v>
      </c>
      <c r="G7" s="27" t="str">
        <f>IF('TRA-M'!$A$2-D7&lt;=1,IF(R7&gt;=$P$3,"YES",IF(V7&gt;=$T$3,"YES",IF(Z7&gt;=$X$3,"YES",""))),"")</f>
        <v/>
      </c>
      <c r="H7" s="7" t="str">
        <f>IF(R7&gt;=$Q$3,"YES",IF(V7&gt;=$U$3,"YES",IF(Z7&gt;=$Y$3,"YES","")))</f>
        <v/>
      </c>
      <c r="I7" s="34" t="str">
        <f>IF(R7&gt;=$R$3,"YES",IF(V7&gt;=$V$3,"YES",IF(Z7&gt;=$Z$3,"YES","")))</f>
        <v/>
      </c>
      <c r="J7" s="52" t="str">
        <f>IF(R7&gt;=$S$3,"YES",IF(V7&gt;=$W$3,"YES",IF(Z7&gt;=$AA$3,"YES","")))</f>
        <v/>
      </c>
      <c r="K7" s="3">
        <f>MAX($Z7,$V7,$R7)</f>
        <v>73.099999999999994</v>
      </c>
      <c r="L7" s="4">
        <f>IF($K7=$Z7,MAX($T7,$P7),IF($K7=$V7,MAX($X7,$P7),MAX($X7,$T7)))</f>
        <v>38.700000000000003</v>
      </c>
      <c r="M7" s="4">
        <f>IF($K7=$Z7,MAX($U7,$Q7),IF($K7=$V7,MAX($Y7,$Q7),MAX($Y7,$U7)))</f>
        <v>28.2</v>
      </c>
      <c r="N7" s="5">
        <f>MAX($AA7,$W7,$S7)</f>
        <v>46.8</v>
      </c>
      <c r="O7" s="2">
        <f>IF(MAX(AB7:AD7)&lt;=0,"",MAX(AB7:AD7))</f>
        <v>17.2</v>
      </c>
      <c r="P7" s="522"/>
      <c r="Q7" s="523"/>
      <c r="R7" s="64">
        <f>+P7+Q7</f>
        <v>0</v>
      </c>
      <c r="S7" s="524"/>
      <c r="T7" s="522">
        <v>39.4</v>
      </c>
      <c r="U7" s="104">
        <v>33.700000000000003</v>
      </c>
      <c r="V7" s="64">
        <f>+T7+U7</f>
        <v>73.099999999999994</v>
      </c>
      <c r="W7" s="524"/>
      <c r="X7" s="522">
        <v>38.700000000000003</v>
      </c>
      <c r="Y7" s="104">
        <v>28.2</v>
      </c>
      <c r="Z7" s="64">
        <f>+X7+Y7</f>
        <v>66.900000000000006</v>
      </c>
      <c r="AA7" s="258">
        <v>46.8</v>
      </c>
      <c r="AB7" s="14">
        <f t="shared" ref="AB7:AD10" si="0">IF(AE7="","",AE7-L7)</f>
        <v>0.79999999999999716</v>
      </c>
      <c r="AC7" s="14">
        <f t="shared" si="0"/>
        <v>17.2</v>
      </c>
      <c r="AD7" s="14" t="str">
        <f t="shared" si="0"/>
        <v/>
      </c>
      <c r="AE7" s="3">
        <f>IF(MAX($AH7,$AL7,$AP7,$AT7,$AX7,$BB7,$BF7,$BJ7,$BN7,$BR7,$BV7)=0,"",MAX($AH7,$AL7,$AP7,$AT7,$AX7,$BB7,$BF7,$BJ7,$BN7,$BR7,$BV7))</f>
        <v>39.5</v>
      </c>
      <c r="AF7" s="4">
        <f>IF(MAX($AI7,$AM7,$AQ7,$AU7,$AY7,$BC7,$BG7,$BK7,$BO7,$BS7,$BW7)=0,"",MAX($AI7,$AM7,$AQ7,$AU7,$AY7,$BC7,$BG7,$BK7,$BO7,$BS7,$BW7))</f>
        <v>45.4</v>
      </c>
      <c r="AG7" s="4" t="str">
        <f>IF(MAX($AK7,$AO7,$AS7,$AW7,$BA7,$BE7,$BI7,$BM7,$BQ7,$BU7,$BY7)=0,"",MAX($AK7,$AO7,$AS7,$AW7,$BA7,$BE7,$BI7,$BM7,$BQ7,$BU7,$BY7))</f>
        <v/>
      </c>
      <c r="AH7" s="522">
        <v>39.5</v>
      </c>
      <c r="AI7" s="104">
        <v>23.7</v>
      </c>
      <c r="AJ7" s="77">
        <f>IF(AI7&lt;&gt;"",AH7+AI7,"")</f>
        <v>63.2</v>
      </c>
      <c r="AK7" s="523"/>
      <c r="AL7" s="522">
        <v>39.299999999999997</v>
      </c>
      <c r="AM7" s="163">
        <v>45.4</v>
      </c>
      <c r="AN7" s="77">
        <f>IF(AM7&lt;&gt;"",AL7+AM7,"")</f>
        <v>84.699999999999989</v>
      </c>
      <c r="AO7" s="523"/>
      <c r="AP7" s="446"/>
      <c r="AQ7" s="163"/>
      <c r="AR7" s="77" t="str">
        <f>IF(AQ7&lt;&gt;"",AP7+AQ7,"")</f>
        <v/>
      </c>
      <c r="AS7" s="447"/>
      <c r="AT7" s="446"/>
      <c r="AU7" s="447"/>
      <c r="AV7" s="77" t="str">
        <f>IF(AU7&lt;&gt;"",AT7+AU7,"")</f>
        <v/>
      </c>
      <c r="AW7" s="447"/>
      <c r="AX7" s="353"/>
      <c r="AY7" s="382"/>
      <c r="AZ7" s="77" t="str">
        <f>IF(AY7&lt;&gt;"",AX7+AY7,"")</f>
        <v/>
      </c>
      <c r="BA7" s="354"/>
      <c r="BB7" s="353"/>
      <c r="BC7" s="354"/>
      <c r="BD7" s="77" t="str">
        <f>IF(BC7&lt;&gt;"",BB7+BC7,"")</f>
        <v/>
      </c>
      <c r="BE7" s="354"/>
      <c r="BF7" s="45"/>
      <c r="BG7" s="222"/>
      <c r="BH7" s="77" t="str">
        <f>IF(BG7&lt;&gt;"",BF7+BG7,"")</f>
        <v/>
      </c>
      <c r="BI7" s="46"/>
      <c r="BJ7" s="45"/>
      <c r="BK7" s="46"/>
      <c r="BL7" s="77" t="str">
        <f>IF(BK7&lt;&gt;"",BJ7+BK7,"")</f>
        <v/>
      </c>
      <c r="BM7" s="46"/>
      <c r="BN7" s="45"/>
      <c r="BO7" s="46"/>
      <c r="BP7" s="77" t="str">
        <f>IF(BO7&lt;&gt;"",BN7+BO7,"")</f>
        <v/>
      </c>
      <c r="BQ7" s="47"/>
      <c r="BR7" s="3"/>
      <c r="BS7" s="424"/>
      <c r="BT7" s="76" t="str">
        <f>IF(BS7&lt;&gt;"",BR7+BS7,"")</f>
        <v/>
      </c>
      <c r="BU7" s="47"/>
      <c r="BV7" s="3"/>
      <c r="BW7" s="424"/>
      <c r="BX7" s="76" t="str">
        <f>IF(BW7&lt;&gt;"",BV7+BW7,"")</f>
        <v/>
      </c>
      <c r="BY7" s="47"/>
      <c r="BZ7" s="3"/>
    </row>
    <row r="8" spans="1:78" x14ac:dyDescent="0.15">
      <c r="A8" s="521"/>
      <c r="B8" s="79" t="s">
        <v>131</v>
      </c>
      <c r="C8" s="123" t="s">
        <v>25</v>
      </c>
      <c r="D8" s="11">
        <v>2016</v>
      </c>
      <c r="E8" s="22">
        <f>IF(O8="",SUM(K8:N8),SUM(K8:O8))</f>
        <v>200.1</v>
      </c>
      <c r="F8" s="111"/>
      <c r="G8" s="27" t="str">
        <f>IF('TRA-M'!$A$2-D8&lt;=1,IF(R8&gt;=$P$3,"YES",IF(V8&gt;=$T$3,"YES",IF(Z8&gt;=$X$3,"YES",""))),"")</f>
        <v/>
      </c>
      <c r="H8" s="7" t="str">
        <f>IF(R8&gt;=$Q$3,"YES",IF(V8&gt;=$U$3,"YES",IF(Z8&gt;=$Y$3,"YES","")))</f>
        <v/>
      </c>
      <c r="I8" s="34" t="str">
        <f>IF(R8&gt;=$R$3,"YES",IF(V8&gt;=$V$3,"YES",IF(Z8&gt;=$Z$3,"YES","")))</f>
        <v/>
      </c>
      <c r="J8" s="52" t="str">
        <f>IF(R8&gt;=$S$3,"YES",IF(V8&gt;=$W$3,"YES",IF(Z8&gt;=$AA$3,"YES","")))</f>
        <v/>
      </c>
      <c r="K8" s="3">
        <f>MAX($Z8,$V8,$R8)</f>
        <v>81.199999999999989</v>
      </c>
      <c r="L8" s="4">
        <f>IF($K8=$Z8,MAX($T8,$P8),IF($K8=$V8,MAX($X8,$P8),MAX($X8,$T8)))</f>
        <v>33.299999999999997</v>
      </c>
      <c r="M8" s="4">
        <f>IF($K8=$Z8,MAX($U8,$Q8),IF($K8=$V8,MAX($Y8,$Q8),MAX($Y8,$U8)))</f>
        <v>41.6</v>
      </c>
      <c r="N8" s="5">
        <f>MAX($AA8,$W8,$S8)</f>
        <v>44</v>
      </c>
      <c r="O8" s="2" t="str">
        <f>IF(MAX(AB8:AD8)&lt;=0,"",MAX(AB8:AD8))</f>
        <v/>
      </c>
      <c r="P8" s="522"/>
      <c r="Q8" s="523"/>
      <c r="R8" s="64">
        <f>+P8+Q8</f>
        <v>0</v>
      </c>
      <c r="S8" s="524"/>
      <c r="T8" s="522">
        <v>36.9</v>
      </c>
      <c r="U8" s="523">
        <v>44.3</v>
      </c>
      <c r="V8" s="64">
        <f>+T8+U8</f>
        <v>81.199999999999989</v>
      </c>
      <c r="W8" s="524"/>
      <c r="X8" s="522">
        <v>33.299999999999997</v>
      </c>
      <c r="Y8" s="523">
        <v>41.6</v>
      </c>
      <c r="Z8" s="64">
        <f>+X8+Y8</f>
        <v>74.900000000000006</v>
      </c>
      <c r="AA8" s="448">
        <v>44</v>
      </c>
      <c r="AB8" s="42" t="str">
        <f t="shared" si="0"/>
        <v/>
      </c>
      <c r="AC8" s="14" t="str">
        <f t="shared" si="0"/>
        <v/>
      </c>
      <c r="AD8" s="14" t="str">
        <f t="shared" si="0"/>
        <v/>
      </c>
      <c r="AE8" s="3" t="str">
        <f>IF(MAX($AH8,$AL8,$AP8,$AT8,$AX8,$BB8,$BF8,$BJ8,$BN8,$BR8,$BV8)=0,"",MAX($AH8,$AL8,$AP8,$AT8,$AX8,$BB8,$BF8,$BJ8,$BN8,$BR8,$BV8))</f>
        <v/>
      </c>
      <c r="AF8" s="4" t="str">
        <f>IF(MAX($AI8,$AM8,$AQ8,$AU8,$AY8,$BC8,$BG8,$BK8,$BO8,$BS8,$BW8)=0,"",MAX($AI8,$AM8,$AQ8,$AU8,$AY8,$BC8,$BG8,$BK8,$BO8,$BS8,$BW8))</f>
        <v/>
      </c>
      <c r="AG8" s="4" t="str">
        <f>IF(MAX($AK8,$AO8,$AS8,$AW8,$BA8,$BE8,$BI8,$BM8,$BQ8,$BU8,$BY8)=0,"",MAX($AK8,$AO8,$AS8,$AW8,$BA8,$BE8,$BI8,$BM8,$BQ8,$BU8,$BY8))</f>
        <v/>
      </c>
      <c r="AH8" s="522"/>
      <c r="AI8" s="523"/>
      <c r="AJ8" s="77" t="str">
        <f>IF(AI8&lt;&gt;"",AH8+AI8,"")</f>
        <v/>
      </c>
      <c r="AK8" s="523"/>
      <c r="AL8" s="522"/>
      <c r="AM8" s="523"/>
      <c r="AN8" s="77" t="str">
        <f>IF(AM8&lt;&gt;"",AL8+AM8,"")</f>
        <v/>
      </c>
      <c r="AO8" s="523"/>
      <c r="AP8" s="402"/>
      <c r="AQ8" s="420"/>
      <c r="AR8" s="77" t="str">
        <f>IF(AQ8&lt;&gt;"",AP8+AQ8,"")</f>
        <v/>
      </c>
      <c r="AS8" s="403"/>
      <c r="AT8" s="45"/>
      <c r="AU8" s="426"/>
      <c r="AV8" s="77" t="str">
        <f>IF(AU8&lt;&gt;"",AT8+AU8,"")</f>
        <v/>
      </c>
      <c r="AW8" s="356"/>
      <c r="AX8" s="353"/>
      <c r="AY8" s="403"/>
      <c r="AZ8" s="77" t="str">
        <f>IF(AY8&lt;&gt;"",AX8+AY8,"")</f>
        <v/>
      </c>
      <c r="BA8" s="354"/>
      <c r="BB8" s="353"/>
      <c r="BC8" s="354"/>
      <c r="BD8" s="77" t="str">
        <f>IF(BC8&lt;&gt;"",BB8+BC8,"")</f>
        <v/>
      </c>
      <c r="BE8" s="354"/>
      <c r="BF8" s="45"/>
      <c r="BG8" s="222"/>
      <c r="BH8" s="77" t="str">
        <f>IF(BG8&lt;&gt;"",BF8+BG8,"")</f>
        <v/>
      </c>
      <c r="BI8" s="46"/>
      <c r="BJ8" s="45"/>
      <c r="BK8" s="46"/>
      <c r="BL8" s="77" t="str">
        <f>IF(BK8&lt;&gt;"",BJ8+BK8,"")</f>
        <v/>
      </c>
      <c r="BM8" s="46"/>
      <c r="BN8" s="45"/>
      <c r="BO8" s="46"/>
      <c r="BP8" s="77" t="str">
        <f>IF(BO8&lt;&gt;"",BN8+BO8,"")</f>
        <v/>
      </c>
      <c r="BQ8" s="47"/>
      <c r="BR8" s="3"/>
      <c r="BS8" s="426"/>
      <c r="BT8" s="76" t="str">
        <f>IF(BS8&lt;&gt;"",BR8+BS8,"")</f>
        <v/>
      </c>
      <c r="BU8" s="47"/>
      <c r="BV8" s="3"/>
      <c r="BW8" s="426"/>
      <c r="BX8" s="76" t="str">
        <f>IF(BW8&lt;&gt;"",BV8+BW8,"")</f>
        <v/>
      </c>
      <c r="BY8" s="47"/>
      <c r="BZ8" s="3"/>
    </row>
    <row r="9" spans="1:78" x14ac:dyDescent="0.15">
      <c r="A9" s="105"/>
      <c r="B9" s="79" t="s">
        <v>146</v>
      </c>
      <c r="C9" s="123" t="s">
        <v>26</v>
      </c>
      <c r="D9" s="282">
        <v>2011</v>
      </c>
      <c r="E9" s="22">
        <f>IF(O9="",SUM(K9:N9),SUM(K9:O9))</f>
        <v>100.4</v>
      </c>
      <c r="F9" s="161"/>
      <c r="G9" s="27" t="str">
        <f>IF('TRA-M'!$A$2-D9&lt;=1,IF(R9&gt;=$P$3,"YES",IF(V9&gt;=$T$3,"YES",IF(Z9&gt;=$X$3,"YES",""))),"")</f>
        <v/>
      </c>
      <c r="H9" s="7" t="str">
        <f>IF(R9&gt;=$Q$3,"YES",IF(V9&gt;=$U$3,"YES",IF(Z9&gt;=$Y$3,"YES","")))</f>
        <v/>
      </c>
      <c r="I9" s="34" t="str">
        <f>IF(R9&gt;=$R$3,"YES",IF(V9&gt;=$V$3,"YES",IF(Z9&gt;=$Z$3,"YES","")))</f>
        <v/>
      </c>
      <c r="J9" s="52" t="str">
        <f>IF(R9&gt;=$S$3,"YES",IF(V9&gt;=$W$3,"YES",IF(Z9&gt;=$AA$3,"YES","")))</f>
        <v/>
      </c>
      <c r="K9" s="285">
        <f>MAX($Z9,$V9,$R9)</f>
        <v>55.2</v>
      </c>
      <c r="L9" s="286">
        <f>IF($K9=$Z9,MAX($T9,$P9),IF($K9=$V9,MAX($X9,$P9),MAX($X9,$T9)))</f>
        <v>39.799999999999997</v>
      </c>
      <c r="M9" s="286">
        <f>IF($K9=$Z9,MAX($U9,$Q9),IF($K9=$V9,MAX($Y9,$Q9),MAX($Y9,$U9)))</f>
        <v>5.4</v>
      </c>
      <c r="N9" s="287">
        <f>MAX($AA9,$W9,$S9)</f>
        <v>0</v>
      </c>
      <c r="O9" s="2" t="str">
        <f>IF(MAX(AB9:AD9)&lt;=0,"",MAX(AB9:AD9))</f>
        <v/>
      </c>
      <c r="P9" s="522"/>
      <c r="Q9" s="523"/>
      <c r="R9" s="64">
        <f>+P9+Q9</f>
        <v>0</v>
      </c>
      <c r="S9" s="524"/>
      <c r="T9" s="522">
        <v>39.799999999999997</v>
      </c>
      <c r="U9" s="104">
        <v>5.4</v>
      </c>
      <c r="V9" s="64">
        <f>+T9+U9</f>
        <v>45.199999999999996</v>
      </c>
      <c r="W9" s="524"/>
      <c r="X9" s="522">
        <v>37.6</v>
      </c>
      <c r="Y9" s="104">
        <v>17.600000000000001</v>
      </c>
      <c r="Z9" s="64">
        <f>+X9+Y9</f>
        <v>55.2</v>
      </c>
      <c r="AA9" s="448"/>
      <c r="AB9" s="42" t="str">
        <f t="shared" si="0"/>
        <v/>
      </c>
      <c r="AC9" s="14" t="str">
        <f t="shared" si="0"/>
        <v/>
      </c>
      <c r="AD9" s="14" t="str">
        <f t="shared" si="0"/>
        <v/>
      </c>
      <c r="AE9" s="285" t="str">
        <f>IF(MAX($AH9,$AL9,$AP9,$AT9,$AX9,$BB9,$BF9,$BJ9,$BN9,$BR9,$BV9)=0,"",MAX($AH9,$AL9,$AP9,$AT9,$AX9,$BB9,$BF9,$BJ9,$BN9,$BR9,$BV9))</f>
        <v/>
      </c>
      <c r="AF9" s="286" t="str">
        <f>IF(MAX($AI9,$AM9,$AQ9,$AU9,$AY9,$BC9,$BG9,$BK9,$BO9,$BS9,$BW9)=0,"",MAX($AI9,$AM9,$AQ9,$AU9,$AY9,$BC9,$BG9,$BK9,$BO9,$BS9,$BW9))</f>
        <v/>
      </c>
      <c r="AG9" s="286" t="str">
        <f>IF(MAX($AK9,$AO9,$AS9,$AW9,$BA9,$BE9,$BI9,$BM9,$BQ9,$BU9,$BY9)=0,"",MAX($AK9,$AO9,$AS9,$AW9,$BA9,$BE9,$BI9,$BM9,$BQ9,$BU9,$BY9))</f>
        <v/>
      </c>
      <c r="AH9" s="522"/>
      <c r="AI9" s="523"/>
      <c r="AJ9" s="77" t="str">
        <f>IF(AI9&lt;&gt;"",AH9+AI9,"")</f>
        <v/>
      </c>
      <c r="AK9" s="523"/>
      <c r="AL9" s="522"/>
      <c r="AM9" s="523"/>
      <c r="AN9" s="77" t="str">
        <f>IF(AM9&lt;&gt;"",AL9+AM9,"")</f>
        <v/>
      </c>
      <c r="AO9" s="523"/>
      <c r="AP9" s="402"/>
      <c r="AQ9" s="403"/>
      <c r="AR9" s="77" t="str">
        <f>IF(AQ9&lt;&gt;"",AP9+AQ9,"")</f>
        <v/>
      </c>
      <c r="AS9" s="403"/>
      <c r="AT9" s="45"/>
      <c r="AU9" s="356"/>
      <c r="AV9" s="77" t="str">
        <f>IF(AU9&lt;&gt;"",AT9+AU9,"")</f>
        <v/>
      </c>
      <c r="AW9" s="356"/>
      <c r="AX9" s="353"/>
      <c r="AY9" s="354"/>
      <c r="AZ9" s="77" t="str">
        <f>IF(AY9&lt;&gt;"",AX9+AY9,"")</f>
        <v/>
      </c>
      <c r="BA9" s="354"/>
      <c r="BB9" s="353"/>
      <c r="BC9" s="354"/>
      <c r="BD9" s="77" t="str">
        <f>IF(BC9&lt;&gt;"",BB9+BC9,"")</f>
        <v/>
      </c>
      <c r="BE9" s="354"/>
      <c r="BF9" s="45"/>
      <c r="BG9" s="288"/>
      <c r="BH9" s="77" t="str">
        <f>IF(BG9&lt;&gt;"",BF9+BG9,"")</f>
        <v/>
      </c>
      <c r="BI9" s="288"/>
      <c r="BJ9" s="45"/>
      <c r="BK9" s="288"/>
      <c r="BL9" s="77" t="str">
        <f>IF(BK9&lt;&gt;"",BJ9+BK9,"")</f>
        <v/>
      </c>
      <c r="BM9" s="288"/>
      <c r="BN9" s="45"/>
      <c r="BO9" s="288"/>
      <c r="BP9" s="77" t="str">
        <f>IF(BO9&lt;&gt;"",BN9+BO9,"")</f>
        <v/>
      </c>
      <c r="BQ9" s="289"/>
      <c r="BR9" s="285"/>
      <c r="BS9" s="288"/>
      <c r="BT9" s="76" t="str">
        <f>IF(BS9&lt;&gt;"",BR9+BS9,"")</f>
        <v/>
      </c>
      <c r="BU9" s="289"/>
      <c r="BV9" s="285"/>
      <c r="BW9" s="288"/>
      <c r="BX9" s="76" t="str">
        <f>IF(BW9&lt;&gt;"",BV9+BW9,"")</f>
        <v/>
      </c>
      <c r="BY9" s="289"/>
      <c r="BZ9" s="285"/>
    </row>
    <row r="10" spans="1:78" x14ac:dyDescent="0.15">
      <c r="A10" s="105">
        <v>1</v>
      </c>
      <c r="B10" s="79" t="s">
        <v>144</v>
      </c>
      <c r="C10" s="123" t="s">
        <v>25</v>
      </c>
      <c r="D10" s="290">
        <v>2016</v>
      </c>
      <c r="E10" s="22">
        <f>IF(O10="",SUM(K10:N10),SUM(K10:O10))</f>
        <v>126.9</v>
      </c>
      <c r="F10" s="111"/>
      <c r="G10" s="27" t="str">
        <f>IF('TRA-M'!$A$2-D10&lt;=1,IF(R10&gt;=$P$3,"YES",IF(V10&gt;=$T$3,"YES",IF(Z10&gt;=$X$3,"YES",""))),"")</f>
        <v>YES</v>
      </c>
      <c r="H10" s="7" t="str">
        <f>IF(R10&gt;=$Q$3,"YES",IF(V10&gt;=$U$3,"YES",IF(Z10&gt;=$Y$3,"YES","")))</f>
        <v/>
      </c>
      <c r="I10" s="34" t="str">
        <f>IF(R10&gt;=$R$3,"YES",IF(V10&gt;=$V$3,"YES",IF(Z10&gt;=$Z$3,"YES","")))</f>
        <v/>
      </c>
      <c r="J10" s="52" t="str">
        <f>IF(R10&gt;=$S$3,"YES",IF(V10&gt;=$W$3,"YES",IF(Z10&gt;=$AA$3,"YES","")))</f>
        <v/>
      </c>
      <c r="K10" s="291">
        <f>MAX($Z10,$V10,$R10)</f>
        <v>82.5</v>
      </c>
      <c r="L10" s="292">
        <f>IF($K10=$Z10,MAX($T10,$P10),IF($K10=$V10,MAX($X10,$P10),MAX($X10,$T10)))</f>
        <v>0</v>
      </c>
      <c r="M10" s="292">
        <f>IF($K10=$Z10,MAX($U10,$Q10),IF($K10=$V10,MAX($Y10,$Q10),MAX($Y10,$U10)))</f>
        <v>0</v>
      </c>
      <c r="N10" s="293">
        <f>MAX($AA10,$W10,$S10)</f>
        <v>44.4</v>
      </c>
      <c r="O10" s="2" t="str">
        <f>IF(MAX(AB10:AD10)&lt;=0,"",MAX(AB10:AD10))</f>
        <v/>
      </c>
      <c r="P10" s="522"/>
      <c r="Q10" s="523"/>
      <c r="R10" s="64">
        <f>+P10+Q10</f>
        <v>0</v>
      </c>
      <c r="S10" s="524"/>
      <c r="T10" s="522"/>
      <c r="U10" s="523"/>
      <c r="V10" s="64">
        <f>+T10+U10</f>
        <v>0</v>
      </c>
      <c r="W10" s="524"/>
      <c r="X10" s="522">
        <v>37.299999999999997</v>
      </c>
      <c r="Y10" s="523">
        <v>45.2</v>
      </c>
      <c r="Z10" s="64">
        <f>+X10+Y10</f>
        <v>82.5</v>
      </c>
      <c r="AA10" s="448">
        <v>44.4</v>
      </c>
      <c r="AB10" s="42" t="str">
        <f t="shared" si="0"/>
        <v/>
      </c>
      <c r="AC10" s="14" t="str">
        <f t="shared" si="0"/>
        <v/>
      </c>
      <c r="AD10" s="14" t="str">
        <f t="shared" si="0"/>
        <v/>
      </c>
      <c r="AE10" s="291" t="str">
        <f>IF(MAX($AH10,$AL10,$AP10,$AT10,$AX10,$BB10,$BF10,$BJ10,$BN10,$BR10,$BV10)=0,"",MAX($AH10,$AL10,$AP10,$AT10,$AX10,$BB10,$BF10,$BJ10,$BN10,$BR10,$BV10))</f>
        <v/>
      </c>
      <c r="AF10" s="292" t="str">
        <f>IF(MAX($AI10,$AM10,$AQ10,$AU10,$AY10,$BC10,$BG10,$BK10,$BO10,$BS10,$BW10)=0,"",MAX($AI10,$AM10,$AQ10,$AU10,$AY10,$BC10,$BG10,$BK10,$BO10,$BS10,$BW10))</f>
        <v/>
      </c>
      <c r="AG10" s="292" t="str">
        <f>IF(MAX($AK10,$AO10,$AS10,$AW10,$BA10,$BE10,$BI10,$BM10,$BQ10,$BU10,$BY10)=0,"",MAX($AK10,$AO10,$AS10,$AW10,$BA10,$BE10,$BI10,$BM10,$BQ10,$BU10,$BY10))</f>
        <v/>
      </c>
      <c r="AH10" s="522"/>
      <c r="AI10" s="523"/>
      <c r="AJ10" s="77" t="str">
        <f>IF(AI10&lt;&gt;"",AH10+AI10,"")</f>
        <v/>
      </c>
      <c r="AK10" s="523"/>
      <c r="AL10" s="522"/>
      <c r="AM10" s="523"/>
      <c r="AN10" s="77" t="str">
        <f>IF(AM10&lt;&gt;"",AL10+AM10,"")</f>
        <v/>
      </c>
      <c r="AO10" s="523"/>
      <c r="AP10" s="402"/>
      <c r="AQ10" s="403"/>
      <c r="AR10" s="77" t="str">
        <f>IF(AQ10&lt;&gt;"",AP10+AQ10,"")</f>
        <v/>
      </c>
      <c r="AS10" s="403"/>
      <c r="AT10" s="45"/>
      <c r="AU10" s="356"/>
      <c r="AV10" s="77" t="str">
        <f>IF(AU10&lt;&gt;"",AT10+AU10,"")</f>
        <v/>
      </c>
      <c r="AW10" s="356"/>
      <c r="AX10" s="353"/>
      <c r="AY10" s="354"/>
      <c r="AZ10" s="77" t="str">
        <f>IF(AY10&lt;&gt;"",AX10+AY10,"")</f>
        <v/>
      </c>
      <c r="BA10" s="354"/>
      <c r="BB10" s="353"/>
      <c r="BC10" s="354"/>
      <c r="BD10" s="77" t="str">
        <f>IF(BC10&lt;&gt;"",BB10+BC10,"")</f>
        <v/>
      </c>
      <c r="BE10" s="354"/>
      <c r="BF10" s="45"/>
      <c r="BG10" s="294"/>
      <c r="BH10" s="77" t="str">
        <f>IF(BG10&lt;&gt;"",BF10+BG10,"")</f>
        <v/>
      </c>
      <c r="BI10" s="294"/>
      <c r="BJ10" s="45"/>
      <c r="BK10" s="294"/>
      <c r="BL10" s="77" t="str">
        <f>IF(BK10&lt;&gt;"",BJ10+BK10,"")</f>
        <v/>
      </c>
      <c r="BM10" s="294"/>
      <c r="BN10" s="45"/>
      <c r="BO10" s="294"/>
      <c r="BP10" s="77" t="str">
        <f>IF(BO10&lt;&gt;"",BN10+BO10,"")</f>
        <v/>
      </c>
      <c r="BQ10" s="295"/>
      <c r="BR10" s="291"/>
      <c r="BS10" s="294"/>
      <c r="BT10" s="76" t="str">
        <f>IF(BS10&lt;&gt;"",BR10+BS10,"")</f>
        <v/>
      </c>
      <c r="BU10" s="295"/>
      <c r="BV10" s="291"/>
      <c r="BW10" s="294"/>
      <c r="BX10" s="76" t="str">
        <f>IF(BW10&lt;&gt;"",BV10+BW10,"")</f>
        <v/>
      </c>
      <c r="BY10" s="295"/>
      <c r="BZ10" s="291"/>
    </row>
    <row r="11" spans="1:78" x14ac:dyDescent="0.15">
      <c r="A11" s="445"/>
      <c r="C11" s="445"/>
      <c r="D11" s="445"/>
      <c r="E11" s="445"/>
      <c r="F11" s="445"/>
      <c r="K11" s="445"/>
      <c r="L11" s="445"/>
      <c r="M11" s="445"/>
      <c r="N11" s="445"/>
      <c r="O11" s="445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  <c r="AD11" s="451"/>
      <c r="AE11" s="451"/>
      <c r="AF11" s="451"/>
      <c r="AG11" s="451"/>
      <c r="AH11" s="452"/>
      <c r="AI11" s="452"/>
      <c r="AJ11" s="452"/>
      <c r="AK11" s="452"/>
      <c r="AL11" s="452"/>
      <c r="AM11" s="452"/>
      <c r="AN11" s="452"/>
      <c r="AO11" s="452"/>
      <c r="AP11" s="452"/>
      <c r="AQ11" s="452"/>
      <c r="AR11" s="452"/>
      <c r="AS11" s="452"/>
      <c r="AT11" s="452"/>
      <c r="AU11" s="452"/>
      <c r="AV11" s="452"/>
      <c r="AW11" s="452"/>
      <c r="AX11" s="452"/>
      <c r="AY11" s="452"/>
      <c r="AZ11" s="452"/>
      <c r="BA11" s="452"/>
      <c r="BB11" s="452"/>
      <c r="BC11" s="452"/>
      <c r="BD11" s="452"/>
      <c r="BE11" s="452"/>
      <c r="BF11" s="452"/>
      <c r="BG11" s="452"/>
      <c r="BH11" s="452"/>
      <c r="BI11" s="452"/>
      <c r="BJ11" s="452"/>
      <c r="BK11" s="452"/>
      <c r="BL11" s="452"/>
      <c r="BM11" s="452"/>
      <c r="BN11" s="452"/>
      <c r="BO11" s="452"/>
      <c r="BP11" s="452"/>
      <c r="BQ11" s="451"/>
      <c r="BR11" s="451"/>
      <c r="BS11" s="451"/>
      <c r="BT11" s="451"/>
      <c r="BU11" s="451"/>
      <c r="BV11" s="451"/>
      <c r="BW11" s="451"/>
      <c r="BX11" s="451"/>
      <c r="BY11" s="451"/>
    </row>
    <row r="12" spans="1:78" x14ac:dyDescent="0.15">
      <c r="A12" s="521"/>
      <c r="C12" s="521"/>
      <c r="D12" s="521"/>
      <c r="E12" s="521"/>
      <c r="F12" s="521"/>
      <c r="K12" s="521"/>
      <c r="L12" s="521"/>
      <c r="M12" s="521"/>
      <c r="N12" s="521"/>
      <c r="O12" s="521"/>
      <c r="P12" s="527"/>
      <c r="Q12" s="527"/>
      <c r="R12" s="527"/>
      <c r="S12" s="527"/>
      <c r="T12" s="527"/>
      <c r="U12" s="527"/>
      <c r="V12" s="527"/>
      <c r="W12" s="527"/>
      <c r="X12" s="527"/>
      <c r="Y12" s="527"/>
      <c r="Z12" s="527"/>
      <c r="AA12" s="527"/>
      <c r="AB12" s="527"/>
      <c r="AC12" s="527"/>
      <c r="AD12" s="527"/>
      <c r="AE12" s="527"/>
      <c r="AF12" s="527"/>
      <c r="AG12" s="527"/>
      <c r="AH12" s="529"/>
      <c r="AI12" s="529"/>
      <c r="AJ12" s="529"/>
      <c r="AK12" s="529"/>
      <c r="AL12" s="529"/>
      <c r="AM12" s="529"/>
      <c r="AN12" s="529"/>
      <c r="AO12" s="529"/>
      <c r="AP12" s="529"/>
      <c r="AQ12" s="529"/>
      <c r="AR12" s="529"/>
      <c r="AS12" s="529"/>
      <c r="AT12" s="529"/>
      <c r="AU12" s="529"/>
      <c r="AV12" s="529"/>
      <c r="AW12" s="529"/>
      <c r="AX12" s="529"/>
      <c r="AY12" s="529"/>
      <c r="AZ12" s="529"/>
      <c r="BA12" s="529"/>
      <c r="BB12" s="529"/>
      <c r="BC12" s="529"/>
      <c r="BD12" s="529"/>
      <c r="BE12" s="529"/>
      <c r="BF12" s="529"/>
      <c r="BG12" s="529"/>
      <c r="BH12" s="529"/>
      <c r="BI12" s="529"/>
      <c r="BJ12" s="529"/>
      <c r="BK12" s="529"/>
      <c r="BL12" s="529"/>
      <c r="BM12" s="529"/>
      <c r="BN12" s="529"/>
      <c r="BO12" s="529"/>
      <c r="BP12" s="529"/>
      <c r="BQ12" s="527"/>
      <c r="BR12" s="527"/>
      <c r="BS12" s="527"/>
      <c r="BT12" s="527"/>
      <c r="BU12" s="527"/>
      <c r="BV12" s="527"/>
      <c r="BW12" s="527"/>
      <c r="BX12" s="527"/>
      <c r="BY12" s="527"/>
    </row>
    <row r="13" spans="1:78" x14ac:dyDescent="0.15">
      <c r="A13" s="521"/>
      <c r="C13" s="521"/>
      <c r="D13" s="521"/>
      <c r="E13" s="521"/>
      <c r="F13" s="521"/>
      <c r="K13" s="521"/>
      <c r="L13" s="521"/>
      <c r="M13" s="521"/>
      <c r="N13" s="521"/>
      <c r="O13" s="521"/>
      <c r="P13" s="527"/>
      <c r="Q13" s="527"/>
      <c r="R13" s="527"/>
      <c r="S13" s="527"/>
      <c r="T13" s="527"/>
      <c r="U13" s="527"/>
      <c r="V13" s="527"/>
      <c r="W13" s="527"/>
      <c r="X13" s="527"/>
      <c r="Y13" s="527"/>
      <c r="Z13" s="527"/>
      <c r="AA13" s="527"/>
      <c r="AB13" s="527"/>
      <c r="AC13" s="527"/>
      <c r="AD13" s="527"/>
      <c r="AE13" s="527"/>
      <c r="AF13" s="527"/>
      <c r="AG13" s="527"/>
      <c r="AH13" s="529"/>
      <c r="AI13" s="529"/>
      <c r="AJ13" s="529"/>
      <c r="AK13" s="529"/>
      <c r="AL13" s="529"/>
      <c r="AM13" s="529"/>
      <c r="AN13" s="529"/>
      <c r="AO13" s="529"/>
      <c r="AP13" s="529"/>
      <c r="AQ13" s="529"/>
      <c r="AR13" s="529"/>
      <c r="AS13" s="529"/>
      <c r="AT13" s="529"/>
      <c r="AU13" s="529"/>
      <c r="AV13" s="529"/>
      <c r="AW13" s="529"/>
      <c r="AX13" s="529"/>
      <c r="AY13" s="529"/>
      <c r="AZ13" s="529"/>
      <c r="BA13" s="529"/>
      <c r="BB13" s="529"/>
      <c r="BC13" s="529"/>
      <c r="BD13" s="529"/>
      <c r="BE13" s="529"/>
      <c r="BF13" s="529"/>
      <c r="BG13" s="529"/>
      <c r="BH13" s="529"/>
      <c r="BI13" s="529"/>
      <c r="BJ13" s="529"/>
      <c r="BK13" s="529"/>
      <c r="BL13" s="529"/>
      <c r="BM13" s="529"/>
      <c r="BN13" s="529"/>
      <c r="BO13" s="529"/>
      <c r="BP13" s="529"/>
      <c r="BQ13" s="527"/>
      <c r="BR13" s="527"/>
      <c r="BS13" s="527"/>
      <c r="BT13" s="527"/>
      <c r="BU13" s="527"/>
      <c r="BV13" s="527"/>
      <c r="BW13" s="527"/>
      <c r="BX13" s="527"/>
      <c r="BY13" s="527"/>
    </row>
    <row r="14" spans="1:78" x14ac:dyDescent="0.15">
      <c r="A14" s="216"/>
      <c r="C14" s="216"/>
      <c r="D14" s="216"/>
      <c r="E14" s="216"/>
      <c r="F14" s="216"/>
      <c r="K14" s="216"/>
      <c r="L14" s="216"/>
      <c r="M14" s="216"/>
      <c r="N14" s="216"/>
      <c r="O14" s="216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407"/>
      <c r="AI14" s="407"/>
      <c r="AL14" s="407"/>
      <c r="AM14" s="407"/>
      <c r="AP14" s="407"/>
      <c r="AQ14" s="407"/>
      <c r="AT14" s="356"/>
      <c r="AU14" s="356"/>
      <c r="AX14" s="233"/>
      <c r="AY14" s="233"/>
      <c r="BB14" s="222"/>
      <c r="BC14" s="222"/>
      <c r="BD14" s="218"/>
      <c r="BE14" s="218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18"/>
      <c r="BR14" s="218"/>
      <c r="BS14" s="218"/>
      <c r="BT14" s="218"/>
      <c r="BU14" s="218"/>
      <c r="BV14" s="218"/>
      <c r="BW14" s="218"/>
      <c r="BX14" s="218"/>
      <c r="BY14" s="218"/>
    </row>
    <row r="15" spans="1:78" x14ac:dyDescent="0.15">
      <c r="A15" s="216"/>
      <c r="C15" s="216"/>
      <c r="D15" s="216"/>
      <c r="E15" s="216"/>
      <c r="F15" s="216"/>
      <c r="K15" s="216"/>
      <c r="L15" s="216"/>
      <c r="M15" s="216"/>
      <c r="N15" s="216"/>
      <c r="O15" s="216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407"/>
      <c r="AI15" s="407"/>
      <c r="AL15" s="407"/>
      <c r="AM15" s="407"/>
      <c r="AP15" s="407"/>
      <c r="AQ15" s="407"/>
      <c r="AT15" s="356"/>
      <c r="AU15" s="356"/>
      <c r="AX15" s="233"/>
      <c r="AY15" s="233"/>
      <c r="BB15" s="222"/>
      <c r="BC15" s="222"/>
      <c r="BD15" s="218"/>
      <c r="BE15" s="218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18"/>
      <c r="BR15" s="218"/>
      <c r="BS15" s="218"/>
      <c r="BT15" s="218"/>
      <c r="BU15" s="218"/>
      <c r="BV15" s="218"/>
      <c r="BW15" s="218"/>
      <c r="BX15" s="218"/>
      <c r="BY15" s="218"/>
    </row>
    <row r="16" spans="1:78" x14ac:dyDescent="0.15">
      <c r="AH16" s="407"/>
      <c r="AI16" s="407"/>
      <c r="AL16" s="407"/>
      <c r="AM16" s="407"/>
      <c r="AP16" s="407"/>
      <c r="AQ16" s="407"/>
      <c r="AT16" s="356"/>
      <c r="AU16" s="356"/>
      <c r="AX16" s="233"/>
      <c r="AY16" s="233"/>
      <c r="BB16" s="46"/>
      <c r="BC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 spans="2:68" x14ac:dyDescent="0.15">
      <c r="AH17" s="407"/>
      <c r="AI17" s="407"/>
      <c r="AL17" s="407"/>
      <c r="AM17" s="407"/>
      <c r="AP17" s="407"/>
      <c r="AQ17" s="407"/>
      <c r="AT17" s="356"/>
      <c r="AU17" s="356"/>
      <c r="AX17" s="233"/>
      <c r="AY17" s="233"/>
      <c r="BB17" s="46"/>
      <c r="BC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 spans="2:68" x14ac:dyDescent="0.15">
      <c r="Y18" s="424"/>
      <c r="AA18" s="424"/>
      <c r="AH18" s="407"/>
      <c r="AI18" s="407"/>
      <c r="AL18" s="407"/>
      <c r="AM18" s="407"/>
      <c r="AP18" s="407"/>
      <c r="AQ18" s="407"/>
      <c r="AT18" s="356"/>
      <c r="AU18" s="356"/>
      <c r="AX18" s="233"/>
      <c r="AY18" s="233"/>
      <c r="BB18" s="46"/>
      <c r="BC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 spans="2:68" x14ac:dyDescent="0.15">
      <c r="AH19" s="407"/>
      <c r="AI19" s="407"/>
      <c r="AL19" s="407"/>
      <c r="AM19" s="407"/>
      <c r="AP19" s="407"/>
      <c r="AQ19" s="407"/>
      <c r="AT19" s="356"/>
      <c r="AU19" s="356"/>
      <c r="AX19" s="233"/>
      <c r="AY19" s="233"/>
      <c r="BB19" s="46"/>
      <c r="BC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 spans="2:68" x14ac:dyDescent="0.15">
      <c r="AH20" s="407"/>
      <c r="AI20" s="407"/>
      <c r="AL20" s="407"/>
      <c r="AM20" s="407"/>
      <c r="AP20" s="407"/>
      <c r="AQ20" s="407"/>
      <c r="AT20" s="356"/>
      <c r="AU20" s="356"/>
      <c r="AX20" s="233"/>
      <c r="AY20" s="233"/>
      <c r="BB20" s="46"/>
      <c r="BC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 spans="2:68" x14ac:dyDescent="0.15">
      <c r="AH21" s="407"/>
      <c r="AI21" s="407"/>
      <c r="AL21" s="407"/>
      <c r="AM21" s="407"/>
      <c r="AP21" s="407"/>
      <c r="AQ21" s="407"/>
      <c r="AT21" s="356"/>
      <c r="AU21" s="356"/>
      <c r="AX21" s="233"/>
      <c r="AY21" s="233"/>
      <c r="BB21" s="46"/>
      <c r="BC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 spans="2:68" x14ac:dyDescent="0.15">
      <c r="AH22" s="407"/>
      <c r="AI22" s="407"/>
      <c r="AL22" s="407"/>
      <c r="AM22" s="407"/>
      <c r="AP22" s="407"/>
      <c r="AQ22" s="407"/>
      <c r="AT22" s="356"/>
      <c r="AU22" s="356"/>
      <c r="AX22" s="233"/>
      <c r="AY22" s="233"/>
      <c r="BB22" s="46"/>
      <c r="BC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 spans="2:68" x14ac:dyDescent="0.15">
      <c r="AH23" s="407"/>
      <c r="AI23" s="407"/>
      <c r="AL23" s="407"/>
      <c r="AM23" s="407"/>
      <c r="AP23" s="407"/>
      <c r="AQ23" s="407"/>
      <c r="AT23" s="356"/>
      <c r="AU23" s="356"/>
      <c r="AX23" s="233"/>
      <c r="AY23" s="233"/>
      <c r="BB23" s="46"/>
      <c r="BC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 spans="2:68" x14ac:dyDescent="0.15">
      <c r="AH24" s="407"/>
      <c r="AI24" s="403"/>
      <c r="AL24" s="407"/>
      <c r="AM24" s="403"/>
      <c r="AP24" s="407"/>
      <c r="AQ24" s="403"/>
      <c r="AT24" s="356"/>
      <c r="AU24" s="354"/>
      <c r="AX24" s="233"/>
      <c r="AY24" s="232"/>
      <c r="BB24" s="46"/>
      <c r="BC24" s="44"/>
      <c r="BF24" s="46"/>
      <c r="BG24" s="46"/>
      <c r="BH24" s="46"/>
      <c r="BI24" s="46"/>
      <c r="BJ24" s="46"/>
      <c r="BK24" s="44"/>
      <c r="BL24" s="46"/>
      <c r="BM24" s="46"/>
      <c r="BN24" s="46"/>
      <c r="BO24" s="44"/>
      <c r="BP24" s="46"/>
    </row>
    <row r="25" spans="2:68" x14ac:dyDescent="0.15">
      <c r="AH25" s="407"/>
      <c r="AI25" s="407"/>
      <c r="AL25" s="407"/>
      <c r="AM25" s="407"/>
      <c r="AP25" s="407"/>
      <c r="AQ25" s="407"/>
      <c r="AT25" s="356"/>
      <c r="AU25" s="356"/>
      <c r="AX25" s="233"/>
      <c r="AY25" s="233"/>
      <c r="BB25" s="46"/>
      <c r="BC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 spans="2:68" x14ac:dyDescent="0.15">
      <c r="AH26" s="407"/>
      <c r="AI26" s="407"/>
      <c r="AL26" s="407"/>
      <c r="AM26" s="407"/>
      <c r="AP26" s="407"/>
      <c r="AQ26" s="407"/>
      <c r="AT26" s="356"/>
      <c r="AU26" s="356"/>
      <c r="AX26" s="233"/>
      <c r="AY26" s="233"/>
      <c r="BB26" s="46"/>
      <c r="BC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 spans="2:68" x14ac:dyDescent="0.15">
      <c r="B27" s="117"/>
      <c r="E27" s="53"/>
      <c r="F27" s="53"/>
      <c r="G27" s="53"/>
      <c r="H27" s="27"/>
      <c r="I27" s="7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 spans="2:68" x14ac:dyDescent="0.15">
      <c r="B28" s="106" t="s">
        <v>91</v>
      </c>
      <c r="C28" s="107"/>
      <c r="D28" s="107"/>
      <c r="E28" s="107"/>
      <c r="F28" s="107"/>
      <c r="G28" s="107"/>
      <c r="H28" s="108"/>
      <c r="I28" s="109"/>
      <c r="J28" s="148"/>
      <c r="K28" s="184"/>
      <c r="L28" s="71"/>
      <c r="M28" s="71"/>
      <c r="N28" s="71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 spans="2:68" x14ac:dyDescent="0.15">
      <c r="B29" s="40" t="s">
        <v>56</v>
      </c>
    </row>
  </sheetData>
  <sortState ref="A7:BZ12">
    <sortCondition descending="1" ref="F7:F12"/>
    <sortCondition descending="1" ref="H7:H12"/>
    <sortCondition descending="1" ref="E7:E12"/>
  </sortState>
  <mergeCells count="41">
    <mergeCell ref="AE2:AG2"/>
    <mergeCell ref="AH2:AK2"/>
    <mergeCell ref="AL2:AO2"/>
    <mergeCell ref="AB1:AD1"/>
    <mergeCell ref="AE1:AG1"/>
    <mergeCell ref="AH1:AK1"/>
    <mergeCell ref="AL1:AO1"/>
    <mergeCell ref="AB2:AD2"/>
    <mergeCell ref="K2:N2"/>
    <mergeCell ref="P2:S2"/>
    <mergeCell ref="T2:W2"/>
    <mergeCell ref="X2:AA2"/>
    <mergeCell ref="BB1:BE1"/>
    <mergeCell ref="BB2:BE2"/>
    <mergeCell ref="AX2:BA2"/>
    <mergeCell ref="K1:N1"/>
    <mergeCell ref="P1:S1"/>
    <mergeCell ref="T1:W1"/>
    <mergeCell ref="X1:AA1"/>
    <mergeCell ref="AP1:AS1"/>
    <mergeCell ref="AT1:AW1"/>
    <mergeCell ref="AX1:BA1"/>
    <mergeCell ref="AP2:AS2"/>
    <mergeCell ref="AT2:AW2"/>
    <mergeCell ref="BF1:BI1"/>
    <mergeCell ref="BJ1:BM1"/>
    <mergeCell ref="BN1:BQ1"/>
    <mergeCell ref="BR1:BU1"/>
    <mergeCell ref="BV1:BY1"/>
    <mergeCell ref="BF2:BI2"/>
    <mergeCell ref="BJ2:BM2"/>
    <mergeCell ref="BN2:BQ2"/>
    <mergeCell ref="BR2:BU2"/>
    <mergeCell ref="BV2:BY2"/>
    <mergeCell ref="BF3:BI3"/>
    <mergeCell ref="AH3:AK3"/>
    <mergeCell ref="AL3:AO3"/>
    <mergeCell ref="AP3:AS3"/>
    <mergeCell ref="AT3:AW3"/>
    <mergeCell ref="AX3:BA3"/>
    <mergeCell ref="BB3:BE3"/>
  </mergeCells>
  <phoneticPr fontId="0" type="noConversion"/>
  <pageMargins left="0.47244094488188998" right="0.47244094488188998" top="0.78740157480314998" bottom="0.59055118110236204" header="0.511811023622047" footer="0.511811023622047"/>
  <pageSetup scale="50" fitToWidth="0" orientation="landscape" r:id="rId1"/>
  <headerFooter alignWithMargins="0">
    <oddHeader>&amp;L&amp;A&amp;R&amp;F</oddHeader>
    <oddFooter>&amp;CPage &amp;P</oddFooter>
  </headerFooter>
  <colBreaks count="2" manualBreakCount="2">
    <brk id="23" max="29" man="1"/>
    <brk id="49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6"/>
  <sheetViews>
    <sheetView view="pageBreakPreview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ColWidth="9.1640625" defaultRowHeight="13" x14ac:dyDescent="0.15"/>
  <cols>
    <col min="1" max="1" width="5.6640625" style="11" customWidth="1"/>
    <col min="2" max="2" width="25.6640625" style="13" customWidth="1"/>
    <col min="3" max="4" width="7.6640625" style="11" customWidth="1"/>
    <col min="5" max="6" width="8.6640625" style="11" customWidth="1"/>
    <col min="7" max="7" width="8.6640625" style="28" customWidth="1"/>
    <col min="8" max="10" width="8.6640625" style="31" customWidth="1"/>
    <col min="11" max="15" width="8.6640625" style="11" customWidth="1"/>
    <col min="16" max="23" width="8.6640625" style="424" customWidth="1"/>
    <col min="24" max="33" width="8.6640625" style="4" customWidth="1"/>
    <col min="34" max="49" width="8.6640625" style="406" customWidth="1"/>
    <col min="50" max="53" width="8.6640625" style="401" customWidth="1"/>
    <col min="54" max="57" width="8.6640625" style="4" customWidth="1"/>
    <col min="58" max="61" width="8.6640625" style="346" customWidth="1"/>
    <col min="62" max="77" width="8.6640625" style="4" customWidth="1"/>
    <col min="78" max="16384" width="9.1640625" style="13"/>
  </cols>
  <sheetData>
    <row r="1" spans="1:77" customFormat="1" x14ac:dyDescent="0.15">
      <c r="A1" s="20"/>
      <c r="B1" s="17" t="s">
        <v>19</v>
      </c>
      <c r="C1" s="17"/>
      <c r="D1" s="17"/>
      <c r="E1" s="38"/>
      <c r="F1" s="18"/>
      <c r="G1" s="28"/>
      <c r="H1" s="29"/>
      <c r="I1" s="29"/>
      <c r="J1" s="29"/>
      <c r="K1" s="591" t="s">
        <v>12</v>
      </c>
      <c r="L1" s="592"/>
      <c r="M1" s="592"/>
      <c r="N1" s="593"/>
      <c r="O1" s="4"/>
      <c r="P1" s="575" t="s">
        <v>114</v>
      </c>
      <c r="Q1" s="592"/>
      <c r="R1" s="592"/>
      <c r="S1" s="593"/>
      <c r="T1" s="575" t="s">
        <v>115</v>
      </c>
      <c r="U1" s="592"/>
      <c r="V1" s="592"/>
      <c r="W1" s="593"/>
      <c r="X1" s="575" t="s">
        <v>138</v>
      </c>
      <c r="Y1" s="592"/>
      <c r="Z1" s="592"/>
      <c r="AA1" s="593"/>
      <c r="AB1" s="591" t="s">
        <v>16</v>
      </c>
      <c r="AC1" s="592"/>
      <c r="AD1" s="592"/>
      <c r="AE1" s="591" t="s">
        <v>10</v>
      </c>
      <c r="AF1" s="592"/>
      <c r="AG1" s="592"/>
      <c r="AH1" s="575" t="s">
        <v>92</v>
      </c>
      <c r="AI1" s="590"/>
      <c r="AJ1" s="590"/>
      <c r="AK1" s="579"/>
      <c r="AL1" s="575" t="s">
        <v>110</v>
      </c>
      <c r="AM1" s="590"/>
      <c r="AN1" s="590"/>
      <c r="AO1" s="579"/>
      <c r="AP1" s="575" t="s">
        <v>136</v>
      </c>
      <c r="AQ1" s="590"/>
      <c r="AR1" s="590"/>
      <c r="AS1" s="579"/>
      <c r="AT1" s="575"/>
      <c r="AU1" s="590"/>
      <c r="AV1" s="590"/>
      <c r="AW1" s="579"/>
      <c r="AX1" s="575"/>
      <c r="AY1" s="596"/>
      <c r="AZ1" s="596"/>
      <c r="BA1" s="597"/>
      <c r="BB1" s="575"/>
      <c r="BC1" s="590"/>
      <c r="BD1" s="590"/>
      <c r="BE1" s="579"/>
      <c r="BF1" s="575"/>
      <c r="BG1" s="596"/>
      <c r="BH1" s="596"/>
      <c r="BI1" s="597"/>
      <c r="BJ1" s="575"/>
      <c r="BK1" s="590"/>
      <c r="BL1" s="590"/>
      <c r="BM1" s="579"/>
      <c r="BN1" s="587"/>
      <c r="BO1" s="594"/>
      <c r="BP1" s="594"/>
      <c r="BQ1" s="595"/>
      <c r="BR1" s="575"/>
      <c r="BS1" s="590"/>
      <c r="BT1" s="590"/>
      <c r="BU1" s="579"/>
      <c r="BV1" s="575"/>
      <c r="BW1" s="578"/>
      <c r="BX1" s="578"/>
      <c r="BY1" s="579"/>
    </row>
    <row r="2" spans="1:77" customFormat="1" x14ac:dyDescent="0.15">
      <c r="A2" s="1"/>
      <c r="B2" s="18" t="s">
        <v>21</v>
      </c>
      <c r="C2" s="18"/>
      <c r="D2" s="18"/>
      <c r="E2" s="38"/>
      <c r="F2" s="18"/>
      <c r="G2" s="36"/>
      <c r="H2" s="91">
        <v>205</v>
      </c>
      <c r="I2" s="91">
        <v>211.4</v>
      </c>
      <c r="J2" s="18">
        <v>217.3</v>
      </c>
      <c r="K2" s="591" t="s">
        <v>11</v>
      </c>
      <c r="L2" s="592"/>
      <c r="M2" s="592"/>
      <c r="N2" s="593"/>
      <c r="O2" s="4"/>
      <c r="P2" s="575" t="s">
        <v>100</v>
      </c>
      <c r="Q2" s="592"/>
      <c r="R2" s="592"/>
      <c r="S2" s="593"/>
      <c r="T2" s="575" t="s">
        <v>116</v>
      </c>
      <c r="U2" s="592"/>
      <c r="V2" s="592"/>
      <c r="W2" s="593"/>
      <c r="X2" s="575" t="s">
        <v>139</v>
      </c>
      <c r="Y2" s="592"/>
      <c r="Z2" s="592"/>
      <c r="AA2" s="593"/>
      <c r="AB2" s="591" t="s">
        <v>17</v>
      </c>
      <c r="AC2" s="592"/>
      <c r="AD2" s="592"/>
      <c r="AE2" s="591" t="s">
        <v>11</v>
      </c>
      <c r="AF2" s="592"/>
      <c r="AG2" s="592"/>
      <c r="AH2" s="575" t="s">
        <v>106</v>
      </c>
      <c r="AI2" s="576"/>
      <c r="AJ2" s="576"/>
      <c r="AK2" s="576"/>
      <c r="AL2" s="575" t="s">
        <v>108</v>
      </c>
      <c r="AM2" s="576"/>
      <c r="AN2" s="576"/>
      <c r="AO2" s="576"/>
      <c r="AP2" s="575" t="s">
        <v>137</v>
      </c>
      <c r="AQ2" s="576"/>
      <c r="AR2" s="576"/>
      <c r="AS2" s="576"/>
      <c r="AT2" s="575"/>
      <c r="AU2" s="576"/>
      <c r="AV2" s="576"/>
      <c r="AW2" s="576"/>
      <c r="AX2" s="575"/>
      <c r="AY2" s="576"/>
      <c r="AZ2" s="576"/>
      <c r="BA2" s="577"/>
      <c r="BB2" s="575"/>
      <c r="BC2" s="592"/>
      <c r="BD2" s="592"/>
      <c r="BE2" s="593"/>
      <c r="BF2" s="575"/>
      <c r="BG2" s="576"/>
      <c r="BH2" s="576"/>
      <c r="BI2" s="577"/>
      <c r="BJ2" s="575"/>
      <c r="BK2" s="592"/>
      <c r="BL2" s="592"/>
      <c r="BM2" s="593"/>
      <c r="BN2" s="587"/>
      <c r="BO2" s="594"/>
      <c r="BP2" s="594"/>
      <c r="BQ2" s="595"/>
      <c r="BR2" s="575"/>
      <c r="BS2" s="576"/>
      <c r="BT2" s="576"/>
      <c r="BU2" s="576"/>
      <c r="BV2" s="575"/>
      <c r="BW2" s="576"/>
      <c r="BX2" s="576"/>
      <c r="BY2" s="577"/>
    </row>
    <row r="3" spans="1:77" customFormat="1" x14ac:dyDescent="0.15">
      <c r="A3" s="1"/>
      <c r="B3" s="17" t="s">
        <v>35</v>
      </c>
      <c r="C3" s="17"/>
      <c r="D3" s="17"/>
      <c r="E3" s="38"/>
      <c r="F3" s="18"/>
      <c r="G3" s="36"/>
      <c r="H3" s="30"/>
      <c r="I3" s="30"/>
      <c r="J3" s="30"/>
      <c r="K3" s="10"/>
      <c r="L3" s="11"/>
      <c r="M3" s="11"/>
      <c r="N3" s="12"/>
      <c r="O3" s="1"/>
      <c r="P3" s="58">
        <v>79.099999999999994</v>
      </c>
      <c r="Q3" s="30">
        <v>80.7</v>
      </c>
      <c r="R3" s="33">
        <v>83.1</v>
      </c>
      <c r="S3" s="60">
        <v>86</v>
      </c>
      <c r="T3" s="58">
        <v>79.099999999999994</v>
      </c>
      <c r="U3" s="30">
        <v>80.7</v>
      </c>
      <c r="V3" s="33">
        <v>83.1</v>
      </c>
      <c r="W3" s="60">
        <v>86</v>
      </c>
      <c r="X3" s="58">
        <v>79.099999999999994</v>
      </c>
      <c r="Y3" s="30">
        <v>80.7</v>
      </c>
      <c r="Z3" s="33">
        <v>83.1</v>
      </c>
      <c r="AA3" s="60">
        <v>86</v>
      </c>
      <c r="AB3" s="3"/>
      <c r="AC3" s="4"/>
      <c r="AD3" s="4"/>
      <c r="AE3" s="3"/>
      <c r="AF3" s="4"/>
      <c r="AG3" s="4"/>
      <c r="AH3" s="584"/>
      <c r="AI3" s="585"/>
      <c r="AJ3" s="585"/>
      <c r="AK3" s="586"/>
      <c r="AL3" s="584" t="s">
        <v>111</v>
      </c>
      <c r="AM3" s="585"/>
      <c r="AN3" s="585"/>
      <c r="AO3" s="586"/>
      <c r="AP3" s="584"/>
      <c r="AQ3" s="585"/>
      <c r="AR3" s="585"/>
      <c r="AS3" s="586"/>
      <c r="AT3" s="584"/>
      <c r="AU3" s="585"/>
      <c r="AV3" s="585"/>
      <c r="AW3" s="586"/>
      <c r="AX3" s="584"/>
      <c r="AY3" s="585"/>
      <c r="AZ3" s="585"/>
      <c r="BA3" s="586"/>
      <c r="BB3" s="584"/>
      <c r="BC3" s="585"/>
      <c r="BD3" s="585"/>
      <c r="BE3" s="586"/>
      <c r="BF3" s="584"/>
      <c r="BG3" s="585"/>
      <c r="BH3" s="585"/>
      <c r="BI3" s="586"/>
      <c r="BJ3" s="584"/>
      <c r="BK3" s="585"/>
      <c r="BL3" s="585"/>
      <c r="BM3" s="586"/>
      <c r="BN3" s="584"/>
      <c r="BO3" s="585"/>
      <c r="BP3" s="585"/>
      <c r="BQ3" s="586"/>
      <c r="BR3" s="584"/>
      <c r="BS3" s="585"/>
      <c r="BT3" s="585"/>
      <c r="BU3" s="586"/>
      <c r="BV3" s="584"/>
      <c r="BW3" s="585"/>
      <c r="BX3" s="585"/>
      <c r="BY3" s="586"/>
    </row>
    <row r="4" spans="1:77" customFormat="1" x14ac:dyDescent="0.15">
      <c r="A4" s="1"/>
      <c r="B4" s="17" t="s">
        <v>20</v>
      </c>
      <c r="C4" s="17"/>
      <c r="D4" s="24" t="s">
        <v>44</v>
      </c>
      <c r="E4" s="10" t="s">
        <v>8</v>
      </c>
      <c r="F4" s="62" t="s">
        <v>46</v>
      </c>
      <c r="G4" s="28" t="s">
        <v>34</v>
      </c>
      <c r="H4" s="29" t="s">
        <v>9</v>
      </c>
      <c r="I4" s="32" t="s">
        <v>14</v>
      </c>
      <c r="J4" s="60" t="s">
        <v>43</v>
      </c>
      <c r="K4" s="10" t="s">
        <v>4</v>
      </c>
      <c r="L4" s="11" t="s">
        <v>4</v>
      </c>
      <c r="M4" s="11" t="s">
        <v>4</v>
      </c>
      <c r="N4" s="12" t="s">
        <v>4</v>
      </c>
      <c r="O4" s="1" t="s">
        <v>4</v>
      </c>
      <c r="P4" s="59" t="s">
        <v>34</v>
      </c>
      <c r="Q4" s="29" t="s">
        <v>9</v>
      </c>
      <c r="R4" s="32" t="s">
        <v>14</v>
      </c>
      <c r="S4" s="60" t="s">
        <v>43</v>
      </c>
      <c r="T4" s="59" t="s">
        <v>34</v>
      </c>
      <c r="U4" s="29" t="s">
        <v>9</v>
      </c>
      <c r="V4" s="32" t="s">
        <v>14</v>
      </c>
      <c r="W4" s="60" t="s">
        <v>43</v>
      </c>
      <c r="X4" s="59" t="s">
        <v>34</v>
      </c>
      <c r="Y4" s="29" t="s">
        <v>9</v>
      </c>
      <c r="Z4" s="32" t="s">
        <v>14</v>
      </c>
      <c r="AA4" s="60" t="s">
        <v>43</v>
      </c>
      <c r="AB4" s="3" t="s">
        <v>4</v>
      </c>
      <c r="AC4" s="1" t="s">
        <v>4</v>
      </c>
      <c r="AD4" s="4" t="s">
        <v>4</v>
      </c>
      <c r="AE4" s="3" t="s">
        <v>4</v>
      </c>
      <c r="AF4" s="1" t="s">
        <v>4</v>
      </c>
      <c r="AG4" s="4" t="s">
        <v>4</v>
      </c>
      <c r="AH4" s="526"/>
      <c r="AI4" s="527"/>
      <c r="AJ4" s="527"/>
      <c r="AK4" s="527"/>
      <c r="AL4" s="526"/>
      <c r="AM4" s="527"/>
      <c r="AN4" s="527"/>
      <c r="AO4" s="527"/>
      <c r="AP4" s="450"/>
      <c r="AQ4" s="451"/>
      <c r="AR4" s="451"/>
      <c r="AS4" s="451"/>
      <c r="AT4" s="405"/>
      <c r="AU4" s="406"/>
      <c r="AV4" s="406"/>
      <c r="AW4" s="406"/>
      <c r="AX4" s="400"/>
      <c r="AY4" s="401"/>
      <c r="AZ4" s="401"/>
      <c r="BA4" s="401"/>
      <c r="BB4" s="3"/>
      <c r="BC4" s="4"/>
      <c r="BD4" s="4"/>
      <c r="BE4" s="4"/>
      <c r="BF4" s="345"/>
      <c r="BG4" s="346"/>
      <c r="BH4" s="346"/>
      <c r="BI4" s="346"/>
      <c r="BJ4" s="3"/>
      <c r="BK4" s="4"/>
      <c r="BL4" s="4"/>
      <c r="BM4" s="4"/>
      <c r="BN4" s="45"/>
      <c r="BO4" s="46"/>
      <c r="BP4" s="46"/>
      <c r="BQ4" s="46"/>
      <c r="BR4" s="3"/>
      <c r="BS4" s="4"/>
      <c r="BT4" s="4"/>
      <c r="BU4" s="4"/>
      <c r="BV4" s="3"/>
      <c r="BW4" s="4"/>
      <c r="BX4" s="4"/>
      <c r="BY4" s="5"/>
    </row>
    <row r="5" spans="1:77" customFormat="1" x14ac:dyDescent="0.15">
      <c r="A5" s="1"/>
      <c r="B5" s="19" t="str">
        <f>+'TRA-M'!$A$1</f>
        <v>JUNE 2016</v>
      </c>
      <c r="C5" s="21" t="s">
        <v>23</v>
      </c>
      <c r="D5" s="21" t="s">
        <v>45</v>
      </c>
      <c r="E5" s="10" t="s">
        <v>7</v>
      </c>
      <c r="F5" s="159">
        <v>10.6</v>
      </c>
      <c r="G5" s="28" t="s">
        <v>13</v>
      </c>
      <c r="H5" s="29" t="s">
        <v>13</v>
      </c>
      <c r="I5" s="32" t="s">
        <v>13</v>
      </c>
      <c r="J5" s="60" t="s">
        <v>13</v>
      </c>
      <c r="K5" s="10" t="s">
        <v>2</v>
      </c>
      <c r="L5" s="11" t="s">
        <v>5</v>
      </c>
      <c r="M5" s="11" t="s">
        <v>6</v>
      </c>
      <c r="N5" s="12" t="s">
        <v>3</v>
      </c>
      <c r="O5" s="1" t="s">
        <v>15</v>
      </c>
      <c r="P5" s="526" t="s">
        <v>0</v>
      </c>
      <c r="Q5" s="527" t="s">
        <v>1</v>
      </c>
      <c r="R5" s="527" t="s">
        <v>2</v>
      </c>
      <c r="S5" s="528" t="s">
        <v>3</v>
      </c>
      <c r="T5" s="526" t="s">
        <v>0</v>
      </c>
      <c r="U5" s="527" t="s">
        <v>1</v>
      </c>
      <c r="V5" s="527" t="s">
        <v>2</v>
      </c>
      <c r="W5" s="528" t="s">
        <v>3</v>
      </c>
      <c r="X5" s="3" t="s">
        <v>0</v>
      </c>
      <c r="Y5" s="4" t="s">
        <v>1</v>
      </c>
      <c r="Z5" s="4" t="s">
        <v>2</v>
      </c>
      <c r="AA5" s="5" t="s">
        <v>3</v>
      </c>
      <c r="AB5" s="3" t="s">
        <v>0</v>
      </c>
      <c r="AC5" s="1" t="s">
        <v>6</v>
      </c>
      <c r="AD5" s="4" t="s">
        <v>3</v>
      </c>
      <c r="AE5" s="3" t="s">
        <v>0</v>
      </c>
      <c r="AF5" s="1" t="s">
        <v>6</v>
      </c>
      <c r="AG5" s="4" t="s">
        <v>3</v>
      </c>
      <c r="AH5" s="526" t="s">
        <v>0</v>
      </c>
      <c r="AI5" s="527" t="s">
        <v>1</v>
      </c>
      <c r="AJ5" s="519" t="s">
        <v>2</v>
      </c>
      <c r="AK5" s="527" t="s">
        <v>3</v>
      </c>
      <c r="AL5" s="526" t="s">
        <v>0</v>
      </c>
      <c r="AM5" s="527" t="s">
        <v>1</v>
      </c>
      <c r="AN5" s="519" t="s">
        <v>2</v>
      </c>
      <c r="AO5" s="527" t="s">
        <v>3</v>
      </c>
      <c r="AP5" s="450" t="s">
        <v>0</v>
      </c>
      <c r="AQ5" s="451" t="s">
        <v>1</v>
      </c>
      <c r="AR5" s="444" t="s">
        <v>2</v>
      </c>
      <c r="AS5" s="451" t="s">
        <v>3</v>
      </c>
      <c r="AT5" s="405" t="s">
        <v>0</v>
      </c>
      <c r="AU5" s="406" t="s">
        <v>1</v>
      </c>
      <c r="AV5" s="401" t="s">
        <v>2</v>
      </c>
      <c r="AW5" s="406" t="s">
        <v>3</v>
      </c>
      <c r="AX5" s="400" t="s">
        <v>0</v>
      </c>
      <c r="AY5" s="401" t="s">
        <v>1</v>
      </c>
      <c r="AZ5" s="401" t="s">
        <v>2</v>
      </c>
      <c r="BA5" s="401" t="s">
        <v>3</v>
      </c>
      <c r="BB5" s="3" t="s">
        <v>0</v>
      </c>
      <c r="BC5" s="4" t="s">
        <v>1</v>
      </c>
      <c r="BD5" s="8" t="s">
        <v>2</v>
      </c>
      <c r="BE5" s="4" t="s">
        <v>3</v>
      </c>
      <c r="BF5" s="345" t="s">
        <v>0</v>
      </c>
      <c r="BG5" s="346" t="s">
        <v>1</v>
      </c>
      <c r="BH5" s="346" t="s">
        <v>2</v>
      </c>
      <c r="BI5" s="346" t="s">
        <v>3</v>
      </c>
      <c r="BJ5" s="3" t="s">
        <v>0</v>
      </c>
      <c r="BK5" s="4" t="s">
        <v>1</v>
      </c>
      <c r="BL5" s="8" t="s">
        <v>2</v>
      </c>
      <c r="BM5" s="4" t="s">
        <v>3</v>
      </c>
      <c r="BN5" s="45" t="s">
        <v>0</v>
      </c>
      <c r="BO5" s="46" t="s">
        <v>1</v>
      </c>
      <c r="BP5" s="44" t="s">
        <v>2</v>
      </c>
      <c r="BQ5" s="46" t="s">
        <v>3</v>
      </c>
      <c r="BR5" s="3" t="s">
        <v>0</v>
      </c>
      <c r="BS5" s="4" t="s">
        <v>1</v>
      </c>
      <c r="BT5" s="8" t="s">
        <v>2</v>
      </c>
      <c r="BU5" s="4" t="s">
        <v>3</v>
      </c>
      <c r="BV5" s="3" t="s">
        <v>0</v>
      </c>
      <c r="BW5" s="4" t="s">
        <v>1</v>
      </c>
      <c r="BX5" s="8" t="s">
        <v>2</v>
      </c>
      <c r="BY5" s="5" t="s">
        <v>3</v>
      </c>
    </row>
    <row r="6" spans="1:77" customFormat="1" x14ac:dyDescent="0.15">
      <c r="A6" s="1"/>
      <c r="B6" s="49"/>
      <c r="C6" s="1"/>
      <c r="D6" s="1"/>
      <c r="E6" s="10"/>
      <c r="F6" s="11"/>
      <c r="G6" s="28"/>
      <c r="H6" s="29"/>
      <c r="I6" s="29"/>
      <c r="J6" s="29"/>
      <c r="K6" s="10"/>
      <c r="L6" s="11"/>
      <c r="M6" s="11"/>
      <c r="N6" s="12"/>
      <c r="O6" s="1"/>
      <c r="P6" s="526"/>
      <c r="Q6" s="527"/>
      <c r="R6" s="527"/>
      <c r="S6" s="528"/>
      <c r="T6" s="526"/>
      <c r="U6" s="527"/>
      <c r="V6" s="527"/>
      <c r="W6" s="528"/>
      <c r="X6" s="3"/>
      <c r="Y6" s="4"/>
      <c r="Z6" s="4"/>
      <c r="AA6" s="5"/>
      <c r="AB6" s="4"/>
      <c r="AC6" s="4"/>
      <c r="AD6" s="4"/>
      <c r="AE6" s="3"/>
      <c r="AF6" s="4"/>
      <c r="AG6" s="4"/>
      <c r="AH6" s="526"/>
      <c r="AI6" s="527"/>
      <c r="AJ6" s="519"/>
      <c r="AK6" s="527"/>
      <c r="AL6" s="526"/>
      <c r="AM6" s="527"/>
      <c r="AN6" s="519"/>
      <c r="AO6" s="527"/>
      <c r="AP6" s="450"/>
      <c r="AQ6" s="451"/>
      <c r="AR6" s="444"/>
      <c r="AS6" s="451"/>
      <c r="AT6" s="405"/>
      <c r="AU6" s="406"/>
      <c r="AV6" s="401"/>
      <c r="AW6" s="406"/>
      <c r="AX6" s="400"/>
      <c r="AY6" s="401"/>
      <c r="AZ6" s="401"/>
      <c r="BA6" s="401"/>
      <c r="BB6" s="3"/>
      <c r="BC6" s="4"/>
      <c r="BD6" s="8"/>
      <c r="BE6" s="4"/>
      <c r="BF6" s="345"/>
      <c r="BG6" s="346"/>
      <c r="BH6" s="346"/>
      <c r="BI6" s="346"/>
      <c r="BJ6" s="3"/>
      <c r="BK6" s="4"/>
      <c r="BL6" s="8"/>
      <c r="BM6" s="4"/>
      <c r="BN6" s="45"/>
      <c r="BO6" s="46"/>
      <c r="BP6" s="44"/>
      <c r="BQ6" s="46"/>
      <c r="BR6" s="3"/>
      <c r="BS6" s="4"/>
      <c r="BT6" s="8"/>
      <c r="BU6" s="4"/>
      <c r="BV6" s="3"/>
      <c r="BW6" s="4"/>
      <c r="BX6" s="8"/>
      <c r="BY6" s="5"/>
    </row>
    <row r="7" spans="1:77" x14ac:dyDescent="0.15">
      <c r="B7" s="41" t="s">
        <v>102</v>
      </c>
      <c r="C7" s="123" t="s">
        <v>103</v>
      </c>
      <c r="D7" s="1">
        <v>2013</v>
      </c>
      <c r="E7" s="22">
        <f>IF(O7="",SUM(K7:N7),SUM(K7:O7))</f>
        <v>154.60000000000002</v>
      </c>
      <c r="F7" s="111" t="s">
        <v>47</v>
      </c>
      <c r="G7" s="27" t="str">
        <f>IF('TRA-M'!$A$2-D7&lt;=1,IF(R7&gt;=$P$3,"YES",IF(V7&gt;=$T$3,"YES",IF(Z7&gt;=$X$3,"YES",""))),"")</f>
        <v/>
      </c>
      <c r="H7" s="7" t="str">
        <f>IF(R7&gt;=$Q$3,"YES",IF(V7&gt;=$U$3,"YES",IF(Z7&gt;=$Y$3,"YES","")))</f>
        <v/>
      </c>
      <c r="I7" s="34" t="str">
        <f>IF(R7&gt;=$R$3,"YES",IF(V7&gt;=$V$3,"YES",IF(Z7&gt;=$Z$3,"YES","")))</f>
        <v/>
      </c>
      <c r="J7" s="52" t="str">
        <f>IF(R7&gt;=$S$3,"YES",IF(V7&gt;=$W$3,"YES",IF(Z7&gt;=$AA$3,"YES","")))</f>
        <v/>
      </c>
      <c r="K7" s="3">
        <f>MAX($Z7,$V7,$R7)</f>
        <v>76.400000000000006</v>
      </c>
      <c r="L7" s="4">
        <f>IF($K7=$Z7,MAX($T7,$P7),IF($K7=$V7,MAX($X7,$P7),MAX($X7,$T7)))</f>
        <v>0</v>
      </c>
      <c r="M7" s="4">
        <f>IF($K7=$Z7,MAX($U7,$Q7),IF($K7=$V7,MAX($Y7,$Q7),MAX($Y7,$U7)))</f>
        <v>0</v>
      </c>
      <c r="N7" s="5">
        <f>MAX($AA7,$W7,$S7)</f>
        <v>45.2</v>
      </c>
      <c r="O7" s="2">
        <f>IF(MAX(AB7:AD7)&lt;=0,"",MAX(AB7:AD7))</f>
        <v>33</v>
      </c>
      <c r="P7" s="522">
        <v>35.1</v>
      </c>
      <c r="Q7" s="163">
        <v>41.3</v>
      </c>
      <c r="R7" s="64">
        <f>+P7+Q7</f>
        <v>76.400000000000006</v>
      </c>
      <c r="S7" s="258">
        <v>45.2</v>
      </c>
      <c r="T7" s="522"/>
      <c r="U7" s="523"/>
      <c r="V7" s="64">
        <f>+T7+U7</f>
        <v>0</v>
      </c>
      <c r="W7" s="523"/>
      <c r="X7" s="522"/>
      <c r="Y7" s="523"/>
      <c r="Z7" s="64">
        <f>+X7+Y7</f>
        <v>0</v>
      </c>
      <c r="AA7" s="523"/>
      <c r="AB7" s="14">
        <f t="shared" ref="AB7:AD10" si="0">IF(AE7="","",AE7-L7)</f>
        <v>33</v>
      </c>
      <c r="AC7" s="14">
        <f t="shared" si="0"/>
        <v>9.5</v>
      </c>
      <c r="AD7" s="14" t="str">
        <f t="shared" si="0"/>
        <v/>
      </c>
      <c r="AE7" s="3">
        <f>IF(MAX($AH7,$AL7,$AP7,$AT7,$AX7,$BB7,$BF7,$BJ7,$BN7,$BR7,$BV7)=0,"",MAX($AH7,$AL7,$AP7,$AT7,$AX7,$BB7,$BF7,$BJ7,$BN7,$BR7,$BV7))</f>
        <v>33</v>
      </c>
      <c r="AF7" s="4">
        <f>IF(MAX($AI7,$AM7,$AQ7,$AU7,$AY7,$BC7,$BG7,$BK7,$BO7,$BS7,$BW7)=0,"",MAX($AI7,$AM7,$AQ7,$AU7,$AY7,$BC7,$BG7,$BK7,$BO7,$BS7,$BW7))</f>
        <v>9.5</v>
      </c>
      <c r="AG7" s="287" t="str">
        <f>IF(MAX($AK7,$AO7,$AS7,$AW7,$BA7,$BE7,$BI7,$BM7,$BQ7,$BU7,$BY7)=0,"",MAX($AK7,$AO7,$AS7,$AW7,$BA7,$BE7,$BI7,$BM7,$BQ7,$BU7,$BY7))</f>
        <v/>
      </c>
      <c r="AH7" s="529">
        <v>33</v>
      </c>
      <c r="AI7" s="104">
        <v>9.5</v>
      </c>
      <c r="AJ7" s="77">
        <f>IF(AI7&lt;&gt;"",AH7+AI7,"")</f>
        <v>42.5</v>
      </c>
      <c r="AK7" s="530"/>
      <c r="AL7" s="523"/>
      <c r="AM7" s="523"/>
      <c r="AN7" s="77" t="str">
        <f>IF(AM7&lt;&gt;"",AL7+AM7,"")</f>
        <v/>
      </c>
      <c r="AO7" s="524"/>
      <c r="AP7" s="457"/>
      <c r="AQ7" s="457"/>
      <c r="AR7" s="77" t="str">
        <f>IF(AQ7&lt;&gt;"",AP7+AQ7,"")</f>
        <v/>
      </c>
      <c r="AS7" s="458"/>
      <c r="AT7" s="457"/>
      <c r="AU7" s="457"/>
      <c r="AV7" s="77" t="str">
        <f>IF(AU7&lt;&gt;"",AT7+AU7,"")</f>
        <v/>
      </c>
      <c r="AW7" s="458"/>
      <c r="AX7" s="447"/>
      <c r="AY7" s="447"/>
      <c r="AZ7" s="77" t="str">
        <f>IF(AY7&lt;&gt;"",AX7+AY7,"")</f>
        <v/>
      </c>
      <c r="BA7" s="448"/>
      <c r="BB7" s="529"/>
      <c r="BC7" s="529"/>
      <c r="BD7" s="77" t="str">
        <f>IF(BC7&lt;&gt;"",BB7+BC7,"")</f>
        <v/>
      </c>
      <c r="BE7" s="530"/>
      <c r="BG7" s="403"/>
      <c r="BH7" s="76" t="str">
        <f>IF(BG7&lt;&gt;"",BF7+BG7,"")</f>
        <v/>
      </c>
      <c r="BI7" s="404"/>
      <c r="BJ7" s="286"/>
      <c r="BK7" s="46"/>
      <c r="BL7" s="76" t="str">
        <f>IF(BK7&lt;&gt;"",BJ7+BK7,"")</f>
        <v/>
      </c>
      <c r="BM7" s="289"/>
      <c r="BN7" s="288"/>
      <c r="BO7" s="46"/>
      <c r="BP7" s="76" t="str">
        <f>IF(BO7&lt;&gt;"",BN7+BO7,"")</f>
        <v/>
      </c>
      <c r="BQ7" s="289"/>
      <c r="BR7" s="286"/>
      <c r="BT7" s="76" t="str">
        <f>IF(BS7&lt;&gt;"",BR7+BS7,"")</f>
        <v/>
      </c>
      <c r="BU7" s="289"/>
      <c r="BV7" s="286"/>
      <c r="BX7" s="76" t="str">
        <f>IF(BW7&lt;&gt;"",BV7+BW7,"")</f>
        <v/>
      </c>
      <c r="BY7" s="47"/>
    </row>
    <row r="8" spans="1:77" customFormat="1" x14ac:dyDescent="0.15">
      <c r="A8" s="74"/>
      <c r="B8" s="41" t="s">
        <v>75</v>
      </c>
      <c r="C8" s="123" t="s">
        <v>25</v>
      </c>
      <c r="D8" s="262">
        <v>2014</v>
      </c>
      <c r="E8" s="22">
        <f>IF(O8="",SUM(K8:N8),SUM(K8:O8))</f>
        <v>203.89999999999998</v>
      </c>
      <c r="F8" s="111"/>
      <c r="G8" s="27" t="str">
        <f>IF('TRA-M'!$A$2-D8&lt;=1,IF(R8&gt;=$P$3,"YES",IF(V8&gt;=$T$3,"YES",IF(Z8&gt;=$X$3,"YES",""))),"")</f>
        <v/>
      </c>
      <c r="H8" s="7" t="str">
        <f>IF(R8&gt;=$Q$3,"YES",IF(V8&gt;=$U$3,"YES",IF(Z8&gt;=$Y$3,"YES","")))</f>
        <v/>
      </c>
      <c r="I8" s="34" t="str">
        <f>IF(R8&gt;=$R$3,"YES",IF(V8&gt;=$V$3,"YES",IF(Z8&gt;=$Z$3,"YES","")))</f>
        <v/>
      </c>
      <c r="J8" s="52" t="str">
        <f>IF(R8&gt;=$S$3,"YES",IF(V8&gt;=$W$3,"YES",IF(Z8&gt;=$AA$3,"YES","")))</f>
        <v/>
      </c>
      <c r="K8" s="260">
        <f>MAX($Z8,$V8,$R8)</f>
        <v>79.3</v>
      </c>
      <c r="L8" s="261">
        <f>IF($K8=$Z8,MAX($T8,$P8),IF($K8=$V8,MAX($X8,$P8),MAX($X8,$T8)))</f>
        <v>36.200000000000003</v>
      </c>
      <c r="M8" s="261">
        <f>IF($K8=$Z8,MAX($U8,$Q8),IF($K8=$V8,MAX($Y8,$Q8),MAX($Y8,$U8)))</f>
        <v>33.700000000000003</v>
      </c>
      <c r="N8" s="263">
        <f>MAX($AA8,$W8,$S8)</f>
        <v>45</v>
      </c>
      <c r="O8" s="2">
        <f>IF(MAX(AB8:AD8)&lt;=0,"",MAX(AB8:AD8))</f>
        <v>9.6999999999999957</v>
      </c>
      <c r="P8" s="522"/>
      <c r="Q8" s="523"/>
      <c r="R8" s="64">
        <f>+P8+Q8</f>
        <v>0</v>
      </c>
      <c r="S8" s="524"/>
      <c r="T8" s="522">
        <v>36.200000000000003</v>
      </c>
      <c r="U8" s="104">
        <v>33.700000000000003</v>
      </c>
      <c r="V8" s="64">
        <f>+T8+U8</f>
        <v>69.900000000000006</v>
      </c>
      <c r="W8" s="524"/>
      <c r="X8" s="522">
        <v>36</v>
      </c>
      <c r="Y8" s="523">
        <v>43.3</v>
      </c>
      <c r="Z8" s="64">
        <f>+X8+Y8</f>
        <v>79.3</v>
      </c>
      <c r="AA8" s="524">
        <v>45</v>
      </c>
      <c r="AB8" s="14">
        <f t="shared" si="0"/>
        <v>0.79999999999999716</v>
      </c>
      <c r="AC8" s="14">
        <f t="shared" si="0"/>
        <v>9.6999999999999957</v>
      </c>
      <c r="AD8" s="14">
        <f t="shared" si="0"/>
        <v>-5.5</v>
      </c>
      <c r="AE8" s="260">
        <f>IF(MAX($AH8,$AL8,$AP8,$AT8,$AX8,$BB8,$BF8,$BJ8,$BN8,$BR8,$BV8)=0,"",MAX($AH8,$AL8,$AP8,$AT8,$AX8,$BB8,$BF8,$BJ8,$BN8,$BR8,$BV8))</f>
        <v>37</v>
      </c>
      <c r="AF8" s="261">
        <f>IF(MAX($AI8,$AM8,$AQ8,$AU8,$AY8,$BC8,$BG8,$BK8,$BO8,$BS8,$BW8)=0,"",MAX($AI8,$AM8,$AQ8,$AU8,$AY8,$BC8,$BG8,$BK8,$BO8,$BS8,$BW8))</f>
        <v>43.4</v>
      </c>
      <c r="AG8" s="527">
        <f>IF(MAX($AK8,$AO8,$AS8,$AW8,$BA8,$BE8,$BI8,$BM8,$BQ8,$BU8,$BY8)=0,"",MAX($AK8,$AO8,$AS8,$AW8,$BA8,$BE8,$BI8,$BM8,$BQ8,$BU8,$BY8))</f>
        <v>39.5</v>
      </c>
      <c r="AH8" s="522"/>
      <c r="AI8" s="523"/>
      <c r="AJ8" s="77" t="str">
        <f>IF(AI8&lt;&gt;"",AH8+AI8,"")</f>
        <v/>
      </c>
      <c r="AK8" s="523"/>
      <c r="AL8" s="522"/>
      <c r="AM8" s="523">
        <v>43.2</v>
      </c>
      <c r="AN8" s="77">
        <f>IF(AM8&lt;&gt;"",AL8+AM8,"")</f>
        <v>43.2</v>
      </c>
      <c r="AO8" s="523">
        <v>39.5</v>
      </c>
      <c r="AP8" s="522">
        <v>37</v>
      </c>
      <c r="AQ8" s="163">
        <v>43.4</v>
      </c>
      <c r="AR8" s="77">
        <f>IF(AQ8&lt;&gt;"",AP8+AQ8,"")</f>
        <v>80.400000000000006</v>
      </c>
      <c r="AS8" s="523"/>
      <c r="AT8" s="522"/>
      <c r="AU8" s="457"/>
      <c r="AV8" s="77" t="str">
        <f>IF(AU8&lt;&gt;"",AT8+AU8,"")</f>
        <v/>
      </c>
      <c r="AW8" s="523"/>
      <c r="AX8" s="522"/>
      <c r="AY8" s="447"/>
      <c r="AZ8" s="77" t="str">
        <f>IF(AY8&lt;&gt;"",AX8+AY8,"")</f>
        <v/>
      </c>
      <c r="BA8" s="523"/>
      <c r="BB8" s="522"/>
      <c r="BC8" s="523"/>
      <c r="BD8" s="77" t="str">
        <f>IF(BC8&lt;&gt;"",BB8+BC8,"")</f>
        <v/>
      </c>
      <c r="BE8" s="523"/>
      <c r="BF8" s="518"/>
      <c r="BG8" s="382"/>
      <c r="BH8" s="76" t="str">
        <f>IF(BG8&lt;&gt;"",BF8+BG8,"")</f>
        <v/>
      </c>
      <c r="BI8" s="523"/>
      <c r="BJ8" s="526"/>
      <c r="BK8" s="264"/>
      <c r="BL8" s="76" t="str">
        <f>IF(BK8&lt;&gt;"",BJ8+BK8,"")</f>
        <v/>
      </c>
      <c r="BM8" s="529"/>
      <c r="BN8" s="45"/>
      <c r="BO8" s="264"/>
      <c r="BP8" s="76" t="str">
        <f>IF(BO8&lt;&gt;"",BN8+BO8,"")</f>
        <v/>
      </c>
      <c r="BQ8" s="529"/>
      <c r="BR8" s="526"/>
      <c r="BS8" s="261"/>
      <c r="BT8" s="76" t="str">
        <f>IF(BS8&lt;&gt;"",BR8+BS8,"")</f>
        <v/>
      </c>
      <c r="BU8" s="529"/>
      <c r="BV8" s="526"/>
      <c r="BW8" s="261"/>
      <c r="BX8" s="76" t="str">
        <f>IF(BW8&lt;&gt;"",BV8+BW8,"")</f>
        <v/>
      </c>
      <c r="BY8" s="265"/>
    </row>
    <row r="9" spans="1:77" x14ac:dyDescent="0.15">
      <c r="A9" s="521"/>
      <c r="B9" s="41" t="s">
        <v>128</v>
      </c>
      <c r="C9" s="123" t="s">
        <v>24</v>
      </c>
      <c r="D9" s="371">
        <v>2014</v>
      </c>
      <c r="E9" s="22">
        <f>IF(O9="",SUM(K9:N9),SUM(K9:O9))</f>
        <v>101.25</v>
      </c>
      <c r="F9" s="111"/>
      <c r="G9" s="27" t="str">
        <f>IF('TRA-M'!$A$2-D9&lt;=1,IF(R9&gt;=$P$3,"YES",IF(V9&gt;=$T$3,"YES",IF(Z9&gt;=$X$3,"YES",""))),"")</f>
        <v/>
      </c>
      <c r="H9" s="7" t="str">
        <f>IF(R9&gt;=$Q$3,"YES",IF(V9&gt;=$U$3,"YES",IF(Z9&gt;=$Y$3,"YES","")))</f>
        <v/>
      </c>
      <c r="I9" s="34" t="str">
        <f>IF(R9&gt;=$R$3,"YES",IF(V9&gt;=$V$3,"YES",IF(Z9&gt;=$Z$3,"YES","")))</f>
        <v/>
      </c>
      <c r="J9" s="52" t="str">
        <f>IF(R9&gt;=$S$3,"YES",IF(V9&gt;=$W$3,"YES",IF(Z9&gt;=$AA$3,"YES","")))</f>
        <v/>
      </c>
      <c r="K9" s="372">
        <f>MAX($Z9,$V9,$R9)</f>
        <v>40</v>
      </c>
      <c r="L9" s="373">
        <f>IF($K9=$Z9,MAX($T9,$P9),IF($K9=$V9,MAX($X9,$P9),MAX($X9,$T9)))</f>
        <v>0</v>
      </c>
      <c r="M9" s="373">
        <f>IF($K9=$Z9,MAX($U9,$Q9),IF($K9=$V9,MAX($Y9,$Q9),MAX($Y9,$U9)))</f>
        <v>0</v>
      </c>
      <c r="N9" s="374">
        <f>MAX($AA9,$W9,$S9)</f>
        <v>20.25</v>
      </c>
      <c r="O9" s="2">
        <f>IF(MAX(AB9:AD9)&lt;=0,"",MAX(AB9:AD9))</f>
        <v>41</v>
      </c>
      <c r="P9" s="522"/>
      <c r="Q9" s="523"/>
      <c r="R9" s="64">
        <f>+P9+Q9</f>
        <v>0</v>
      </c>
      <c r="S9" s="524"/>
      <c r="T9" s="267">
        <v>18.75</v>
      </c>
      <c r="U9" s="103">
        <v>21.25</v>
      </c>
      <c r="V9" s="102">
        <f>+T9+U9</f>
        <v>40</v>
      </c>
      <c r="W9" s="340">
        <v>20.25</v>
      </c>
      <c r="X9" s="522"/>
      <c r="Y9" s="523"/>
      <c r="Z9" s="64">
        <f>+X9+Y9</f>
        <v>0</v>
      </c>
      <c r="AA9" s="524"/>
      <c r="AB9" s="42" t="str">
        <f t="shared" si="0"/>
        <v/>
      </c>
      <c r="AC9" s="14">
        <f t="shared" si="0"/>
        <v>41</v>
      </c>
      <c r="AD9" s="14" t="str">
        <f t="shared" si="0"/>
        <v/>
      </c>
      <c r="AE9" s="372" t="str">
        <f>IF(MAX($AH9,$AL9,$AP9,$AT9,$AX9,$BB9,$BF9,$BJ9,$BN9,$BR9,$BV9)=0,"",MAX($AH9,$AL9,$AP9,$AT9,$AX9,$BB9,$BF9,$BJ9,$BN9,$BR9,$BV9))</f>
        <v/>
      </c>
      <c r="AF9" s="373">
        <f>IF(MAX($AI9,$AM9,$AQ9,$AU9,$AY9,$BC9,$BG9,$BK9,$BO9,$BS9,$BW9)=0,"",MAX($AI9,$AM9,$AQ9,$AU9,$AY9,$BC9,$BG9,$BK9,$BO9,$BS9,$BW9))</f>
        <v>41</v>
      </c>
      <c r="AG9" s="528" t="str">
        <f>IF(MAX($AK9,$AO9,$AS9,$AW9,$BA9,$BE9,$BI9,$BM9,$BQ9,$BU9,$BY9)=0,"",MAX($AK9,$AO9,$AS9,$AW9,$BA9,$BE9,$BI9,$BM9,$BQ9,$BU9,$BY9))</f>
        <v/>
      </c>
      <c r="AH9" s="523"/>
      <c r="AI9" s="523"/>
      <c r="AJ9" s="77" t="str">
        <f>IF(AI9&lt;&gt;"",AH9+AI9,"")</f>
        <v/>
      </c>
      <c r="AK9" s="524"/>
      <c r="AL9" s="523"/>
      <c r="AM9" s="523">
        <v>41</v>
      </c>
      <c r="AN9" s="77">
        <f>IF(AM9&lt;&gt;"",AL9+AM9,"")</f>
        <v>41</v>
      </c>
      <c r="AO9" s="524"/>
      <c r="AP9" s="523"/>
      <c r="AQ9" s="523"/>
      <c r="AR9" s="77" t="str">
        <f>IF(AQ9&lt;&gt;"",AP9+AQ9,"")</f>
        <v/>
      </c>
      <c r="AS9" s="524"/>
      <c r="AT9" s="523"/>
      <c r="AU9" s="457"/>
      <c r="AV9" s="77" t="str">
        <f>IF(AU9&lt;&gt;"",AT9+AU9,"")</f>
        <v/>
      </c>
      <c r="AW9" s="524"/>
      <c r="AX9" s="523"/>
      <c r="AY9" s="447"/>
      <c r="AZ9" s="77" t="str">
        <f>IF(AY9&lt;&gt;"",AX9+AY9,"")</f>
        <v/>
      </c>
      <c r="BA9" s="524"/>
      <c r="BB9" s="523"/>
      <c r="BC9" s="493"/>
      <c r="BD9" s="77" t="str">
        <f>IF(BC9&lt;&gt;"",BB9+BC9,"")</f>
        <v/>
      </c>
      <c r="BE9" s="524"/>
      <c r="BF9" s="519"/>
      <c r="BG9" s="369"/>
      <c r="BH9" s="76" t="str">
        <f>IF(BG9&lt;&gt;"",BF9+BG9,"")</f>
        <v/>
      </c>
      <c r="BI9" s="524"/>
      <c r="BJ9" s="527"/>
      <c r="BK9" s="375"/>
      <c r="BL9" s="76" t="str">
        <f>IF(BK9&lt;&gt;"",BJ9+BK9,"")</f>
        <v/>
      </c>
      <c r="BM9" s="530"/>
      <c r="BN9" s="529"/>
      <c r="BO9" s="375"/>
      <c r="BP9" s="76" t="str">
        <f>IF(BO9&lt;&gt;"",BN9+BO9,"")</f>
        <v/>
      </c>
      <c r="BQ9" s="530"/>
      <c r="BR9" s="527"/>
      <c r="BS9" s="373"/>
      <c r="BT9" s="76" t="str">
        <f>IF(BS9&lt;&gt;"",BR9+BS9,"")</f>
        <v/>
      </c>
      <c r="BU9" s="530"/>
      <c r="BV9" s="527"/>
      <c r="BW9" s="373"/>
      <c r="BX9" s="76" t="str">
        <f>IF(BW9&lt;&gt;"",BV9+BW9,"")</f>
        <v/>
      </c>
      <c r="BY9" s="376"/>
    </row>
    <row r="10" spans="1:77" x14ac:dyDescent="0.15">
      <c r="A10" s="74"/>
      <c r="B10" s="41" t="s">
        <v>147</v>
      </c>
      <c r="C10" s="123" t="s">
        <v>25</v>
      </c>
      <c r="D10" s="525">
        <v>2016</v>
      </c>
      <c r="E10" s="22">
        <f>IF(O10="",SUM(K10:N10),SUM(K10:O10))</f>
        <v>99.3</v>
      </c>
      <c r="F10" s="111"/>
      <c r="G10" s="27" t="str">
        <f>IF('TRA-M'!$A$2-D10&lt;=1,IF(R10&gt;=$P$3,"YES",IF(V10&gt;=$T$3,"YES",IF(Z10&gt;=$X$3,"YES",""))),"")</f>
        <v/>
      </c>
      <c r="H10" s="7" t="str">
        <f>IF(R10&gt;=$Q$3,"YES",IF(V10&gt;=$U$3,"YES",IF(Z10&gt;=$Y$3,"YES","")))</f>
        <v/>
      </c>
      <c r="I10" s="34" t="str">
        <f>IF(R10&gt;=$R$3,"YES",IF(V10&gt;=$V$3,"YES",IF(Z10&gt;=$Z$3,"YES","")))</f>
        <v/>
      </c>
      <c r="J10" s="52" t="str">
        <f>IF(R10&gt;=$S$3,"YES",IF(V10&gt;=$W$3,"YES",IF(Z10&gt;=$AA$3,"YES","")))</f>
        <v/>
      </c>
      <c r="K10" s="526">
        <f>MAX($Z10,$V10,$R10)</f>
        <v>55.8</v>
      </c>
      <c r="L10" s="527">
        <f>IF($K10=$Z10,MAX($T10,$P10),IF($K10=$V10,MAX($X10,$P10),MAX($X10,$T10)))</f>
        <v>0</v>
      </c>
      <c r="M10" s="527">
        <f>IF($K10=$Z10,MAX($U10,$Q10),IF($K10=$V10,MAX($Y10,$Q10),MAX($Y10,$U10)))</f>
        <v>0</v>
      </c>
      <c r="N10" s="528">
        <f>MAX($AA10,$W10,$S10)</f>
        <v>43.5</v>
      </c>
      <c r="O10" s="2" t="str">
        <f>IF(MAX(AB10:AD10)&lt;=0,"",MAX(AB10:AD10))</f>
        <v/>
      </c>
      <c r="P10" s="522"/>
      <c r="Q10" s="523"/>
      <c r="R10" s="64">
        <f>+P10+Q10</f>
        <v>0</v>
      </c>
      <c r="S10" s="524"/>
      <c r="T10" s="522"/>
      <c r="U10" s="523"/>
      <c r="V10" s="64">
        <f>+T10+U10</f>
        <v>0</v>
      </c>
      <c r="W10" s="524"/>
      <c r="X10" s="522">
        <v>37.799999999999997</v>
      </c>
      <c r="Y10" s="104">
        <v>18</v>
      </c>
      <c r="Z10" s="64">
        <f>+X10+Y10</f>
        <v>55.8</v>
      </c>
      <c r="AA10" s="524">
        <v>43.5</v>
      </c>
      <c r="AB10" s="42" t="str">
        <f t="shared" si="0"/>
        <v/>
      </c>
      <c r="AC10" s="14" t="str">
        <f t="shared" si="0"/>
        <v/>
      </c>
      <c r="AD10" s="14" t="str">
        <f t="shared" si="0"/>
        <v/>
      </c>
      <c r="AE10" s="526" t="str">
        <f>IF(MAX($AH10,$AL10,$AP10,$AT10,$AX10,$BB10,$BF10,$BJ10,$BN10,$BR10,$BV10)=0,"",MAX($AH10,$AL10,$AP10,$AT10,$AX10,$BB10,$BF10,$BJ10,$BN10,$BR10,$BV10))</f>
        <v/>
      </c>
      <c r="AF10" s="527" t="str">
        <f>IF(MAX($AI10,$AM10,$AQ10,$AU10,$AY10,$BC10,$BG10,$BK10,$BO10,$BS10,$BW10)=0,"",MAX($AI10,$AM10,$AQ10,$AU10,$AY10,$BC10,$BG10,$BK10,$BO10,$BS10,$BW10))</f>
        <v/>
      </c>
      <c r="AG10" s="528" t="str">
        <f>IF(MAX($AK10,$AO10,$AS10,$AW10,$BA10,$BE10,$BI10,$BM10,$BQ10,$BU10,$BY10)=0,"",MAX($AK10,$AO10,$AS10,$AW10,$BA10,$BE10,$BI10,$BM10,$BQ10,$BU10,$BY10))</f>
        <v/>
      </c>
      <c r="AH10" s="523"/>
      <c r="AI10" s="523"/>
      <c r="AJ10" s="77" t="str">
        <f>IF(AI10&lt;&gt;"",AH10+AI10,"")</f>
        <v/>
      </c>
      <c r="AK10" s="524"/>
      <c r="AL10" s="523"/>
      <c r="AM10" s="523"/>
      <c r="AN10" s="77" t="str">
        <f>IF(AM10&lt;&gt;"",AL10+AM10,"")</f>
        <v/>
      </c>
      <c r="AO10" s="524"/>
      <c r="AP10" s="523"/>
      <c r="AQ10" s="163"/>
      <c r="AR10" s="77" t="str">
        <f>IF(AQ10&lt;&gt;"",AP10+AQ10,"")</f>
        <v/>
      </c>
      <c r="AS10" s="524"/>
      <c r="AT10" s="523"/>
      <c r="AU10" s="523"/>
      <c r="AV10" s="77" t="str">
        <f>IF(AU10&lt;&gt;"",AT10+AU10,"")</f>
        <v/>
      </c>
      <c r="AW10" s="524"/>
      <c r="AX10" s="523"/>
      <c r="AY10" s="523"/>
      <c r="AZ10" s="77" t="str">
        <f>IF(AY10&lt;&gt;"",AX10+AY10,"")</f>
        <v/>
      </c>
      <c r="BA10" s="524"/>
      <c r="BB10" s="523"/>
      <c r="BC10" s="523"/>
      <c r="BD10" s="77" t="str">
        <f>IF(BC10&lt;&gt;"",BB10+BC10,"")</f>
        <v/>
      </c>
      <c r="BE10" s="524"/>
      <c r="BF10" s="519"/>
      <c r="BG10" s="523"/>
      <c r="BH10" s="76" t="str">
        <f>IF(BG10&lt;&gt;"",BF10+BG10,"")</f>
        <v/>
      </c>
      <c r="BI10" s="524"/>
      <c r="BJ10" s="527"/>
      <c r="BK10" s="529"/>
      <c r="BL10" s="76" t="str">
        <f>IF(BK10&lt;&gt;"",BJ10+BK10,"")</f>
        <v/>
      </c>
      <c r="BM10" s="530"/>
      <c r="BN10" s="529"/>
      <c r="BO10" s="529"/>
      <c r="BP10" s="76" t="str">
        <f>IF(BO10&lt;&gt;"",BN10+BO10,"")</f>
        <v/>
      </c>
      <c r="BQ10" s="530"/>
      <c r="BR10" s="527"/>
      <c r="BS10" s="527"/>
      <c r="BT10" s="76" t="str">
        <f>IF(BS10&lt;&gt;"",BR10+BS10,"")</f>
        <v/>
      </c>
      <c r="BU10" s="530"/>
      <c r="BV10" s="527"/>
      <c r="BW10" s="527"/>
      <c r="BX10" s="76" t="str">
        <f>IF(BW10&lt;&gt;"",BV10+BW10,"")</f>
        <v/>
      </c>
      <c r="BY10" s="530"/>
    </row>
    <row r="11" spans="1:77" x14ac:dyDescent="0.15">
      <c r="A11" s="445"/>
      <c r="C11" s="445"/>
      <c r="D11" s="449"/>
      <c r="E11" s="445"/>
      <c r="F11" s="445"/>
      <c r="K11" s="445"/>
      <c r="L11" s="445"/>
      <c r="M11" s="445"/>
      <c r="N11" s="445"/>
      <c r="O11" s="445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  <c r="AD11" s="451"/>
      <c r="AE11" s="451"/>
      <c r="AF11" s="451"/>
      <c r="AG11" s="451"/>
      <c r="AH11" s="451"/>
      <c r="AI11" s="451"/>
      <c r="AJ11" s="451"/>
      <c r="AK11" s="451"/>
      <c r="AL11" s="451"/>
      <c r="AM11" s="451"/>
      <c r="AN11" s="451"/>
      <c r="AO11" s="451"/>
      <c r="AP11" s="451"/>
      <c r="AQ11" s="451"/>
      <c r="AR11" s="451"/>
      <c r="AS11" s="451"/>
      <c r="AT11" s="451"/>
      <c r="AU11" s="451"/>
      <c r="AV11" s="451"/>
      <c r="AW11" s="451"/>
      <c r="AX11" s="444"/>
      <c r="AY11" s="444"/>
      <c r="AZ11" s="444"/>
      <c r="BA11" s="444"/>
      <c r="BB11" s="451"/>
      <c r="BC11" s="451"/>
      <c r="BD11" s="451"/>
      <c r="BE11" s="451"/>
      <c r="BF11" s="444"/>
      <c r="BG11" s="444"/>
      <c r="BH11" s="444"/>
      <c r="BI11" s="444"/>
      <c r="BJ11" s="451"/>
      <c r="BK11" s="451"/>
      <c r="BL11" s="451"/>
      <c r="BM11" s="451"/>
      <c r="BN11" s="452"/>
      <c r="BO11" s="452"/>
      <c r="BP11" s="452"/>
      <c r="BQ11" s="452"/>
      <c r="BR11" s="451"/>
      <c r="BS11" s="451"/>
      <c r="BT11" s="451"/>
      <c r="BU11" s="451"/>
      <c r="BV11" s="451"/>
      <c r="BW11" s="451"/>
      <c r="BX11" s="451"/>
      <c r="BY11" s="451"/>
    </row>
    <row r="12" spans="1:77" x14ac:dyDescent="0.15">
      <c r="A12" s="445"/>
      <c r="C12" s="445"/>
      <c r="D12" s="449"/>
      <c r="E12" s="445"/>
      <c r="F12" s="445"/>
      <c r="K12" s="445"/>
      <c r="L12" s="445"/>
      <c r="M12" s="445"/>
      <c r="N12" s="445"/>
      <c r="O12" s="445"/>
      <c r="P12" s="451"/>
      <c r="Q12" s="451"/>
      <c r="R12" s="451"/>
      <c r="S12" s="451"/>
      <c r="T12" s="451"/>
      <c r="U12" s="451"/>
      <c r="V12" s="451"/>
      <c r="W12" s="451"/>
      <c r="X12" s="451"/>
      <c r="Y12" s="451"/>
      <c r="Z12" s="451"/>
      <c r="AA12" s="451"/>
      <c r="AB12" s="451"/>
      <c r="AC12" s="451"/>
      <c r="AD12" s="451"/>
      <c r="AE12" s="451"/>
      <c r="AF12" s="451"/>
      <c r="AG12" s="451"/>
      <c r="AH12" s="451"/>
      <c r="AI12" s="451"/>
      <c r="AJ12" s="451"/>
      <c r="AK12" s="451"/>
      <c r="AL12" s="451"/>
      <c r="AM12" s="451"/>
      <c r="AN12" s="451"/>
      <c r="AO12" s="451"/>
      <c r="AP12" s="451"/>
      <c r="AQ12" s="451"/>
      <c r="AR12" s="451"/>
      <c r="AS12" s="451"/>
      <c r="AT12" s="451"/>
      <c r="AU12" s="451"/>
      <c r="AV12" s="451"/>
      <c r="AW12" s="451"/>
      <c r="AX12" s="444"/>
      <c r="AY12" s="444"/>
      <c r="AZ12" s="444"/>
      <c r="BA12" s="444"/>
      <c r="BB12" s="451"/>
      <c r="BC12" s="451"/>
      <c r="BD12" s="451"/>
      <c r="BE12" s="451"/>
      <c r="BF12" s="444"/>
      <c r="BG12" s="444"/>
      <c r="BH12" s="444"/>
      <c r="BI12" s="444"/>
      <c r="BJ12" s="451"/>
      <c r="BK12" s="451"/>
      <c r="BL12" s="451"/>
      <c r="BM12" s="451"/>
      <c r="BN12" s="452"/>
      <c r="BO12" s="452"/>
      <c r="BP12" s="452"/>
      <c r="BQ12" s="452"/>
      <c r="BR12" s="451"/>
      <c r="BS12" s="451"/>
      <c r="BT12" s="451"/>
      <c r="BU12" s="451"/>
      <c r="BV12" s="451"/>
      <c r="BW12" s="451"/>
      <c r="BX12" s="451"/>
      <c r="BY12" s="451"/>
    </row>
    <row r="13" spans="1:77" x14ac:dyDescent="0.15">
      <c r="A13" s="445"/>
      <c r="C13" s="445"/>
      <c r="D13" s="449"/>
      <c r="E13" s="445"/>
      <c r="F13" s="445"/>
      <c r="K13" s="445"/>
      <c r="L13" s="445"/>
      <c r="M13" s="445"/>
      <c r="N13" s="445"/>
      <c r="O13" s="445"/>
      <c r="P13" s="451"/>
      <c r="Q13" s="451"/>
      <c r="R13" s="451"/>
      <c r="S13" s="451"/>
      <c r="T13" s="451"/>
      <c r="U13" s="451"/>
      <c r="V13" s="451"/>
      <c r="W13" s="451"/>
      <c r="X13" s="451"/>
      <c r="Y13" s="451"/>
      <c r="Z13" s="451"/>
      <c r="AA13" s="451"/>
      <c r="AB13" s="451"/>
      <c r="AC13" s="451"/>
      <c r="AD13" s="451"/>
      <c r="AE13" s="451"/>
      <c r="AF13" s="451"/>
      <c r="AG13" s="451"/>
      <c r="AH13" s="451"/>
      <c r="AI13" s="451"/>
      <c r="AJ13" s="451"/>
      <c r="AK13" s="451"/>
      <c r="AL13" s="451"/>
      <c r="AM13" s="451"/>
      <c r="AN13" s="451"/>
      <c r="AO13" s="451"/>
      <c r="AP13" s="451"/>
      <c r="AQ13" s="451"/>
      <c r="AR13" s="451"/>
      <c r="AS13" s="451"/>
      <c r="AT13" s="451"/>
      <c r="AU13" s="451"/>
      <c r="AV13" s="451"/>
      <c r="AW13" s="451"/>
      <c r="AX13" s="444"/>
      <c r="AY13" s="444"/>
      <c r="AZ13" s="444"/>
      <c r="BA13" s="444"/>
      <c r="BB13" s="451"/>
      <c r="BC13" s="451"/>
      <c r="BD13" s="451"/>
      <c r="BE13" s="451"/>
      <c r="BF13" s="444"/>
      <c r="BG13" s="444"/>
      <c r="BH13" s="444"/>
      <c r="BI13" s="444"/>
      <c r="BJ13" s="451"/>
      <c r="BK13" s="451"/>
      <c r="BL13" s="451"/>
      <c r="BM13" s="451"/>
      <c r="BN13" s="452"/>
      <c r="BO13" s="452"/>
      <c r="BP13" s="452"/>
      <c r="BQ13" s="452"/>
      <c r="BR13" s="451"/>
      <c r="BS13" s="451"/>
      <c r="BT13" s="451"/>
      <c r="BU13" s="451"/>
      <c r="BV13" s="451"/>
      <c r="BW13" s="451"/>
      <c r="BX13" s="451"/>
      <c r="BY13" s="451"/>
    </row>
    <row r="14" spans="1:77" x14ac:dyDescent="0.15">
      <c r="A14" s="445"/>
      <c r="C14" s="445"/>
      <c r="D14" s="449"/>
      <c r="E14" s="445"/>
      <c r="F14" s="445"/>
      <c r="K14" s="445"/>
      <c r="L14" s="445"/>
      <c r="M14" s="445"/>
      <c r="N14" s="445"/>
      <c r="O14" s="445"/>
      <c r="P14" s="451"/>
      <c r="Q14" s="451"/>
      <c r="R14" s="451"/>
      <c r="S14" s="451"/>
      <c r="T14" s="451"/>
      <c r="U14" s="451"/>
      <c r="V14" s="451"/>
      <c r="W14" s="451"/>
      <c r="X14" s="451"/>
      <c r="Y14" s="451"/>
      <c r="Z14" s="451"/>
      <c r="AA14" s="451"/>
      <c r="AB14" s="451"/>
      <c r="AC14" s="451"/>
      <c r="AD14" s="451"/>
      <c r="AE14" s="451"/>
      <c r="AF14" s="451"/>
      <c r="AG14" s="451"/>
      <c r="AH14" s="451"/>
      <c r="AI14" s="451"/>
      <c r="AJ14" s="451"/>
      <c r="AK14" s="451"/>
      <c r="AL14" s="451"/>
      <c r="AM14" s="451"/>
      <c r="AN14" s="451"/>
      <c r="AO14" s="451"/>
      <c r="AP14" s="451"/>
      <c r="AQ14" s="451"/>
      <c r="AR14" s="451"/>
      <c r="AS14" s="451"/>
      <c r="AT14" s="451"/>
      <c r="AU14" s="451"/>
      <c r="AV14" s="451"/>
      <c r="AW14" s="451"/>
      <c r="AX14" s="444"/>
      <c r="AY14" s="444"/>
      <c r="AZ14" s="444"/>
      <c r="BA14" s="444"/>
      <c r="BB14" s="451"/>
      <c r="BC14" s="451"/>
      <c r="BD14" s="451"/>
      <c r="BE14" s="451"/>
      <c r="BF14" s="444"/>
      <c r="BG14" s="444"/>
      <c r="BH14" s="444"/>
      <c r="BI14" s="444"/>
      <c r="BJ14" s="451"/>
      <c r="BK14" s="451"/>
      <c r="BL14" s="451"/>
      <c r="BM14" s="451"/>
      <c r="BN14" s="452"/>
      <c r="BO14" s="452"/>
      <c r="BP14" s="452"/>
      <c r="BQ14" s="452"/>
      <c r="BR14" s="451"/>
      <c r="BS14" s="451"/>
      <c r="BT14" s="451"/>
      <c r="BU14" s="451"/>
      <c r="BV14" s="451"/>
      <c r="BW14" s="451"/>
      <c r="BX14" s="451"/>
      <c r="BY14" s="451"/>
    </row>
    <row r="15" spans="1:77" x14ac:dyDescent="0.15">
      <c r="A15" s="445"/>
      <c r="C15" s="445"/>
      <c r="D15" s="449"/>
      <c r="E15" s="445"/>
      <c r="F15" s="445"/>
      <c r="K15" s="445"/>
      <c r="L15" s="445"/>
      <c r="M15" s="445"/>
      <c r="N15" s="445"/>
      <c r="O15" s="445"/>
      <c r="P15" s="451"/>
      <c r="Q15" s="451"/>
      <c r="R15" s="451"/>
      <c r="S15" s="451"/>
      <c r="T15" s="451"/>
      <c r="U15" s="451"/>
      <c r="V15" s="451"/>
      <c r="W15" s="451"/>
      <c r="X15" s="451"/>
      <c r="Y15" s="451"/>
      <c r="Z15" s="451"/>
      <c r="AA15" s="451"/>
      <c r="AB15" s="451"/>
      <c r="AC15" s="451"/>
      <c r="AD15" s="451"/>
      <c r="AE15" s="451"/>
      <c r="AF15" s="451"/>
      <c r="AG15" s="451"/>
      <c r="AH15" s="451"/>
      <c r="AI15" s="451"/>
      <c r="AJ15" s="451"/>
      <c r="AK15" s="451"/>
      <c r="AL15" s="451"/>
      <c r="AM15" s="451"/>
      <c r="AN15" s="451"/>
      <c r="AO15" s="451"/>
      <c r="AP15" s="451"/>
      <c r="AQ15" s="451"/>
      <c r="AR15" s="451"/>
      <c r="AS15" s="451"/>
      <c r="AT15" s="451"/>
      <c r="AU15" s="451"/>
      <c r="AV15" s="451"/>
      <c r="AW15" s="451"/>
      <c r="AX15" s="444"/>
      <c r="AY15" s="444"/>
      <c r="AZ15" s="444"/>
      <c r="BA15" s="444"/>
      <c r="BB15" s="451"/>
      <c r="BC15" s="451"/>
      <c r="BD15" s="451"/>
      <c r="BE15" s="451"/>
      <c r="BF15" s="444"/>
      <c r="BG15" s="444"/>
      <c r="BH15" s="444"/>
      <c r="BI15" s="444"/>
      <c r="BJ15" s="451"/>
      <c r="BK15" s="451"/>
      <c r="BL15" s="451"/>
      <c r="BM15" s="451"/>
      <c r="BN15" s="452"/>
      <c r="BO15" s="452"/>
      <c r="BP15" s="452"/>
      <c r="BQ15" s="452"/>
      <c r="BR15" s="451"/>
      <c r="BS15" s="451"/>
      <c r="BT15" s="451"/>
      <c r="BU15" s="451"/>
      <c r="BV15" s="451"/>
      <c r="BW15" s="451"/>
      <c r="BX15" s="451"/>
      <c r="BY15" s="451"/>
    </row>
    <row r="16" spans="1:77" x14ac:dyDescent="0.15">
      <c r="BN16" s="46"/>
      <c r="BO16" s="46"/>
      <c r="BP16" s="46"/>
      <c r="BQ16" s="46"/>
    </row>
    <row r="17" spans="2:69" x14ac:dyDescent="0.15">
      <c r="BN17" s="46"/>
      <c r="BO17" s="46"/>
      <c r="BP17" s="46"/>
      <c r="BQ17" s="46"/>
    </row>
    <row r="18" spans="2:69" x14ac:dyDescent="0.15">
      <c r="BN18" s="46"/>
      <c r="BO18" s="46"/>
      <c r="BP18" s="46"/>
      <c r="BQ18" s="46"/>
    </row>
    <row r="19" spans="2:69" x14ac:dyDescent="0.15">
      <c r="BN19" s="46"/>
      <c r="BO19" s="46"/>
      <c r="BP19" s="46"/>
      <c r="BQ19" s="46"/>
    </row>
    <row r="20" spans="2:69" x14ac:dyDescent="0.15">
      <c r="BK20" s="44"/>
      <c r="BN20" s="46"/>
      <c r="BO20" s="44"/>
      <c r="BP20" s="46"/>
      <c r="BQ20" s="46"/>
    </row>
    <row r="21" spans="2:69" x14ac:dyDescent="0.15">
      <c r="BK21" s="44"/>
      <c r="BN21" s="46"/>
      <c r="BO21" s="44"/>
      <c r="BP21" s="46"/>
      <c r="BQ21" s="46"/>
    </row>
    <row r="22" spans="2:69" x14ac:dyDescent="0.15">
      <c r="BK22" s="46"/>
      <c r="BN22" s="46"/>
      <c r="BO22" s="46"/>
      <c r="BP22" s="46"/>
      <c r="BQ22" s="46"/>
    </row>
    <row r="23" spans="2:69" x14ac:dyDescent="0.15">
      <c r="B23" s="117"/>
      <c r="E23" s="53"/>
      <c r="F23" s="53"/>
      <c r="G23" s="53"/>
      <c r="H23" s="27"/>
      <c r="I23" s="7"/>
      <c r="BK23" s="46"/>
      <c r="BN23" s="46"/>
      <c r="BO23" s="46"/>
      <c r="BP23" s="46"/>
      <c r="BQ23" s="46"/>
    </row>
    <row r="24" spans="2:69" x14ac:dyDescent="0.15">
      <c r="B24" s="117"/>
      <c r="E24" s="53"/>
      <c r="F24" s="53"/>
      <c r="G24" s="53"/>
      <c r="H24" s="27"/>
      <c r="I24" s="7"/>
    </row>
    <row r="25" spans="2:69" x14ac:dyDescent="0.15">
      <c r="B25" s="106" t="s">
        <v>91</v>
      </c>
      <c r="C25" s="107"/>
      <c r="D25" s="107"/>
      <c r="E25" s="107"/>
      <c r="F25" s="107"/>
      <c r="G25" s="107"/>
      <c r="H25" s="108"/>
      <c r="I25" s="109"/>
      <c r="J25" s="148"/>
      <c r="K25" s="184"/>
      <c r="L25" s="71"/>
      <c r="M25" s="71"/>
      <c r="N25" s="71"/>
    </row>
    <row r="26" spans="2:69" x14ac:dyDescent="0.15">
      <c r="B26" s="40" t="s">
        <v>56</v>
      </c>
    </row>
  </sheetData>
  <sortState ref="A7:BY10">
    <sortCondition descending="1" ref="F7:F10"/>
    <sortCondition descending="1" ref="H7:H10"/>
    <sortCondition descending="1" ref="E7:E10"/>
  </sortState>
  <mergeCells count="45">
    <mergeCell ref="K1:N1"/>
    <mergeCell ref="P1:S1"/>
    <mergeCell ref="T1:W1"/>
    <mergeCell ref="X1:AA1"/>
    <mergeCell ref="K2:N2"/>
    <mergeCell ref="P2:S2"/>
    <mergeCell ref="T2:W2"/>
    <mergeCell ref="X2:AA2"/>
    <mergeCell ref="BF1:BI1"/>
    <mergeCell ref="BF2:BI2"/>
    <mergeCell ref="AH2:AK2"/>
    <mergeCell ref="AB1:AD1"/>
    <mergeCell ref="AE1:AG1"/>
    <mergeCell ref="AH1:AK1"/>
    <mergeCell ref="AL1:AO1"/>
    <mergeCell ref="AB2:AD2"/>
    <mergeCell ref="AE2:AG2"/>
    <mergeCell ref="AL2:AO2"/>
    <mergeCell ref="AP2:AS2"/>
    <mergeCell ref="AT2:AW2"/>
    <mergeCell ref="AX2:BA2"/>
    <mergeCell ref="AP1:AS1"/>
    <mergeCell ref="AT1:AW1"/>
    <mergeCell ref="AX1:BA1"/>
    <mergeCell ref="AP3:AS3"/>
    <mergeCell ref="AL3:AO3"/>
    <mergeCell ref="AH3:AK3"/>
    <mergeCell ref="AX3:BA3"/>
    <mergeCell ref="AT3:AW3"/>
    <mergeCell ref="BF3:BI3"/>
    <mergeCell ref="BB3:BE3"/>
    <mergeCell ref="BV1:BY1"/>
    <mergeCell ref="BV2:BY2"/>
    <mergeCell ref="BJ1:BM1"/>
    <mergeCell ref="BJ2:BM2"/>
    <mergeCell ref="BN1:BQ1"/>
    <mergeCell ref="BJ3:BM3"/>
    <mergeCell ref="BN3:BQ3"/>
    <mergeCell ref="BR3:BU3"/>
    <mergeCell ref="BV3:BY3"/>
    <mergeCell ref="BB1:BE1"/>
    <mergeCell ref="BB2:BE2"/>
    <mergeCell ref="BN2:BQ2"/>
    <mergeCell ref="BR1:BU1"/>
    <mergeCell ref="BR2:BU2"/>
  </mergeCells>
  <phoneticPr fontId="0" type="noConversion"/>
  <pageMargins left="0.47244094488188981" right="0.47244094488188981" top="0.98425196850393704" bottom="0.98425196850393704" header="0.51181102362204722" footer="0.51181102362204722"/>
  <pageSetup scale="50" fitToWidth="0" orientation="landscape" r:id="rId1"/>
  <headerFooter alignWithMargins="0">
    <oddHeader>&amp;L&amp;A&amp;R&amp;F</oddHeader>
    <oddFooter>&amp;CPage &amp;P</oddFooter>
  </headerFooter>
  <colBreaks count="2" manualBreakCount="2">
    <brk id="23" max="29" man="1"/>
    <brk id="49" max="2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J29"/>
  <sheetViews>
    <sheetView view="pageBreakPreview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ColWidth="9.1640625" defaultRowHeight="13" x14ac:dyDescent="0.15"/>
  <cols>
    <col min="1" max="1" width="5.6640625" style="11" customWidth="1"/>
    <col min="2" max="2" width="25.6640625" style="13" customWidth="1"/>
    <col min="3" max="4" width="7.6640625" style="11" customWidth="1"/>
    <col min="5" max="5" width="8.6640625" style="11" customWidth="1"/>
    <col min="6" max="6" width="8.6640625" style="105" customWidth="1"/>
    <col min="7" max="7" width="8.6640625" style="28" customWidth="1"/>
    <col min="8" max="8" width="8.6640625" style="31" customWidth="1"/>
    <col min="9" max="10" width="8.6640625" style="26" customWidth="1"/>
    <col min="11" max="15" width="8.6640625" style="11" customWidth="1"/>
    <col min="16" max="19" width="8.6640625" style="424" customWidth="1"/>
    <col min="20" max="20" width="8.6640625" style="69" customWidth="1"/>
    <col min="21" max="24" width="8.6640625" style="424" customWidth="1"/>
    <col min="25" max="25" width="8.6640625" style="69" customWidth="1"/>
    <col min="26" max="29" width="8.6640625" style="4" customWidth="1"/>
    <col min="30" max="30" width="8.6640625" style="69" customWidth="1"/>
    <col min="31" max="36" width="8.6640625" style="4" customWidth="1"/>
    <col min="37" max="44" width="8.6640625" style="459" customWidth="1"/>
    <col min="45" max="52" width="8.6640625" style="351" customWidth="1"/>
    <col min="53" max="56" width="8.6640625" style="230" customWidth="1"/>
    <col min="57" max="60" width="8.6640625" style="218" customWidth="1"/>
    <col min="61" max="64" width="8.6640625" style="212" customWidth="1"/>
    <col min="65" max="76" width="8.6640625" style="4" customWidth="1"/>
    <col min="77" max="16384" width="9.1640625" style="13"/>
  </cols>
  <sheetData>
    <row r="1" spans="1:88" customFormat="1" x14ac:dyDescent="0.15">
      <c r="A1" s="20"/>
      <c r="B1" s="17" t="s">
        <v>19</v>
      </c>
      <c r="C1" s="17"/>
      <c r="D1" s="17"/>
      <c r="E1" s="38"/>
      <c r="F1" s="110"/>
      <c r="G1" s="28"/>
      <c r="H1" s="29">
        <v>63.7</v>
      </c>
      <c r="I1" s="37"/>
      <c r="J1" s="37"/>
      <c r="K1" s="591" t="s">
        <v>12</v>
      </c>
      <c r="L1" s="592"/>
      <c r="M1" s="592"/>
      <c r="N1" s="593"/>
      <c r="O1" s="4"/>
      <c r="P1" s="575" t="s">
        <v>113</v>
      </c>
      <c r="Q1" s="592"/>
      <c r="R1" s="592"/>
      <c r="S1" s="592"/>
      <c r="T1" s="593"/>
      <c r="U1" s="575" t="s">
        <v>115</v>
      </c>
      <c r="V1" s="592"/>
      <c r="W1" s="592"/>
      <c r="X1" s="592"/>
      <c r="Y1" s="593"/>
      <c r="Z1" s="575" t="s">
        <v>138</v>
      </c>
      <c r="AA1" s="592"/>
      <c r="AB1" s="592"/>
      <c r="AC1" s="592"/>
      <c r="AD1" s="593"/>
      <c r="AE1" s="591" t="s">
        <v>16</v>
      </c>
      <c r="AF1" s="592"/>
      <c r="AG1" s="593"/>
      <c r="AH1" s="591" t="s">
        <v>10</v>
      </c>
      <c r="AI1" s="592"/>
      <c r="AJ1" s="593"/>
      <c r="AK1" s="575" t="s">
        <v>92</v>
      </c>
      <c r="AL1" s="576"/>
      <c r="AM1" s="576"/>
      <c r="AN1" s="576"/>
      <c r="AO1" s="575" t="s">
        <v>107</v>
      </c>
      <c r="AP1" s="576"/>
      <c r="AQ1" s="576"/>
      <c r="AR1" s="576"/>
      <c r="AS1" s="575" t="s">
        <v>107</v>
      </c>
      <c r="AT1" s="576"/>
      <c r="AU1" s="576"/>
      <c r="AV1" s="576"/>
      <c r="AW1" s="575" t="s">
        <v>136</v>
      </c>
      <c r="AX1" s="576"/>
      <c r="AY1" s="576"/>
      <c r="AZ1" s="576"/>
      <c r="BA1" s="575"/>
      <c r="BB1" s="592"/>
      <c r="BC1" s="592"/>
      <c r="BD1" s="593"/>
      <c r="BE1" s="575"/>
      <c r="BF1" s="576"/>
      <c r="BG1" s="576"/>
      <c r="BH1" s="576"/>
      <c r="BI1" s="575"/>
      <c r="BJ1" s="576"/>
      <c r="BK1" s="576"/>
      <c r="BL1" s="576"/>
      <c r="BM1" s="4"/>
      <c r="BN1" s="4"/>
      <c r="BO1" s="4"/>
      <c r="BP1" s="4"/>
      <c r="BQ1" s="575"/>
      <c r="BR1" s="576"/>
      <c r="BS1" s="576"/>
      <c r="BT1" s="577"/>
      <c r="BU1" s="575"/>
      <c r="BV1" s="576"/>
      <c r="BW1" s="576"/>
      <c r="BX1" s="577"/>
    </row>
    <row r="2" spans="1:88" customFormat="1" x14ac:dyDescent="0.15">
      <c r="A2" s="1"/>
      <c r="B2" s="18" t="s">
        <v>21</v>
      </c>
      <c r="C2" s="18"/>
      <c r="D2" s="18"/>
      <c r="E2" s="38"/>
      <c r="F2" s="110"/>
      <c r="G2" s="91"/>
      <c r="H2" s="91">
        <v>200.1</v>
      </c>
      <c r="I2" s="91">
        <v>206.7</v>
      </c>
      <c r="J2" s="91">
        <v>214.8</v>
      </c>
      <c r="K2" s="591" t="s">
        <v>11</v>
      </c>
      <c r="L2" s="592"/>
      <c r="M2" s="592"/>
      <c r="N2" s="593"/>
      <c r="O2" s="4"/>
      <c r="P2" s="575" t="s">
        <v>100</v>
      </c>
      <c r="Q2" s="592"/>
      <c r="R2" s="592"/>
      <c r="S2" s="592"/>
      <c r="T2" s="593"/>
      <c r="U2" s="575" t="s">
        <v>116</v>
      </c>
      <c r="V2" s="592"/>
      <c r="W2" s="592"/>
      <c r="X2" s="592"/>
      <c r="Y2" s="593"/>
      <c r="Z2" s="575" t="s">
        <v>139</v>
      </c>
      <c r="AA2" s="592"/>
      <c r="AB2" s="592"/>
      <c r="AC2" s="592"/>
      <c r="AD2" s="593"/>
      <c r="AE2" s="591" t="s">
        <v>17</v>
      </c>
      <c r="AF2" s="592"/>
      <c r="AG2" s="593"/>
      <c r="AH2" s="591" t="s">
        <v>11</v>
      </c>
      <c r="AI2" s="592"/>
      <c r="AJ2" s="593"/>
      <c r="AK2" s="575" t="s">
        <v>105</v>
      </c>
      <c r="AL2" s="592"/>
      <c r="AM2" s="592"/>
      <c r="AN2" s="593"/>
      <c r="AO2" s="575" t="s">
        <v>108</v>
      </c>
      <c r="AP2" s="592"/>
      <c r="AQ2" s="592"/>
      <c r="AR2" s="593"/>
      <c r="AS2" s="575" t="s">
        <v>108</v>
      </c>
      <c r="AT2" s="592"/>
      <c r="AU2" s="592"/>
      <c r="AV2" s="593"/>
      <c r="AW2" s="575" t="s">
        <v>137</v>
      </c>
      <c r="AX2" s="592"/>
      <c r="AY2" s="592"/>
      <c r="AZ2" s="593"/>
      <c r="BA2" s="575"/>
      <c r="BB2" s="592"/>
      <c r="BC2" s="592"/>
      <c r="BD2" s="593"/>
      <c r="BE2" s="587"/>
      <c r="BF2" s="588"/>
      <c r="BG2" s="588"/>
      <c r="BH2" s="589"/>
      <c r="BI2" s="587"/>
      <c r="BJ2" s="588"/>
      <c r="BK2" s="588"/>
      <c r="BL2" s="589"/>
      <c r="BM2" s="4"/>
      <c r="BN2" s="4"/>
      <c r="BO2" s="4"/>
      <c r="BP2" s="4"/>
      <c r="BQ2" s="575"/>
      <c r="BR2" s="576"/>
      <c r="BS2" s="576"/>
      <c r="BT2" s="577"/>
      <c r="BU2" s="575"/>
      <c r="BV2" s="576"/>
      <c r="BW2" s="576"/>
      <c r="BX2" s="577"/>
    </row>
    <row r="3" spans="1:88" customFormat="1" x14ac:dyDescent="0.15">
      <c r="A3" s="1"/>
      <c r="B3" s="17" t="s">
        <v>33</v>
      </c>
      <c r="C3" s="17"/>
      <c r="D3" s="17"/>
      <c r="E3" s="38"/>
      <c r="F3" s="105"/>
      <c r="G3" s="36"/>
      <c r="H3" s="30"/>
      <c r="I3" s="25"/>
      <c r="J3" s="25"/>
      <c r="K3" s="10"/>
      <c r="L3" s="11"/>
      <c r="M3" s="11"/>
      <c r="N3" s="12"/>
      <c r="O3" s="1"/>
      <c r="P3" s="58">
        <v>64.400000000000006</v>
      </c>
      <c r="Q3" s="54">
        <v>66.7</v>
      </c>
      <c r="R3" s="67">
        <v>68.900000000000006</v>
      </c>
      <c r="S3" s="60">
        <v>71.599999999999994</v>
      </c>
      <c r="T3" s="70"/>
      <c r="U3" s="58">
        <v>64.400000000000006</v>
      </c>
      <c r="V3" s="54">
        <v>66.7</v>
      </c>
      <c r="W3" s="67">
        <v>68.900000000000006</v>
      </c>
      <c r="X3" s="60">
        <v>71.599999999999994</v>
      </c>
      <c r="Y3" s="70"/>
      <c r="Z3" s="58">
        <v>64.400000000000006</v>
      </c>
      <c r="AA3" s="54">
        <v>66.7</v>
      </c>
      <c r="AB3" s="67">
        <v>68.900000000000006</v>
      </c>
      <c r="AC3" s="60">
        <v>71.599999999999994</v>
      </c>
      <c r="AD3" s="70"/>
      <c r="AE3" s="4"/>
      <c r="AF3" s="4"/>
      <c r="AG3" s="4"/>
      <c r="AH3" s="3"/>
      <c r="AI3" s="4"/>
      <c r="AJ3" s="4"/>
      <c r="AK3" s="584"/>
      <c r="AL3" s="585"/>
      <c r="AM3" s="585"/>
      <c r="AN3" s="586"/>
      <c r="AO3" s="584"/>
      <c r="AP3" s="585"/>
      <c r="AQ3" s="585"/>
      <c r="AR3" s="586"/>
      <c r="AS3" s="598" t="s">
        <v>109</v>
      </c>
      <c r="AT3" s="599"/>
      <c r="AU3" s="599"/>
      <c r="AV3" s="599"/>
      <c r="AW3" s="598"/>
      <c r="AX3" s="599"/>
      <c r="AY3" s="599"/>
      <c r="AZ3" s="599"/>
      <c r="BA3" s="598"/>
      <c r="BB3" s="599"/>
      <c r="BC3" s="599"/>
      <c r="BD3" s="599"/>
      <c r="BE3" s="598"/>
      <c r="BF3" s="599"/>
      <c r="BG3" s="599"/>
      <c r="BH3" s="599"/>
      <c r="BI3" s="598"/>
      <c r="BJ3" s="599"/>
      <c r="BK3" s="599"/>
      <c r="BL3" s="599"/>
      <c r="BM3" s="3"/>
      <c r="BN3" s="4"/>
      <c r="BO3" s="4"/>
      <c r="BP3" s="5"/>
      <c r="BQ3" s="15"/>
      <c r="BR3" s="8"/>
      <c r="BS3" s="8"/>
      <c r="BT3" s="16"/>
      <c r="BU3" s="15"/>
      <c r="BV3" s="8"/>
      <c r="BW3" s="8"/>
      <c r="BX3" s="16"/>
    </row>
    <row r="4" spans="1:88" customFormat="1" x14ac:dyDescent="0.15">
      <c r="A4" s="1"/>
      <c r="B4" s="17" t="s">
        <v>22</v>
      </c>
      <c r="C4" s="17"/>
      <c r="D4" s="24" t="s">
        <v>44</v>
      </c>
      <c r="E4" s="10" t="s">
        <v>8</v>
      </c>
      <c r="F4" s="105" t="s">
        <v>46</v>
      </c>
      <c r="G4" s="28" t="s">
        <v>34</v>
      </c>
      <c r="H4" s="29" t="s">
        <v>9</v>
      </c>
      <c r="I4" s="37" t="s">
        <v>14</v>
      </c>
      <c r="J4" s="60" t="s">
        <v>43</v>
      </c>
      <c r="K4" s="10" t="s">
        <v>4</v>
      </c>
      <c r="L4" s="11" t="s">
        <v>4</v>
      </c>
      <c r="M4" s="11" t="s">
        <v>4</v>
      </c>
      <c r="N4" s="12" t="s">
        <v>4</v>
      </c>
      <c r="O4" s="1" t="s">
        <v>4</v>
      </c>
      <c r="P4" s="59" t="s">
        <v>34</v>
      </c>
      <c r="Q4" s="31" t="s">
        <v>9</v>
      </c>
      <c r="R4" s="26" t="s">
        <v>14</v>
      </c>
      <c r="S4" s="60" t="s">
        <v>43</v>
      </c>
      <c r="T4" s="69"/>
      <c r="U4" s="59" t="s">
        <v>34</v>
      </c>
      <c r="V4" s="31" t="s">
        <v>9</v>
      </c>
      <c r="W4" s="26" t="s">
        <v>14</v>
      </c>
      <c r="X4" s="60" t="s">
        <v>43</v>
      </c>
      <c r="Y4" s="69"/>
      <c r="Z4" s="59" t="s">
        <v>34</v>
      </c>
      <c r="AA4" s="31" t="s">
        <v>9</v>
      </c>
      <c r="AB4" s="26" t="s">
        <v>14</v>
      </c>
      <c r="AC4" s="60" t="s">
        <v>43</v>
      </c>
      <c r="AD4" s="69"/>
      <c r="AE4" s="3" t="s">
        <v>4</v>
      </c>
      <c r="AF4" s="1" t="s">
        <v>4</v>
      </c>
      <c r="AG4" s="24" t="s">
        <v>4</v>
      </c>
      <c r="AH4" s="3" t="s">
        <v>4</v>
      </c>
      <c r="AI4" s="1" t="s">
        <v>4</v>
      </c>
      <c r="AJ4" s="24" t="s">
        <v>4</v>
      </c>
      <c r="AK4" s="522"/>
      <c r="AL4" s="523"/>
      <c r="AM4" s="523"/>
      <c r="AN4" s="523"/>
      <c r="AO4" s="522"/>
      <c r="AP4" s="523"/>
      <c r="AQ4" s="523"/>
      <c r="AR4" s="523"/>
      <c r="AS4" s="522"/>
      <c r="AT4" s="523"/>
      <c r="AU4" s="523"/>
      <c r="AV4" s="523"/>
      <c r="AW4" s="353"/>
      <c r="AX4" s="354"/>
      <c r="AY4" s="354"/>
      <c r="AZ4" s="354"/>
      <c r="BA4" s="231"/>
      <c r="BB4" s="232"/>
      <c r="BC4" s="232"/>
      <c r="BD4" s="232"/>
      <c r="BE4" s="219"/>
      <c r="BF4" s="220"/>
      <c r="BG4" s="220"/>
      <c r="BH4" s="220"/>
      <c r="BI4" s="208"/>
      <c r="BJ4" s="209"/>
      <c r="BK4" s="209"/>
      <c r="BL4" s="209"/>
      <c r="BM4" s="3"/>
      <c r="BN4" s="4"/>
      <c r="BO4" s="8"/>
      <c r="BP4" s="5"/>
      <c r="BQ4" s="15"/>
      <c r="BR4" s="8"/>
      <c r="BS4" s="8"/>
      <c r="BT4" s="16"/>
      <c r="BU4" s="15"/>
      <c r="BV4" s="8"/>
      <c r="BW4" s="8"/>
      <c r="BX4" s="16"/>
    </row>
    <row r="5" spans="1:88" customFormat="1" x14ac:dyDescent="0.15">
      <c r="A5" s="1"/>
      <c r="B5" s="19" t="str">
        <f>+'TRA-M'!A1</f>
        <v>JUNE 2016</v>
      </c>
      <c r="C5" s="21" t="s">
        <v>23</v>
      </c>
      <c r="D5" s="21" t="s">
        <v>45</v>
      </c>
      <c r="E5" s="10" t="s">
        <v>7</v>
      </c>
      <c r="F5" s="105">
        <v>15.1</v>
      </c>
      <c r="G5" s="28" t="s">
        <v>13</v>
      </c>
      <c r="H5" s="29" t="s">
        <v>13</v>
      </c>
      <c r="I5" s="37" t="s">
        <v>13</v>
      </c>
      <c r="J5" s="61" t="s">
        <v>13</v>
      </c>
      <c r="K5" s="10" t="s">
        <v>2</v>
      </c>
      <c r="L5" s="11" t="s">
        <v>31</v>
      </c>
      <c r="M5" s="11" t="s">
        <v>32</v>
      </c>
      <c r="N5" s="12" t="s">
        <v>3</v>
      </c>
      <c r="O5" s="1" t="s">
        <v>15</v>
      </c>
      <c r="P5" s="526" t="s">
        <v>31</v>
      </c>
      <c r="Q5" s="527" t="s">
        <v>32</v>
      </c>
      <c r="R5" s="527" t="s">
        <v>2</v>
      </c>
      <c r="S5" s="527" t="s">
        <v>3</v>
      </c>
      <c r="T5" s="69" t="s">
        <v>42</v>
      </c>
      <c r="U5" s="526" t="s">
        <v>31</v>
      </c>
      <c r="V5" s="527" t="s">
        <v>32</v>
      </c>
      <c r="W5" s="527" t="s">
        <v>2</v>
      </c>
      <c r="X5" s="527" t="s">
        <v>3</v>
      </c>
      <c r="Y5" s="69" t="s">
        <v>42</v>
      </c>
      <c r="Z5" s="3" t="s">
        <v>31</v>
      </c>
      <c r="AA5" s="4" t="s">
        <v>32</v>
      </c>
      <c r="AB5" s="4" t="s">
        <v>2</v>
      </c>
      <c r="AC5" s="4" t="s">
        <v>3</v>
      </c>
      <c r="AD5" s="69" t="s">
        <v>42</v>
      </c>
      <c r="AE5" s="3" t="s">
        <v>31</v>
      </c>
      <c r="AF5" s="4" t="s">
        <v>32</v>
      </c>
      <c r="AG5" s="8" t="s">
        <v>3</v>
      </c>
      <c r="AH5" s="3" t="s">
        <v>31</v>
      </c>
      <c r="AI5" s="4" t="s">
        <v>32</v>
      </c>
      <c r="AJ5" s="8" t="s">
        <v>3</v>
      </c>
      <c r="AK5" s="526" t="s">
        <v>31</v>
      </c>
      <c r="AL5" s="527" t="s">
        <v>32</v>
      </c>
      <c r="AM5" s="519" t="s">
        <v>2</v>
      </c>
      <c r="AN5" s="527" t="s">
        <v>3</v>
      </c>
      <c r="AO5" s="526" t="s">
        <v>31</v>
      </c>
      <c r="AP5" s="527" t="s">
        <v>32</v>
      </c>
      <c r="AQ5" s="519" t="s">
        <v>2</v>
      </c>
      <c r="AR5" s="527" t="s">
        <v>3</v>
      </c>
      <c r="AS5" s="526" t="s">
        <v>31</v>
      </c>
      <c r="AT5" s="527" t="s">
        <v>32</v>
      </c>
      <c r="AU5" s="519" t="s">
        <v>2</v>
      </c>
      <c r="AV5" s="527" t="s">
        <v>3</v>
      </c>
      <c r="AW5" s="350" t="s">
        <v>31</v>
      </c>
      <c r="AX5" s="351" t="s">
        <v>32</v>
      </c>
      <c r="AY5" s="346" t="s">
        <v>2</v>
      </c>
      <c r="AZ5" s="351" t="s">
        <v>3</v>
      </c>
      <c r="BA5" s="229" t="s">
        <v>31</v>
      </c>
      <c r="BB5" s="230" t="s">
        <v>32</v>
      </c>
      <c r="BC5" s="224" t="s">
        <v>2</v>
      </c>
      <c r="BD5" s="230" t="s">
        <v>3</v>
      </c>
      <c r="BE5" s="217" t="s">
        <v>31</v>
      </c>
      <c r="BF5" s="218" t="s">
        <v>32</v>
      </c>
      <c r="BG5" s="215" t="s">
        <v>2</v>
      </c>
      <c r="BH5" s="218" t="s">
        <v>3</v>
      </c>
      <c r="BI5" s="211" t="s">
        <v>31</v>
      </c>
      <c r="BJ5" s="212" t="s">
        <v>32</v>
      </c>
      <c r="BK5" s="207" t="s">
        <v>2</v>
      </c>
      <c r="BL5" s="212" t="s">
        <v>3</v>
      </c>
      <c r="BM5" s="3" t="s">
        <v>31</v>
      </c>
      <c r="BN5" s="4" t="s">
        <v>32</v>
      </c>
      <c r="BO5" s="8" t="s">
        <v>2</v>
      </c>
      <c r="BP5" s="4" t="s">
        <v>3</v>
      </c>
      <c r="BQ5" s="3" t="s">
        <v>31</v>
      </c>
      <c r="BR5" s="4" t="s">
        <v>32</v>
      </c>
      <c r="BS5" s="8" t="s">
        <v>2</v>
      </c>
      <c r="BT5" s="4" t="s">
        <v>3</v>
      </c>
      <c r="BU5" s="45" t="s">
        <v>31</v>
      </c>
      <c r="BV5" s="46" t="s">
        <v>32</v>
      </c>
      <c r="BW5" s="44" t="s">
        <v>2</v>
      </c>
      <c r="BX5" s="46" t="s">
        <v>3</v>
      </c>
      <c r="BY5" s="45" t="s">
        <v>31</v>
      </c>
      <c r="BZ5" s="46" t="s">
        <v>32</v>
      </c>
      <c r="CA5" s="44" t="s">
        <v>2</v>
      </c>
      <c r="CB5" s="46" t="s">
        <v>3</v>
      </c>
      <c r="CC5" s="3" t="s">
        <v>31</v>
      </c>
      <c r="CD5" s="4" t="s">
        <v>32</v>
      </c>
      <c r="CE5" s="8" t="s">
        <v>2</v>
      </c>
      <c r="CF5" s="4" t="s">
        <v>3</v>
      </c>
      <c r="CG5" s="3" t="s">
        <v>31</v>
      </c>
      <c r="CH5" s="4" t="s">
        <v>32</v>
      </c>
      <c r="CI5" s="8" t="s">
        <v>2</v>
      </c>
      <c r="CJ5" s="4" t="s">
        <v>3</v>
      </c>
    </row>
    <row r="6" spans="1:88" customFormat="1" x14ac:dyDescent="0.15">
      <c r="A6" s="1"/>
      <c r="C6" s="1"/>
      <c r="D6" s="1"/>
      <c r="E6" s="10"/>
      <c r="F6" s="105"/>
      <c r="G6" s="28"/>
      <c r="H6" s="29"/>
      <c r="I6" s="37"/>
      <c r="J6" s="61"/>
      <c r="K6" s="10"/>
      <c r="L6" s="11"/>
      <c r="M6" s="11"/>
      <c r="N6" s="12"/>
      <c r="O6" s="1"/>
      <c r="P6" s="526"/>
      <c r="Q6" s="527"/>
      <c r="R6" s="527"/>
      <c r="S6" s="527"/>
      <c r="T6" s="69"/>
      <c r="U6" s="526"/>
      <c r="V6" s="527"/>
      <c r="W6" s="527"/>
      <c r="X6" s="527"/>
      <c r="Y6" s="69"/>
      <c r="Z6" s="3"/>
      <c r="AA6" s="4"/>
      <c r="AB6" s="4"/>
      <c r="AC6" s="4"/>
      <c r="AD6" s="69"/>
      <c r="AE6" s="3"/>
      <c r="AF6" s="4"/>
      <c r="AG6" s="4"/>
      <c r="AH6" s="3"/>
      <c r="AI6" s="4"/>
      <c r="AJ6" s="4"/>
      <c r="AK6" s="45"/>
      <c r="AL6" s="529"/>
      <c r="AM6" s="523"/>
      <c r="AN6" s="530"/>
      <c r="AO6" s="45"/>
      <c r="AP6" s="529"/>
      <c r="AQ6" s="523"/>
      <c r="AR6" s="530"/>
      <c r="AS6" s="45"/>
      <c r="AT6" s="529"/>
      <c r="AU6" s="523"/>
      <c r="AV6" s="530"/>
      <c r="AW6" s="45"/>
      <c r="AX6" s="356"/>
      <c r="AY6" s="354"/>
      <c r="AZ6" s="357"/>
      <c r="BA6" s="45"/>
      <c r="BB6" s="233"/>
      <c r="BC6" s="232"/>
      <c r="BD6" s="234"/>
      <c r="BE6" s="45"/>
      <c r="BF6" s="222"/>
      <c r="BG6" s="220"/>
      <c r="BH6" s="223"/>
      <c r="BI6" s="45"/>
      <c r="BJ6" s="213"/>
      <c r="BK6" s="209"/>
      <c r="BL6" s="214"/>
      <c r="BM6" s="3"/>
      <c r="BN6" s="4"/>
      <c r="BO6" s="8"/>
      <c r="BP6" s="5"/>
      <c r="BQ6" s="15"/>
      <c r="BR6" s="8"/>
      <c r="BS6" s="8"/>
      <c r="BT6" s="16"/>
      <c r="BU6" s="15"/>
      <c r="BV6" s="8"/>
      <c r="BW6" s="8"/>
      <c r="BX6" s="16"/>
    </row>
    <row r="7" spans="1:88" s="100" customFormat="1" x14ac:dyDescent="0.15">
      <c r="A7" s="1">
        <v>1</v>
      </c>
      <c r="B7" s="554" t="s">
        <v>61</v>
      </c>
      <c r="C7" s="555" t="s">
        <v>24</v>
      </c>
      <c r="D7" s="24">
        <v>2010</v>
      </c>
      <c r="E7" s="22">
        <f t="shared" ref="E7:E13" si="0">IF(O7="",SUM(K7:N7),SUM(K7:O7))</f>
        <v>216.9</v>
      </c>
      <c r="F7" s="111" t="s">
        <v>47</v>
      </c>
      <c r="G7" s="27" t="str">
        <f>IF('TRA-M'!$A$2-D7&lt;=1,IF(R7&gt;=$P$3,"YES",IF(W7&gt;=$U$3,"YES",IF(AB7&gt;=$Z$3,"YES",""))),"")</f>
        <v/>
      </c>
      <c r="H7" s="7" t="str">
        <f t="shared" ref="H7:H13" si="1">IF(R7&gt;=$Q$3,IF(F7="YES","YES",""),IF(W7&gt;=$V$3,IF(F7="YES","YES",""),IF(AB7&gt;=$AA$3,IF(F7="YES","YES",""),"")))</f>
        <v>YES</v>
      </c>
      <c r="I7" s="34" t="str">
        <f t="shared" ref="I7:I13" si="2">IF(R7&gt;=$R$3,IF(F7="YES","YES",""),IF(W7&gt;=$W$3,IF(F7="YES","YES",""),IF(AB7&gt;=$AB$3,IF(F7="YES","YES",""),"")))</f>
        <v>YES</v>
      </c>
      <c r="J7" s="52" t="str">
        <f t="shared" ref="J7:J13" si="3">IF(R7&gt;=$S$3,IF(F7="YES","YES",""),IF(W7&gt;=$X$3,IF(F7="YES","YES",""),IF(AB7&gt;=$AC$3,IF(F7="YES","YES",""),"")))</f>
        <v>YES</v>
      </c>
      <c r="K7" s="15">
        <f t="shared" ref="K7:K13" si="4">MAX($AB7,$W7,$R7)</f>
        <v>73</v>
      </c>
      <c r="L7" s="8">
        <f t="shared" ref="L7:L13" si="5">IF($K7=$AB7,MAX($U7,$P7),IF($K7=$W7,MAX($Z7,$P7),MAX($Z7,$U7)))</f>
        <v>33.5</v>
      </c>
      <c r="M7" s="8">
        <f t="shared" ref="M7:M13" si="6">IF($K7=$AB7,MAX($V7,$Q7),IF($K7=$W7,MAX($AA7,$Q7),MAX($AA7,$V7)))</f>
        <v>33.4</v>
      </c>
      <c r="N7" s="16">
        <f t="shared" ref="N7:N13" si="7">MAX($AC7,$X7,$S7)</f>
        <v>74.400000000000006</v>
      </c>
      <c r="O7" s="9">
        <f t="shared" ref="O7:O13" si="8">IF(MAX(AE7:AG7)&lt;=0,"",MAX(AE7:AG7))</f>
        <v>2.6000000000000014</v>
      </c>
      <c r="P7" s="522"/>
      <c r="Q7" s="523"/>
      <c r="R7" s="64">
        <f t="shared" ref="R7:R13" si="9">+P7+Q7</f>
        <v>0</v>
      </c>
      <c r="S7" s="523"/>
      <c r="T7" s="88"/>
      <c r="U7" s="522">
        <v>33.5</v>
      </c>
      <c r="V7" s="523">
        <v>33.4</v>
      </c>
      <c r="W7" s="161">
        <f t="shared" ref="W7:W13" si="10">+U7+V7</f>
        <v>66.900000000000006</v>
      </c>
      <c r="X7" s="163">
        <f>35.5+31.6</f>
        <v>67.099999999999994</v>
      </c>
      <c r="Y7" s="88">
        <v>3</v>
      </c>
      <c r="Z7" s="522">
        <v>35.6</v>
      </c>
      <c r="AA7" s="523">
        <v>37.4</v>
      </c>
      <c r="AB7" s="161">
        <f t="shared" ref="AB7:AB13" si="11">+Z7+AA7</f>
        <v>73</v>
      </c>
      <c r="AC7" s="163">
        <f>36.8+37.6</f>
        <v>74.400000000000006</v>
      </c>
      <c r="AD7" s="88">
        <v>1</v>
      </c>
      <c r="AE7" s="42">
        <f t="shared" ref="AE7:AG13" si="12">IF(AH7="","",AH7-L7)</f>
        <v>2</v>
      </c>
      <c r="AF7" s="14">
        <f t="shared" si="12"/>
        <v>2.6000000000000014</v>
      </c>
      <c r="AG7" s="14">
        <f t="shared" si="12"/>
        <v>-2.7000000000000171</v>
      </c>
      <c r="AH7" s="3">
        <f t="shared" ref="AH7:AH13" si="13">IF(MAX($AK7,$AO7,$AS7,$AW7,$BA7,$BE7,$BI7,$BM7,$BQ7,$BU7)=0,"",MAX($AK7,$AO7,$AS7,$AW7,$BA7,$BE7,$BI7,$BM7,$BQ7,$BU7))</f>
        <v>35.5</v>
      </c>
      <c r="AI7" s="4">
        <f t="shared" ref="AI7:AI13" si="14">IF(MAX($AL7,$AP7,$AT7,$AX7,$BB7,$BF7,$BJ7,$BN7,$BR7,$BV7)=0,"",MAX($AL7,$AP7,$AT7,$AX7,$BB7,$BF7,$BJ7,$BN7,$BR7,$BV7))</f>
        <v>36</v>
      </c>
      <c r="AJ7" s="4">
        <f t="shared" ref="AJ7:AJ13" si="15">IF(MAX($AN7,$AR7,$AV7,$AZ7,$BD7,$BH7,$BL7,$BP7,$BT7,$BX7)=0,"",MAX($AN7,$AR7,$AV7,$AZ7,$BD7,$BH7,$BL7,$BP7,$BT7,$BX7))</f>
        <v>71.699999999999989</v>
      </c>
      <c r="AK7" s="522">
        <v>35.1</v>
      </c>
      <c r="AL7" s="523">
        <v>34.5</v>
      </c>
      <c r="AM7" s="257">
        <f t="shared" ref="AM7:AM13" si="16">IF(AK7&lt;&gt;"",AK7+AL7,"")</f>
        <v>69.599999999999994</v>
      </c>
      <c r="AN7" s="258">
        <f>35.3+36.4</f>
        <v>71.699999999999989</v>
      </c>
      <c r="AO7" s="522">
        <v>35.5</v>
      </c>
      <c r="AP7" s="523">
        <v>36</v>
      </c>
      <c r="AQ7" s="257">
        <f t="shared" ref="AQ7:AQ13" si="17">IF(AO7&lt;&gt;"",AO7+AP7,"")</f>
        <v>71.5</v>
      </c>
      <c r="AR7" s="258"/>
      <c r="AS7" s="522"/>
      <c r="AT7" s="523"/>
      <c r="AU7" s="77" t="str">
        <f t="shared" ref="AU7:AU13" si="18">IF(AS7&lt;&gt;"",AS7+AT7,"")</f>
        <v/>
      </c>
      <c r="AV7" s="524">
        <v>35.6</v>
      </c>
      <c r="AW7" s="446">
        <v>34.799999999999997</v>
      </c>
      <c r="AX7" s="447">
        <v>33.4</v>
      </c>
      <c r="AY7" s="257">
        <f t="shared" ref="AY7:AY13" si="19">IF(AW7&lt;&gt;"",AW7+AX7,"")</f>
        <v>68.199999999999989</v>
      </c>
      <c r="AZ7" s="258">
        <f>35.4+34.9</f>
        <v>70.3</v>
      </c>
      <c r="BA7" s="446"/>
      <c r="BB7" s="447"/>
      <c r="BC7" s="77" t="str">
        <f t="shared" ref="BC7:BC13" si="20">IF(BA7&lt;&gt;"",BA7+BB7,"")</f>
        <v/>
      </c>
      <c r="BD7" s="448"/>
      <c r="BE7" s="446"/>
      <c r="BF7" s="447"/>
      <c r="BG7" s="77" t="str">
        <f t="shared" ref="BG7:BG13" si="21">IF(BE7&lt;&gt;"",BE7+BF7,"")</f>
        <v/>
      </c>
      <c r="BH7" s="448"/>
      <c r="BI7" s="208"/>
      <c r="BJ7" s="209"/>
      <c r="BK7" s="77" t="str">
        <f t="shared" ref="BK7:BK13" si="22">IF(BI7&lt;&gt;"",BI7+BJ7,"")</f>
        <v/>
      </c>
      <c r="BL7" s="210"/>
      <c r="BM7" s="325"/>
      <c r="BN7" s="98"/>
      <c r="BO7" s="98"/>
      <c r="BP7" s="99"/>
      <c r="BQ7" s="97"/>
      <c r="BR7" s="98"/>
      <c r="BS7" s="98"/>
      <c r="BT7" s="99"/>
      <c r="BU7" s="97"/>
      <c r="BV7" s="98"/>
      <c r="BW7" s="98"/>
      <c r="BX7" s="99"/>
      <c r="BY7"/>
      <c r="BZ7"/>
      <c r="CA7"/>
      <c r="CB7"/>
      <c r="CC7"/>
      <c r="CD7"/>
      <c r="CE7"/>
      <c r="CF7"/>
      <c r="CG7"/>
      <c r="CH7"/>
      <c r="CI7"/>
      <c r="CJ7"/>
    </row>
    <row r="8" spans="1:88" customFormat="1" x14ac:dyDescent="0.15">
      <c r="A8" s="449">
        <v>2</v>
      </c>
      <c r="B8" s="115" t="s">
        <v>156</v>
      </c>
      <c r="C8" s="164" t="s">
        <v>24</v>
      </c>
      <c r="D8" s="24">
        <v>2012</v>
      </c>
      <c r="E8" s="22">
        <f t="shared" si="0"/>
        <v>212.6</v>
      </c>
      <c r="F8" s="111" t="s">
        <v>47</v>
      </c>
      <c r="G8" s="27" t="str">
        <f>IF('TRA-M'!$A$2-D8&lt;=1,IF(R8&gt;=$P$3,"YES",IF(W8&gt;=$U$3,"YES",IF(AB8&gt;=$Z$3,"YES",""))),"")</f>
        <v/>
      </c>
      <c r="H8" s="7" t="str">
        <f t="shared" si="1"/>
        <v>YES</v>
      </c>
      <c r="I8" s="34" t="str">
        <f t="shared" si="2"/>
        <v>YES</v>
      </c>
      <c r="J8" s="52" t="str">
        <f t="shared" si="3"/>
        <v>YES</v>
      </c>
      <c r="K8" s="15">
        <f t="shared" si="4"/>
        <v>72.3</v>
      </c>
      <c r="L8" s="8">
        <f t="shared" si="5"/>
        <v>32.5</v>
      </c>
      <c r="M8" s="8">
        <f t="shared" si="6"/>
        <v>33.200000000000003</v>
      </c>
      <c r="N8" s="16">
        <f t="shared" si="7"/>
        <v>72</v>
      </c>
      <c r="O8" s="9">
        <f t="shared" si="8"/>
        <v>2.6000000000000014</v>
      </c>
      <c r="P8" s="522">
        <v>32.5</v>
      </c>
      <c r="Q8" s="523">
        <v>33.200000000000003</v>
      </c>
      <c r="R8" s="64">
        <f t="shared" si="9"/>
        <v>65.7</v>
      </c>
      <c r="S8" s="104">
        <f>33.1+27.2</f>
        <v>60.3</v>
      </c>
      <c r="T8" s="88"/>
      <c r="U8" s="522"/>
      <c r="V8" s="523"/>
      <c r="W8" s="64">
        <f t="shared" si="10"/>
        <v>0</v>
      </c>
      <c r="X8" s="523"/>
      <c r="Y8" s="88"/>
      <c r="Z8" s="522">
        <v>36.299999999999997</v>
      </c>
      <c r="AA8" s="523">
        <v>36</v>
      </c>
      <c r="AB8" s="161">
        <f t="shared" si="11"/>
        <v>72.3</v>
      </c>
      <c r="AC8" s="163">
        <f>36.2+35.8</f>
        <v>72</v>
      </c>
      <c r="AD8" s="88">
        <v>2</v>
      </c>
      <c r="AE8" s="42">
        <f t="shared" si="12"/>
        <v>2.6000000000000014</v>
      </c>
      <c r="AF8" s="14">
        <f t="shared" si="12"/>
        <v>1.6999999999999957</v>
      </c>
      <c r="AG8" s="14">
        <f t="shared" si="12"/>
        <v>-38.9</v>
      </c>
      <c r="AH8" s="3">
        <f t="shared" si="13"/>
        <v>35.1</v>
      </c>
      <c r="AI8" s="4">
        <f t="shared" si="14"/>
        <v>34.9</v>
      </c>
      <c r="AJ8" s="4">
        <f t="shared" si="15"/>
        <v>33.1</v>
      </c>
      <c r="AK8" s="522">
        <v>31.8</v>
      </c>
      <c r="AL8" s="523">
        <v>29.1</v>
      </c>
      <c r="AM8" s="77">
        <f t="shared" si="16"/>
        <v>60.900000000000006</v>
      </c>
      <c r="AN8" s="524"/>
      <c r="AO8" s="522">
        <v>35.1</v>
      </c>
      <c r="AP8" s="523">
        <v>34.9</v>
      </c>
      <c r="AQ8" s="257">
        <f t="shared" si="17"/>
        <v>70</v>
      </c>
      <c r="AR8" s="524"/>
      <c r="AS8" s="522"/>
      <c r="AT8" s="523"/>
      <c r="AU8" s="77" t="str">
        <f t="shared" si="18"/>
        <v/>
      </c>
      <c r="AV8" s="524">
        <v>33.1</v>
      </c>
      <c r="AW8" s="446"/>
      <c r="AX8" s="447"/>
      <c r="AY8" s="77" t="str">
        <f t="shared" si="19"/>
        <v/>
      </c>
      <c r="AZ8" s="448"/>
      <c r="BA8" s="446"/>
      <c r="BB8" s="447"/>
      <c r="BC8" s="77" t="str">
        <f t="shared" si="20"/>
        <v/>
      </c>
      <c r="BD8" s="448"/>
      <c r="BE8" s="446"/>
      <c r="BF8" s="447"/>
      <c r="BG8" s="77" t="str">
        <f t="shared" si="21"/>
        <v/>
      </c>
      <c r="BH8" s="448"/>
      <c r="BI8" s="208"/>
      <c r="BJ8" s="209"/>
      <c r="BK8" s="77" t="str">
        <f t="shared" si="22"/>
        <v/>
      </c>
      <c r="BL8" s="210"/>
      <c r="BM8" s="97"/>
      <c r="BN8" s="98"/>
      <c r="BO8" s="98"/>
      <c r="BP8" s="99"/>
      <c r="BQ8" s="97"/>
      <c r="BR8" s="98"/>
      <c r="BS8" s="98"/>
      <c r="BT8" s="99"/>
      <c r="BU8" s="97"/>
      <c r="BV8" s="98"/>
      <c r="BW8" s="98"/>
      <c r="BX8" s="99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</row>
    <row r="9" spans="1:88" s="100" customFormat="1" x14ac:dyDescent="0.15">
      <c r="A9" s="273"/>
      <c r="B9" s="556" t="s">
        <v>80</v>
      </c>
      <c r="C9" s="557" t="s">
        <v>24</v>
      </c>
      <c r="D9" s="24">
        <v>2015</v>
      </c>
      <c r="E9" s="22">
        <f t="shared" si="0"/>
        <v>166.7</v>
      </c>
      <c r="F9" s="111" t="s">
        <v>47</v>
      </c>
      <c r="G9" s="27" t="str">
        <f>IF('TRA-M'!$A$2-D9&lt;=1,IF(R9&gt;=$P$3,"YES",IF(W9&gt;=$U$3,"YES",IF(AB9&gt;=$Z$3,"YES",""))),"")</f>
        <v>YES</v>
      </c>
      <c r="H9" s="7" t="str">
        <f t="shared" si="1"/>
        <v/>
      </c>
      <c r="I9" s="34" t="str">
        <f t="shared" si="2"/>
        <v/>
      </c>
      <c r="J9" s="52" t="str">
        <f t="shared" si="3"/>
        <v/>
      </c>
      <c r="K9" s="15">
        <f t="shared" si="4"/>
        <v>65.599999999999994</v>
      </c>
      <c r="L9" s="8">
        <f t="shared" si="5"/>
        <v>0</v>
      </c>
      <c r="M9" s="8">
        <f t="shared" si="6"/>
        <v>0</v>
      </c>
      <c r="N9" s="16">
        <f t="shared" si="7"/>
        <v>67</v>
      </c>
      <c r="O9" s="9">
        <f t="shared" si="8"/>
        <v>34.1</v>
      </c>
      <c r="P9" s="522">
        <v>31.4</v>
      </c>
      <c r="Q9" s="548">
        <v>34.200000000000003</v>
      </c>
      <c r="R9" s="161">
        <f t="shared" si="9"/>
        <v>65.599999999999994</v>
      </c>
      <c r="S9" s="163">
        <f>34.4+32.6</f>
        <v>67</v>
      </c>
      <c r="T9" s="88"/>
      <c r="U9" s="547"/>
      <c r="V9" s="548"/>
      <c r="W9" s="64">
        <f t="shared" si="10"/>
        <v>0</v>
      </c>
      <c r="X9" s="548"/>
      <c r="Y9" s="88"/>
      <c r="Z9" s="547"/>
      <c r="AA9" s="548"/>
      <c r="AB9" s="64">
        <f t="shared" si="11"/>
        <v>0</v>
      </c>
      <c r="AC9" s="548"/>
      <c r="AD9" s="88"/>
      <c r="AE9" s="42">
        <f t="shared" si="12"/>
        <v>33.4</v>
      </c>
      <c r="AF9" s="14">
        <f t="shared" si="12"/>
        <v>34.1</v>
      </c>
      <c r="AG9" s="14">
        <f t="shared" si="12"/>
        <v>-33.1</v>
      </c>
      <c r="AH9" s="3">
        <f t="shared" si="13"/>
        <v>33.4</v>
      </c>
      <c r="AI9" s="4">
        <f t="shared" si="14"/>
        <v>34.1</v>
      </c>
      <c r="AJ9" s="4">
        <f t="shared" si="15"/>
        <v>33.9</v>
      </c>
      <c r="AK9" s="522"/>
      <c r="AL9" s="523"/>
      <c r="AM9" s="77" t="str">
        <f t="shared" si="16"/>
        <v/>
      </c>
      <c r="AN9" s="524"/>
      <c r="AO9" s="547">
        <v>33.4</v>
      </c>
      <c r="AP9" s="523">
        <v>34.1</v>
      </c>
      <c r="AQ9" s="77">
        <f t="shared" si="17"/>
        <v>67.5</v>
      </c>
      <c r="AR9" s="524"/>
      <c r="AS9" s="522"/>
      <c r="AT9" s="523"/>
      <c r="AU9" s="77" t="str">
        <f t="shared" si="18"/>
        <v/>
      </c>
      <c r="AV9" s="524">
        <v>33.9</v>
      </c>
      <c r="AW9" s="446"/>
      <c r="AX9" s="447"/>
      <c r="AY9" s="77" t="str">
        <f t="shared" si="19"/>
        <v/>
      </c>
      <c r="AZ9" s="448"/>
      <c r="BA9" s="446"/>
      <c r="BB9" s="447"/>
      <c r="BC9" s="77" t="str">
        <f t="shared" si="20"/>
        <v/>
      </c>
      <c r="BD9" s="448"/>
      <c r="BE9" s="446"/>
      <c r="BF9" s="447"/>
      <c r="BG9" s="77" t="str">
        <f t="shared" si="21"/>
        <v/>
      </c>
      <c r="BH9" s="448"/>
      <c r="BI9" s="208"/>
      <c r="BJ9" s="209"/>
      <c r="BK9" s="77" t="str">
        <f t="shared" si="22"/>
        <v/>
      </c>
      <c r="BL9" s="210"/>
      <c r="BM9" s="97"/>
      <c r="BN9" s="98"/>
      <c r="BO9" s="98"/>
      <c r="BP9" s="99"/>
      <c r="BQ9" s="97"/>
      <c r="BR9" s="98"/>
      <c r="BS9" s="98"/>
      <c r="BT9" s="99"/>
      <c r="BU9" s="97"/>
      <c r="BV9" s="98"/>
      <c r="BW9" s="98"/>
      <c r="BX9" s="99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</row>
    <row r="10" spans="1:88" s="100" customFormat="1" x14ac:dyDescent="0.15">
      <c r="A10" s="324"/>
      <c r="B10" s="89" t="s">
        <v>81</v>
      </c>
      <c r="C10" s="116" t="s">
        <v>24</v>
      </c>
      <c r="D10" s="24">
        <v>2013</v>
      </c>
      <c r="E10" s="22">
        <f t="shared" si="0"/>
        <v>167.48000000000002</v>
      </c>
      <c r="F10" s="111" t="s">
        <v>49</v>
      </c>
      <c r="G10" s="27" t="str">
        <f>IF('TRA-M'!$A$2-D10&lt;=1,IF(R10&gt;=$P$3,"YES",IF(W10&gt;=$U$3,"YES",IF(AB10&gt;=$Z$3,"YES",""))),"")</f>
        <v/>
      </c>
      <c r="H10" s="7" t="str">
        <f t="shared" si="1"/>
        <v/>
      </c>
      <c r="I10" s="34" t="str">
        <f t="shared" si="2"/>
        <v/>
      </c>
      <c r="J10" s="52" t="str">
        <f t="shared" si="3"/>
        <v/>
      </c>
      <c r="K10" s="15">
        <f t="shared" si="4"/>
        <v>64.400000000000006</v>
      </c>
      <c r="L10" s="8">
        <f t="shared" si="5"/>
        <v>33.53</v>
      </c>
      <c r="M10" s="8">
        <f t="shared" si="6"/>
        <v>31.3</v>
      </c>
      <c r="N10" s="16">
        <f t="shared" si="7"/>
        <v>34.25</v>
      </c>
      <c r="O10" s="9">
        <f t="shared" si="8"/>
        <v>3.9999999999999964</v>
      </c>
      <c r="P10" s="522">
        <v>35</v>
      </c>
      <c r="Q10" s="104">
        <v>29.4</v>
      </c>
      <c r="R10" s="64">
        <f t="shared" si="9"/>
        <v>64.400000000000006</v>
      </c>
      <c r="S10" s="548"/>
      <c r="T10" s="88"/>
      <c r="U10" s="267">
        <v>32.049999999999997</v>
      </c>
      <c r="V10" s="103">
        <v>31.3</v>
      </c>
      <c r="W10" s="102">
        <f t="shared" si="10"/>
        <v>63.349999999999994</v>
      </c>
      <c r="X10" s="103">
        <v>34.25</v>
      </c>
      <c r="Y10" s="276"/>
      <c r="Z10" s="267">
        <v>33.53</v>
      </c>
      <c r="AA10" s="103">
        <v>30.35</v>
      </c>
      <c r="AB10" s="102">
        <f t="shared" si="11"/>
        <v>63.88</v>
      </c>
      <c r="AC10" s="103">
        <v>17.13</v>
      </c>
      <c r="AD10" s="276"/>
      <c r="AE10" s="42">
        <f t="shared" si="12"/>
        <v>-1.0300000000000011</v>
      </c>
      <c r="AF10" s="14">
        <f t="shared" si="12"/>
        <v>3.9999999999999964</v>
      </c>
      <c r="AG10" s="14" t="str">
        <f t="shared" si="12"/>
        <v/>
      </c>
      <c r="AH10" s="3">
        <f t="shared" si="13"/>
        <v>32.5</v>
      </c>
      <c r="AI10" s="4">
        <f t="shared" si="14"/>
        <v>35.299999999999997</v>
      </c>
      <c r="AJ10" s="4" t="str">
        <f t="shared" si="15"/>
        <v/>
      </c>
      <c r="AK10" s="522">
        <v>32.5</v>
      </c>
      <c r="AL10" s="523">
        <v>33.1</v>
      </c>
      <c r="AM10" s="257">
        <f t="shared" si="16"/>
        <v>65.599999999999994</v>
      </c>
      <c r="AN10" s="524"/>
      <c r="AO10" s="113">
        <v>22.5</v>
      </c>
      <c r="AP10" s="523">
        <v>35.299999999999997</v>
      </c>
      <c r="AQ10" s="257">
        <f t="shared" si="17"/>
        <v>57.8</v>
      </c>
      <c r="AR10" s="524"/>
      <c r="AS10" s="522"/>
      <c r="AT10" s="523"/>
      <c r="AU10" s="77" t="str">
        <f t="shared" si="18"/>
        <v/>
      </c>
      <c r="AV10" s="524"/>
      <c r="AW10" s="446"/>
      <c r="AX10" s="447"/>
      <c r="AY10" s="77" t="str">
        <f t="shared" si="19"/>
        <v/>
      </c>
      <c r="AZ10" s="448"/>
      <c r="BA10" s="446"/>
      <c r="BB10" s="447"/>
      <c r="BC10" s="77" t="str">
        <f t="shared" si="20"/>
        <v/>
      </c>
      <c r="BD10" s="448"/>
      <c r="BE10" s="446"/>
      <c r="BF10" s="447"/>
      <c r="BG10" s="77" t="str">
        <f t="shared" si="21"/>
        <v/>
      </c>
      <c r="BH10" s="448"/>
      <c r="BI10" s="208"/>
      <c r="BJ10" s="209"/>
      <c r="BK10" s="77" t="str">
        <f t="shared" si="22"/>
        <v/>
      </c>
      <c r="BL10" s="210"/>
      <c r="BM10" s="97"/>
      <c r="BN10" s="98"/>
      <c r="BO10" s="98"/>
      <c r="BP10" s="99"/>
      <c r="BQ10" s="97"/>
      <c r="BR10" s="98"/>
      <c r="BS10" s="98"/>
      <c r="BT10" s="99"/>
      <c r="BU10" s="97"/>
      <c r="BV10" s="98"/>
      <c r="BW10" s="98"/>
      <c r="BX10" s="99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</row>
    <row r="11" spans="1:88" x14ac:dyDescent="0.15">
      <c r="A11" s="422"/>
      <c r="B11" s="552" t="s">
        <v>95</v>
      </c>
      <c r="C11" s="436" t="s">
        <v>25</v>
      </c>
      <c r="D11" s="24">
        <v>2010</v>
      </c>
      <c r="E11" s="22">
        <f t="shared" si="0"/>
        <v>199.66</v>
      </c>
      <c r="F11" s="111"/>
      <c r="G11" s="27" t="str">
        <f>IF('TRA-M'!$A$2-D11&lt;=1,IF(R11&gt;=$P$3,"YES",IF(W11&gt;=$U$3,"YES",IF(AB11&gt;=$Z$3,"YES",""))),"")</f>
        <v/>
      </c>
      <c r="H11" s="7" t="str">
        <f t="shared" si="1"/>
        <v/>
      </c>
      <c r="I11" s="34" t="str">
        <f t="shared" si="2"/>
        <v/>
      </c>
      <c r="J11" s="52" t="str">
        <f t="shared" si="3"/>
        <v/>
      </c>
      <c r="K11" s="15">
        <f t="shared" si="4"/>
        <v>66.53</v>
      </c>
      <c r="L11" s="8">
        <f t="shared" si="5"/>
        <v>33.1</v>
      </c>
      <c r="M11" s="8">
        <f t="shared" si="6"/>
        <v>32.35</v>
      </c>
      <c r="N11" s="16">
        <f t="shared" si="7"/>
        <v>67.680000000000007</v>
      </c>
      <c r="O11" s="9" t="str">
        <f t="shared" si="8"/>
        <v/>
      </c>
      <c r="P11" s="267">
        <v>33.1</v>
      </c>
      <c r="Q11" s="103">
        <v>32.35</v>
      </c>
      <c r="R11" s="102">
        <f t="shared" si="9"/>
        <v>65.45</v>
      </c>
      <c r="S11" s="103">
        <v>67.680000000000007</v>
      </c>
      <c r="T11" s="378"/>
      <c r="U11" s="267">
        <v>34.1</v>
      </c>
      <c r="V11" s="103">
        <v>32.43</v>
      </c>
      <c r="W11" s="102">
        <f t="shared" si="10"/>
        <v>66.53</v>
      </c>
      <c r="X11" s="103">
        <v>66.69</v>
      </c>
      <c r="Y11" s="378"/>
      <c r="Z11" s="522"/>
      <c r="AA11" s="523"/>
      <c r="AB11" s="64">
        <f t="shared" si="11"/>
        <v>0</v>
      </c>
      <c r="AC11" s="523"/>
      <c r="AD11" s="90"/>
      <c r="AE11" s="42" t="str">
        <f t="shared" si="12"/>
        <v/>
      </c>
      <c r="AF11" s="14" t="str">
        <f t="shared" si="12"/>
        <v/>
      </c>
      <c r="AG11" s="14" t="str">
        <f t="shared" si="12"/>
        <v/>
      </c>
      <c r="AH11" s="3" t="str">
        <f t="shared" si="13"/>
        <v/>
      </c>
      <c r="AI11" s="4" t="str">
        <f t="shared" si="14"/>
        <v/>
      </c>
      <c r="AJ11" s="4" t="str">
        <f t="shared" si="15"/>
        <v/>
      </c>
      <c r="AK11" s="522"/>
      <c r="AL11" s="523"/>
      <c r="AM11" s="77" t="str">
        <f t="shared" si="16"/>
        <v/>
      </c>
      <c r="AN11" s="524"/>
      <c r="AO11" s="522"/>
      <c r="AP11" s="523"/>
      <c r="AQ11" s="77" t="str">
        <f t="shared" si="17"/>
        <v/>
      </c>
      <c r="AR11" s="524"/>
      <c r="AS11" s="522"/>
      <c r="AT11" s="523"/>
      <c r="AU11" s="77" t="str">
        <f t="shared" si="18"/>
        <v/>
      </c>
      <c r="AV11" s="524"/>
      <c r="AW11" s="446"/>
      <c r="AX11" s="447"/>
      <c r="AY11" s="77" t="str">
        <f t="shared" si="19"/>
        <v/>
      </c>
      <c r="AZ11" s="448"/>
      <c r="BA11" s="446"/>
      <c r="BB11" s="447"/>
      <c r="BC11" s="77" t="str">
        <f t="shared" si="20"/>
        <v/>
      </c>
      <c r="BD11" s="448"/>
      <c r="BE11" s="446"/>
      <c r="BF11" s="447"/>
      <c r="BG11" s="77" t="str">
        <f t="shared" si="21"/>
        <v/>
      </c>
      <c r="BH11" s="448"/>
      <c r="BI11" s="208"/>
      <c r="BJ11" s="209"/>
      <c r="BK11" s="77" t="str">
        <f t="shared" si="22"/>
        <v/>
      </c>
      <c r="BL11" s="210"/>
      <c r="BM11" s="97"/>
      <c r="BN11" s="98"/>
      <c r="BO11" s="98"/>
      <c r="BP11" s="99"/>
      <c r="BQ11" s="97"/>
      <c r="BR11" s="98"/>
      <c r="BS11" s="98"/>
      <c r="BT11" s="99"/>
      <c r="BU11" s="97"/>
      <c r="BV11" s="98"/>
      <c r="BW11" s="98"/>
      <c r="BX11" s="99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</row>
    <row r="12" spans="1:88" x14ac:dyDescent="0.15">
      <c r="A12" s="162"/>
      <c r="B12" s="89" t="s">
        <v>149</v>
      </c>
      <c r="C12" s="116" t="s">
        <v>24</v>
      </c>
      <c r="D12" s="24">
        <v>2014</v>
      </c>
      <c r="E12" s="22">
        <f t="shared" si="0"/>
        <v>182.8</v>
      </c>
      <c r="F12" s="111"/>
      <c r="G12" s="27" t="str">
        <f>IF('TRA-M'!$A$2-D12&lt;=1,IF(R12&gt;=$P$3,"YES",IF(W12&gt;=$U$3,"YES",IF(AB12&gt;=$Z$3,"YES",""))),"")</f>
        <v/>
      </c>
      <c r="H12" s="7" t="str">
        <f t="shared" si="1"/>
        <v/>
      </c>
      <c r="I12" s="34" t="str">
        <f t="shared" si="2"/>
        <v/>
      </c>
      <c r="J12" s="52" t="str">
        <f t="shared" si="3"/>
        <v/>
      </c>
      <c r="K12" s="195">
        <f t="shared" si="4"/>
        <v>65.5</v>
      </c>
      <c r="L12" s="196">
        <f t="shared" si="5"/>
        <v>25.9</v>
      </c>
      <c r="M12" s="196">
        <f t="shared" si="6"/>
        <v>26.9</v>
      </c>
      <c r="N12" s="197">
        <f t="shared" si="7"/>
        <v>64.5</v>
      </c>
      <c r="O12" s="9" t="str">
        <f t="shared" si="8"/>
        <v/>
      </c>
      <c r="P12" s="522"/>
      <c r="Q12" s="523"/>
      <c r="R12" s="64">
        <f t="shared" si="9"/>
        <v>0</v>
      </c>
      <c r="S12" s="523"/>
      <c r="T12" s="88"/>
      <c r="U12" s="522">
        <v>25.9</v>
      </c>
      <c r="V12" s="523">
        <v>26.9</v>
      </c>
      <c r="W12" s="64">
        <f t="shared" si="10"/>
        <v>52.8</v>
      </c>
      <c r="X12" s="523"/>
      <c r="Y12" s="88">
        <v>4</v>
      </c>
      <c r="Z12" s="522">
        <v>32.799999999999997</v>
      </c>
      <c r="AA12" s="523">
        <v>32.700000000000003</v>
      </c>
      <c r="AB12" s="64">
        <f t="shared" si="11"/>
        <v>65.5</v>
      </c>
      <c r="AC12" s="523">
        <f>32+32.5</f>
        <v>64.5</v>
      </c>
      <c r="AD12" s="88">
        <v>3</v>
      </c>
      <c r="AE12" s="42" t="str">
        <f t="shared" si="12"/>
        <v/>
      </c>
      <c r="AF12" s="14" t="str">
        <f t="shared" si="12"/>
        <v/>
      </c>
      <c r="AG12" s="14" t="str">
        <f t="shared" si="12"/>
        <v/>
      </c>
      <c r="AH12" s="200" t="str">
        <f t="shared" si="13"/>
        <v/>
      </c>
      <c r="AI12" s="201" t="str">
        <f t="shared" si="14"/>
        <v/>
      </c>
      <c r="AJ12" s="201" t="str">
        <f t="shared" si="15"/>
        <v/>
      </c>
      <c r="AK12" s="45"/>
      <c r="AL12" s="529"/>
      <c r="AM12" s="77" t="str">
        <f t="shared" si="16"/>
        <v/>
      </c>
      <c r="AN12" s="530"/>
      <c r="AO12" s="45"/>
      <c r="AP12" s="529"/>
      <c r="AQ12" s="77" t="str">
        <f t="shared" si="17"/>
        <v/>
      </c>
      <c r="AR12" s="530"/>
      <c r="AS12" s="522"/>
      <c r="AT12" s="523"/>
      <c r="AU12" s="77" t="str">
        <f t="shared" si="18"/>
        <v/>
      </c>
      <c r="AV12" s="524"/>
      <c r="AW12" s="353"/>
      <c r="AX12" s="354"/>
      <c r="AY12" s="77" t="str">
        <f t="shared" si="19"/>
        <v/>
      </c>
      <c r="AZ12" s="355"/>
      <c r="BA12" s="235"/>
      <c r="BB12" s="236"/>
      <c r="BC12" s="77" t="str">
        <f t="shared" si="20"/>
        <v/>
      </c>
      <c r="BD12" s="237"/>
      <c r="BE12" s="219"/>
      <c r="BF12" s="220"/>
      <c r="BG12" s="77" t="str">
        <f t="shared" si="21"/>
        <v/>
      </c>
      <c r="BH12" s="221"/>
      <c r="BI12" s="208"/>
      <c r="BJ12" s="209"/>
      <c r="BK12" s="77" t="str">
        <f t="shared" si="22"/>
        <v/>
      </c>
      <c r="BL12" s="210"/>
      <c r="BM12" s="97"/>
      <c r="BN12" s="98"/>
      <c r="BO12" s="98"/>
      <c r="BP12" s="99"/>
      <c r="BQ12" s="97"/>
      <c r="BR12" s="98"/>
      <c r="BS12" s="98"/>
      <c r="BT12" s="99"/>
      <c r="BU12" s="97"/>
      <c r="BV12" s="98"/>
      <c r="BW12" s="98"/>
      <c r="BX12" s="99"/>
    </row>
    <row r="13" spans="1:88" x14ac:dyDescent="0.15">
      <c r="A13" s="162"/>
      <c r="B13" s="89" t="s">
        <v>148</v>
      </c>
      <c r="C13" s="116" t="s">
        <v>24</v>
      </c>
      <c r="D13" s="531">
        <v>2016</v>
      </c>
      <c r="E13" s="22">
        <f t="shared" si="0"/>
        <v>126.7</v>
      </c>
      <c r="F13" s="111"/>
      <c r="G13" s="27" t="str">
        <f>IF('TRA-M'!$A$2-D13&lt;=1,IF(R13&gt;=$P$3,"YES",IF(W13&gt;=$U$3,"YES",IF(AB13&gt;=$Z$3,"YES",""))),"")</f>
        <v>YES</v>
      </c>
      <c r="H13" s="7" t="str">
        <f t="shared" si="1"/>
        <v/>
      </c>
      <c r="I13" s="34" t="str">
        <f t="shared" si="2"/>
        <v/>
      </c>
      <c r="J13" s="52" t="str">
        <f t="shared" si="3"/>
        <v/>
      </c>
      <c r="K13" s="518">
        <f t="shared" si="4"/>
        <v>65.3</v>
      </c>
      <c r="L13" s="519">
        <f t="shared" si="5"/>
        <v>0</v>
      </c>
      <c r="M13" s="519">
        <f t="shared" si="6"/>
        <v>0</v>
      </c>
      <c r="N13" s="520">
        <f t="shared" si="7"/>
        <v>61.400000000000006</v>
      </c>
      <c r="O13" s="9" t="str">
        <f t="shared" si="8"/>
        <v/>
      </c>
      <c r="P13" s="522"/>
      <c r="Q13" s="523"/>
      <c r="R13" s="64">
        <f t="shared" si="9"/>
        <v>0</v>
      </c>
      <c r="S13" s="523"/>
      <c r="T13" s="88"/>
      <c r="U13" s="522"/>
      <c r="V13" s="523"/>
      <c r="W13" s="64">
        <f t="shared" si="10"/>
        <v>0</v>
      </c>
      <c r="X13" s="523"/>
      <c r="Y13" s="88"/>
      <c r="Z13" s="522">
        <v>32.4</v>
      </c>
      <c r="AA13" s="523">
        <v>32.9</v>
      </c>
      <c r="AB13" s="64">
        <f t="shared" si="11"/>
        <v>65.3</v>
      </c>
      <c r="AC13" s="104">
        <f>28.7+32.7</f>
        <v>61.400000000000006</v>
      </c>
      <c r="AD13" s="88">
        <v>4</v>
      </c>
      <c r="AE13" s="42" t="str">
        <f t="shared" si="12"/>
        <v/>
      </c>
      <c r="AF13" s="14" t="str">
        <f t="shared" si="12"/>
        <v/>
      </c>
      <c r="AG13" s="14" t="str">
        <f t="shared" si="12"/>
        <v/>
      </c>
      <c r="AH13" s="526" t="str">
        <f t="shared" si="13"/>
        <v/>
      </c>
      <c r="AI13" s="527" t="str">
        <f t="shared" si="14"/>
        <v/>
      </c>
      <c r="AJ13" s="527" t="str">
        <f t="shared" si="15"/>
        <v/>
      </c>
      <c r="AK13" s="45"/>
      <c r="AL13" s="529"/>
      <c r="AM13" s="77" t="str">
        <f t="shared" si="16"/>
        <v/>
      </c>
      <c r="AN13" s="530"/>
      <c r="AO13" s="45"/>
      <c r="AP13" s="529"/>
      <c r="AQ13" s="77" t="str">
        <f t="shared" si="17"/>
        <v/>
      </c>
      <c r="AR13" s="530"/>
      <c r="AS13" s="522"/>
      <c r="AT13" s="523"/>
      <c r="AU13" s="77" t="str">
        <f t="shared" si="18"/>
        <v/>
      </c>
      <c r="AV13" s="524"/>
      <c r="AW13" s="522"/>
      <c r="AX13" s="523"/>
      <c r="AY13" s="77" t="str">
        <f t="shared" si="19"/>
        <v/>
      </c>
      <c r="AZ13" s="524"/>
      <c r="BA13" s="522"/>
      <c r="BB13" s="523"/>
      <c r="BC13" s="77" t="str">
        <f t="shared" si="20"/>
        <v/>
      </c>
      <c r="BD13" s="524"/>
      <c r="BE13" s="522"/>
      <c r="BF13" s="523"/>
      <c r="BG13" s="77" t="str">
        <f t="shared" si="21"/>
        <v/>
      </c>
      <c r="BH13" s="524"/>
      <c r="BI13" s="522"/>
      <c r="BJ13" s="523"/>
      <c r="BK13" s="77" t="str">
        <f t="shared" si="22"/>
        <v/>
      </c>
      <c r="BL13" s="524"/>
      <c r="BM13" s="97"/>
      <c r="BN13" s="98"/>
      <c r="BO13" s="98"/>
      <c r="BP13" s="99"/>
      <c r="BQ13" s="97"/>
      <c r="BR13" s="98"/>
      <c r="BS13" s="98"/>
      <c r="BT13" s="99"/>
      <c r="BU13" s="97"/>
      <c r="BV13" s="98"/>
      <c r="BW13" s="98"/>
      <c r="BX13" s="99"/>
    </row>
    <row r="14" spans="1:88" x14ac:dyDescent="0.15">
      <c r="A14" s="521"/>
      <c r="C14" s="521"/>
      <c r="D14" s="521"/>
      <c r="E14" s="521"/>
      <c r="K14" s="521"/>
      <c r="L14" s="521"/>
      <c r="M14" s="521"/>
      <c r="N14" s="521"/>
      <c r="O14" s="521"/>
      <c r="P14" s="527"/>
      <c r="Q14" s="527"/>
      <c r="R14" s="527"/>
      <c r="S14" s="527"/>
      <c r="U14" s="523"/>
      <c r="V14" s="523"/>
      <c r="W14" s="523"/>
      <c r="X14" s="523"/>
      <c r="Z14" s="523"/>
      <c r="AA14" s="523"/>
      <c r="AB14" s="523"/>
      <c r="AC14" s="523"/>
      <c r="AE14" s="527"/>
      <c r="AF14" s="527"/>
      <c r="AG14" s="527"/>
      <c r="AH14" s="527"/>
      <c r="AI14" s="527"/>
      <c r="AJ14" s="527"/>
      <c r="AK14" s="529"/>
      <c r="AL14" s="529"/>
      <c r="AM14" s="529"/>
      <c r="AN14" s="529"/>
      <c r="AO14" s="529"/>
      <c r="AP14" s="529"/>
      <c r="AQ14" s="529"/>
      <c r="AR14" s="529"/>
      <c r="AS14" s="529"/>
      <c r="AT14" s="529"/>
      <c r="AU14" s="529"/>
      <c r="AV14" s="529"/>
      <c r="AW14" s="529"/>
      <c r="AX14" s="529"/>
      <c r="AY14" s="529"/>
      <c r="AZ14" s="529"/>
      <c r="BA14" s="529"/>
      <c r="BB14" s="529"/>
      <c r="BC14" s="529"/>
      <c r="BD14" s="529"/>
      <c r="BE14" s="529"/>
      <c r="BF14" s="529"/>
      <c r="BG14" s="529"/>
      <c r="BH14" s="529"/>
      <c r="BI14" s="529"/>
      <c r="BJ14" s="529"/>
      <c r="BK14" s="529"/>
      <c r="BL14" s="529"/>
      <c r="BM14" s="527"/>
      <c r="BN14" s="527"/>
      <c r="BO14" s="527"/>
      <c r="BP14" s="527"/>
      <c r="BQ14" s="527"/>
      <c r="BR14" s="527"/>
      <c r="BS14" s="527"/>
      <c r="BT14" s="527"/>
      <c r="BU14" s="527"/>
      <c r="BV14" s="527"/>
      <c r="BW14" s="527"/>
      <c r="BX14" s="527"/>
    </row>
    <row r="15" spans="1:88" x14ac:dyDescent="0.15">
      <c r="A15" s="470"/>
      <c r="C15" s="470"/>
      <c r="D15" s="470"/>
      <c r="E15" s="470"/>
      <c r="K15" s="470"/>
      <c r="L15" s="470"/>
      <c r="M15" s="470"/>
      <c r="N15" s="470"/>
      <c r="O15" s="470"/>
      <c r="P15" s="472"/>
      <c r="Q15" s="472"/>
      <c r="R15" s="472"/>
      <c r="S15" s="472"/>
      <c r="U15" s="473"/>
      <c r="V15" s="473"/>
      <c r="W15" s="473"/>
      <c r="X15" s="473"/>
      <c r="Z15" s="473"/>
      <c r="AA15" s="473"/>
      <c r="AB15" s="473"/>
      <c r="AC15" s="473"/>
      <c r="AE15" s="472"/>
      <c r="AF15" s="472"/>
      <c r="AG15" s="472"/>
      <c r="AH15" s="472"/>
      <c r="AI15" s="472"/>
      <c r="AJ15" s="472"/>
      <c r="AK15" s="474"/>
      <c r="AL15" s="474"/>
      <c r="AM15" s="474"/>
      <c r="AN15" s="474"/>
      <c r="AO15" s="474"/>
      <c r="AP15" s="474"/>
      <c r="AQ15" s="474"/>
      <c r="AR15" s="474"/>
      <c r="AS15" s="474"/>
      <c r="AT15" s="474"/>
      <c r="AU15" s="474"/>
      <c r="AV15" s="474"/>
      <c r="AW15" s="474"/>
      <c r="AX15" s="474"/>
      <c r="AY15" s="474"/>
      <c r="AZ15" s="474"/>
      <c r="BA15" s="474"/>
      <c r="BB15" s="474"/>
      <c r="BC15" s="474"/>
      <c r="BD15" s="474"/>
      <c r="BE15" s="474"/>
      <c r="BF15" s="474"/>
      <c r="BG15" s="474"/>
      <c r="BH15" s="474"/>
      <c r="BI15" s="474"/>
      <c r="BJ15" s="474"/>
      <c r="BK15" s="474"/>
      <c r="BL15" s="474"/>
      <c r="BM15" s="472"/>
      <c r="BN15" s="472"/>
      <c r="BO15" s="472"/>
      <c r="BP15" s="472"/>
      <c r="BQ15" s="472"/>
      <c r="BR15" s="472"/>
      <c r="BS15" s="472"/>
      <c r="BT15" s="472"/>
      <c r="BU15" s="472"/>
      <c r="BV15" s="472"/>
      <c r="BW15" s="472"/>
      <c r="BX15" s="472"/>
    </row>
    <row r="16" spans="1:88" x14ac:dyDescent="0.15">
      <c r="A16" s="445"/>
      <c r="C16" s="445"/>
      <c r="D16" s="445"/>
      <c r="E16" s="445"/>
      <c r="K16" s="445"/>
      <c r="L16" s="445"/>
      <c r="M16" s="445"/>
      <c r="N16" s="445"/>
      <c r="O16" s="445"/>
      <c r="P16" s="451"/>
      <c r="Q16" s="451"/>
      <c r="R16" s="451"/>
      <c r="S16" s="451"/>
      <c r="U16" s="447"/>
      <c r="V16" s="447"/>
      <c r="W16" s="447"/>
      <c r="X16" s="447"/>
      <c r="Z16" s="447"/>
      <c r="AA16" s="447"/>
      <c r="AB16" s="447"/>
      <c r="AC16" s="447"/>
      <c r="AE16" s="451"/>
      <c r="AF16" s="451"/>
      <c r="AG16" s="451"/>
      <c r="AH16" s="451"/>
      <c r="AI16" s="451"/>
      <c r="AJ16" s="451"/>
      <c r="AK16" s="460"/>
      <c r="AL16" s="460"/>
      <c r="AM16" s="460"/>
      <c r="AN16" s="460"/>
      <c r="AO16" s="460"/>
      <c r="AP16" s="460"/>
      <c r="AQ16" s="460"/>
      <c r="AR16" s="460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452"/>
      <c r="BD16" s="452"/>
      <c r="BE16" s="452"/>
      <c r="BF16" s="452"/>
      <c r="BG16" s="452"/>
      <c r="BH16" s="452"/>
      <c r="BI16" s="452"/>
      <c r="BJ16" s="452"/>
      <c r="BK16" s="452"/>
      <c r="BL16" s="452"/>
      <c r="BM16" s="451"/>
      <c r="BN16" s="451"/>
      <c r="BO16" s="451"/>
      <c r="BP16" s="451"/>
      <c r="BQ16" s="451"/>
      <c r="BR16" s="451"/>
      <c r="BS16" s="451"/>
      <c r="BT16" s="451"/>
      <c r="BU16" s="451"/>
      <c r="BV16" s="451"/>
      <c r="BW16" s="451"/>
      <c r="BX16" s="451"/>
    </row>
    <row r="17" spans="1:76" x14ac:dyDescent="0.15">
      <c r="A17" s="418"/>
      <c r="C17" s="418"/>
      <c r="D17" s="418"/>
      <c r="E17" s="418"/>
      <c r="K17" s="418"/>
      <c r="L17" s="418"/>
      <c r="M17" s="418"/>
      <c r="N17" s="418"/>
      <c r="O17" s="418"/>
      <c r="U17" s="420"/>
      <c r="V17" s="420"/>
      <c r="W17" s="420"/>
      <c r="X17" s="420"/>
      <c r="Z17" s="420"/>
      <c r="AA17" s="420"/>
      <c r="AB17" s="420"/>
      <c r="AC17" s="420"/>
      <c r="AE17" s="424"/>
      <c r="AF17" s="424"/>
      <c r="AG17" s="424"/>
      <c r="AH17" s="424"/>
      <c r="AI17" s="424"/>
      <c r="AJ17" s="424"/>
      <c r="AK17" s="460"/>
      <c r="AL17" s="460"/>
      <c r="AM17" s="460"/>
      <c r="AN17" s="460"/>
      <c r="AO17" s="460"/>
      <c r="AP17" s="460"/>
      <c r="AQ17" s="460"/>
      <c r="AR17" s="460"/>
      <c r="AS17" s="426"/>
      <c r="AT17" s="426"/>
      <c r="AU17" s="426"/>
      <c r="AV17" s="426"/>
      <c r="AW17" s="426"/>
      <c r="AX17" s="426"/>
      <c r="AY17" s="426"/>
      <c r="AZ17" s="426"/>
      <c r="BA17" s="426"/>
      <c r="BB17" s="426"/>
      <c r="BC17" s="426"/>
      <c r="BD17" s="426"/>
      <c r="BE17" s="426"/>
      <c r="BF17" s="426"/>
      <c r="BG17" s="426"/>
      <c r="BH17" s="426"/>
      <c r="BI17" s="426"/>
      <c r="BJ17" s="426"/>
      <c r="BK17" s="426"/>
      <c r="BL17" s="426"/>
      <c r="BM17" s="424"/>
      <c r="BN17" s="424"/>
      <c r="BO17" s="424"/>
      <c r="BP17" s="424"/>
      <c r="BQ17" s="424"/>
      <c r="BR17" s="424"/>
      <c r="BS17" s="424"/>
      <c r="BT17" s="424"/>
      <c r="BU17" s="424"/>
      <c r="BV17" s="424"/>
      <c r="BW17" s="424"/>
      <c r="BX17" s="424"/>
    </row>
    <row r="18" spans="1:76" x14ac:dyDescent="0.15">
      <c r="A18" s="259"/>
      <c r="C18" s="259"/>
      <c r="D18" s="259"/>
      <c r="E18" s="259"/>
      <c r="K18" s="259"/>
      <c r="L18" s="259"/>
      <c r="M18" s="259"/>
      <c r="N18" s="259"/>
      <c r="O18" s="259"/>
      <c r="Z18" s="261"/>
      <c r="AA18" s="261"/>
      <c r="AB18" s="261"/>
      <c r="AC18" s="261"/>
      <c r="AE18" s="261"/>
      <c r="AF18" s="261"/>
      <c r="AG18" s="261"/>
      <c r="AH18" s="261"/>
      <c r="AI18" s="261"/>
      <c r="AJ18" s="261"/>
      <c r="AK18" s="460"/>
      <c r="AL18" s="460"/>
      <c r="AM18" s="460"/>
      <c r="AN18" s="460"/>
      <c r="AO18" s="460"/>
      <c r="AP18" s="460"/>
      <c r="AQ18" s="460"/>
      <c r="AR18" s="460"/>
      <c r="AS18" s="356"/>
      <c r="AT18" s="356"/>
      <c r="AU18" s="356"/>
      <c r="AV18" s="356"/>
      <c r="AW18" s="356"/>
      <c r="AX18" s="356"/>
      <c r="AY18" s="356"/>
      <c r="AZ18" s="356"/>
      <c r="BA18" s="264"/>
      <c r="BB18" s="264"/>
      <c r="BC18" s="264"/>
      <c r="BD18" s="264"/>
      <c r="BE18" s="264"/>
      <c r="BF18" s="264"/>
      <c r="BG18" s="264"/>
      <c r="BH18" s="264"/>
      <c r="BI18" s="264"/>
      <c r="BJ18" s="264"/>
      <c r="BK18" s="264"/>
      <c r="BL18" s="264"/>
      <c r="BM18" s="261"/>
      <c r="BN18" s="261"/>
      <c r="BO18" s="261"/>
      <c r="BP18" s="261"/>
      <c r="BQ18" s="261"/>
      <c r="BR18" s="261"/>
      <c r="BS18" s="261"/>
      <c r="BT18" s="261"/>
      <c r="BU18" s="261"/>
      <c r="BV18" s="261"/>
      <c r="BW18" s="261"/>
      <c r="BX18" s="261"/>
    </row>
    <row r="19" spans="1:76" x14ac:dyDescent="0.15">
      <c r="AA19" s="424"/>
      <c r="AC19" s="424"/>
      <c r="AK19" s="460"/>
      <c r="AL19" s="460"/>
      <c r="AM19" s="460"/>
      <c r="AN19" s="460"/>
      <c r="AO19" s="460"/>
      <c r="AP19" s="460"/>
      <c r="AQ19" s="460"/>
      <c r="AR19" s="460"/>
      <c r="AS19" s="356"/>
      <c r="AT19" s="356"/>
      <c r="AU19" s="356"/>
      <c r="AV19" s="356"/>
      <c r="AW19" s="356"/>
      <c r="AX19" s="356"/>
      <c r="AY19" s="356"/>
      <c r="AZ19" s="356"/>
      <c r="BA19" s="238"/>
      <c r="BB19" s="238"/>
      <c r="BC19" s="238"/>
      <c r="BD19" s="238"/>
      <c r="BE19" s="222"/>
      <c r="BF19" s="222"/>
      <c r="BG19" s="222"/>
      <c r="BH19" s="222"/>
      <c r="BI19" s="213"/>
      <c r="BJ19" s="213"/>
      <c r="BK19" s="213"/>
      <c r="BL19" s="213"/>
    </row>
    <row r="20" spans="1:76" x14ac:dyDescent="0.15">
      <c r="A20" s="259"/>
      <c r="C20" s="259"/>
      <c r="D20" s="259"/>
      <c r="E20" s="259"/>
      <c r="K20" s="259"/>
      <c r="L20" s="259"/>
      <c r="M20" s="259"/>
      <c r="N20" s="259"/>
      <c r="O20" s="259"/>
      <c r="Z20" s="261"/>
      <c r="AA20" s="261"/>
      <c r="AB20" s="261"/>
      <c r="AC20" s="261"/>
      <c r="AE20" s="261"/>
      <c r="AF20" s="261"/>
      <c r="AG20" s="261"/>
      <c r="AH20" s="261"/>
      <c r="AI20" s="261"/>
      <c r="AJ20" s="261"/>
      <c r="AK20" s="460"/>
      <c r="AL20" s="460"/>
      <c r="AM20" s="460"/>
      <c r="AN20" s="460"/>
      <c r="AO20" s="460"/>
      <c r="AP20" s="460"/>
      <c r="AQ20" s="460"/>
      <c r="AR20" s="460"/>
      <c r="AS20" s="356"/>
      <c r="AT20" s="356"/>
      <c r="AU20" s="356"/>
      <c r="AV20" s="356"/>
      <c r="AW20" s="356"/>
      <c r="AX20" s="356"/>
      <c r="AY20" s="356"/>
      <c r="AZ20" s="356"/>
      <c r="BA20" s="264"/>
      <c r="BB20" s="264"/>
      <c r="BC20" s="264"/>
      <c r="BD20" s="264"/>
      <c r="BE20" s="264"/>
      <c r="BF20" s="264"/>
      <c r="BG20" s="264"/>
      <c r="BH20" s="264"/>
      <c r="BI20" s="264"/>
      <c r="BJ20" s="264"/>
      <c r="BK20" s="264"/>
      <c r="BL20" s="264"/>
      <c r="BM20" s="261"/>
      <c r="BN20" s="261"/>
      <c r="BO20" s="261"/>
      <c r="BP20" s="261"/>
      <c r="BQ20" s="261"/>
      <c r="BR20" s="261"/>
      <c r="BS20" s="261"/>
      <c r="BT20" s="261"/>
      <c r="BU20" s="261"/>
      <c r="BV20" s="261"/>
      <c r="BW20" s="261"/>
      <c r="BX20" s="261"/>
    </row>
    <row r="21" spans="1:76" x14ac:dyDescent="0.15">
      <c r="A21" s="430"/>
      <c r="C21" s="430"/>
      <c r="D21" s="430"/>
      <c r="E21" s="430"/>
      <c r="K21" s="430"/>
      <c r="L21" s="430"/>
      <c r="M21" s="430"/>
      <c r="N21" s="430"/>
      <c r="O21" s="430"/>
      <c r="P21" s="434"/>
      <c r="Q21" s="434"/>
      <c r="R21" s="434"/>
      <c r="S21" s="434"/>
      <c r="U21" s="434"/>
      <c r="V21" s="434"/>
      <c r="W21" s="434"/>
      <c r="X21" s="434"/>
      <c r="Z21" s="434"/>
      <c r="AA21" s="434"/>
      <c r="AB21" s="434"/>
      <c r="AC21" s="434"/>
      <c r="AE21" s="434"/>
      <c r="AF21" s="434"/>
      <c r="AG21" s="434"/>
      <c r="AH21" s="434"/>
      <c r="AI21" s="434"/>
      <c r="AJ21" s="434"/>
      <c r="AK21" s="460"/>
      <c r="AL21" s="460"/>
      <c r="AM21" s="460"/>
      <c r="AN21" s="460"/>
      <c r="AO21" s="460"/>
      <c r="AP21" s="460"/>
      <c r="AQ21" s="460"/>
      <c r="AR21" s="460"/>
      <c r="AS21" s="435"/>
      <c r="AT21" s="435"/>
      <c r="AU21" s="435"/>
      <c r="AV21" s="435"/>
      <c r="AW21" s="435"/>
      <c r="AX21" s="435"/>
      <c r="AY21" s="435"/>
      <c r="AZ21" s="435"/>
      <c r="BA21" s="435"/>
      <c r="BB21" s="435"/>
      <c r="BC21" s="435"/>
      <c r="BD21" s="435"/>
      <c r="BE21" s="435"/>
      <c r="BF21" s="435"/>
      <c r="BG21" s="435"/>
      <c r="BH21" s="435"/>
      <c r="BI21" s="435"/>
      <c r="BJ21" s="435"/>
      <c r="BK21" s="435"/>
      <c r="BL21" s="435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4"/>
    </row>
    <row r="22" spans="1:76" x14ac:dyDescent="0.15">
      <c r="AK22" s="460"/>
      <c r="AL22" s="460"/>
      <c r="AM22" s="460"/>
      <c r="AN22" s="460"/>
      <c r="AO22" s="460"/>
      <c r="AP22" s="460"/>
      <c r="AQ22" s="460"/>
      <c r="AR22" s="460"/>
      <c r="AS22" s="356"/>
      <c r="AT22" s="356"/>
      <c r="AU22" s="356"/>
      <c r="AV22" s="356"/>
      <c r="AW22" s="356"/>
      <c r="AX22" s="356"/>
      <c r="AY22" s="356"/>
      <c r="AZ22" s="356"/>
      <c r="BA22" s="238"/>
      <c r="BB22" s="238"/>
      <c r="BC22" s="238"/>
      <c r="BD22" s="238"/>
      <c r="BE22" s="222"/>
      <c r="BF22" s="222"/>
      <c r="BG22" s="222"/>
      <c r="BH22" s="222"/>
      <c r="BI22" s="213"/>
      <c r="BJ22" s="213"/>
      <c r="BK22" s="213"/>
      <c r="BL22" s="213"/>
    </row>
    <row r="23" spans="1:76" x14ac:dyDescent="0.15">
      <c r="B23" s="117"/>
      <c r="AK23" s="460"/>
      <c r="AL23" s="460"/>
      <c r="AM23" s="460"/>
      <c r="AN23" s="460"/>
      <c r="AO23" s="460"/>
      <c r="AP23" s="460"/>
      <c r="AQ23" s="460"/>
      <c r="AR23" s="460"/>
      <c r="AS23" s="356"/>
      <c r="AT23" s="356"/>
      <c r="AU23" s="356"/>
      <c r="AV23" s="356"/>
      <c r="AW23" s="356"/>
      <c r="AX23" s="356"/>
      <c r="AY23" s="356"/>
      <c r="AZ23" s="356"/>
      <c r="BA23" s="238"/>
      <c r="BB23" s="238"/>
      <c r="BC23" s="238"/>
      <c r="BD23" s="238"/>
      <c r="BE23" s="222"/>
      <c r="BF23" s="222"/>
      <c r="BG23" s="222"/>
      <c r="BH23" s="222"/>
      <c r="BI23" s="213"/>
      <c r="BJ23" s="213"/>
      <c r="BK23" s="213"/>
      <c r="BL23" s="213"/>
    </row>
    <row r="24" spans="1:76" x14ac:dyDescent="0.15">
      <c r="B24" s="121" t="s">
        <v>73</v>
      </c>
      <c r="C24" s="271"/>
      <c r="D24" s="271"/>
      <c r="E24" s="271"/>
      <c r="AK24" s="460"/>
      <c r="AL24" s="460"/>
      <c r="AM24" s="460"/>
      <c r="AN24" s="460"/>
      <c r="AO24" s="460"/>
      <c r="AP24" s="460"/>
      <c r="AQ24" s="460"/>
      <c r="AR24" s="460"/>
      <c r="AS24" s="356"/>
      <c r="AT24" s="356"/>
      <c r="AU24" s="356"/>
      <c r="AV24" s="356"/>
      <c r="AW24" s="356"/>
      <c r="AX24" s="356"/>
      <c r="AY24" s="356"/>
      <c r="AZ24" s="356"/>
      <c r="BA24" s="238"/>
      <c r="BB24" s="238"/>
      <c r="BC24" s="238"/>
      <c r="BD24" s="238"/>
      <c r="BE24" s="222"/>
      <c r="BF24" s="222"/>
      <c r="BG24" s="222"/>
      <c r="BH24" s="222"/>
      <c r="BI24" s="213"/>
      <c r="BJ24" s="213"/>
      <c r="BK24" s="213"/>
      <c r="BL24" s="213"/>
    </row>
    <row r="25" spans="1:76" x14ac:dyDescent="0.15">
      <c r="B25" s="106" t="s">
        <v>91</v>
      </c>
      <c r="C25" s="107"/>
      <c r="D25" s="107"/>
      <c r="E25" s="107"/>
      <c r="F25" s="107"/>
      <c r="G25" s="107"/>
      <c r="H25" s="108"/>
      <c r="I25" s="109"/>
      <c r="J25" s="148"/>
      <c r="K25" s="184"/>
      <c r="AK25" s="460"/>
      <c r="AL25" s="460"/>
      <c r="AM25" s="460"/>
      <c r="AN25" s="460"/>
      <c r="AO25" s="460"/>
      <c r="AP25" s="460"/>
      <c r="AQ25" s="460"/>
      <c r="AR25" s="460"/>
      <c r="AS25" s="356"/>
      <c r="AT25" s="356"/>
      <c r="AU25" s="356"/>
      <c r="AV25" s="356"/>
      <c r="AW25" s="356"/>
      <c r="AX25" s="356"/>
      <c r="AY25" s="356"/>
      <c r="AZ25" s="356"/>
      <c r="BA25" s="238"/>
      <c r="BB25" s="238"/>
      <c r="BC25" s="238"/>
      <c r="BD25" s="238"/>
      <c r="BE25" s="222"/>
      <c r="BF25" s="222"/>
      <c r="BG25" s="222"/>
      <c r="BH25" s="222"/>
      <c r="BI25" s="213"/>
      <c r="BJ25" s="213"/>
      <c r="BK25" s="213"/>
      <c r="BL25" s="213"/>
    </row>
    <row r="26" spans="1:76" x14ac:dyDescent="0.15">
      <c r="B26" s="92" t="s">
        <v>48</v>
      </c>
      <c r="C26" s="93"/>
      <c r="D26" s="93"/>
      <c r="E26" s="93"/>
      <c r="F26" s="112"/>
      <c r="G26" s="94"/>
      <c r="H26" s="95"/>
      <c r="I26" s="119"/>
      <c r="AK26" s="460"/>
      <c r="AL26" s="460"/>
      <c r="AM26" s="460"/>
      <c r="AN26" s="460"/>
      <c r="AO26" s="460"/>
      <c r="AP26" s="460"/>
      <c r="AQ26" s="460"/>
      <c r="AR26" s="460"/>
      <c r="AS26" s="356"/>
      <c r="AT26" s="356"/>
      <c r="AU26" s="356"/>
      <c r="AV26" s="356"/>
      <c r="AW26" s="356"/>
      <c r="AX26" s="356"/>
      <c r="AY26" s="356"/>
      <c r="AZ26" s="356"/>
      <c r="BA26" s="238"/>
      <c r="BB26" s="238"/>
      <c r="BC26" s="238"/>
      <c r="BD26" s="238"/>
      <c r="BE26" s="222"/>
      <c r="BF26" s="222"/>
      <c r="BG26" s="222"/>
      <c r="BH26" s="222"/>
      <c r="BI26" s="213"/>
      <c r="BJ26" s="213"/>
      <c r="BK26" s="213"/>
      <c r="BL26" s="213"/>
    </row>
    <row r="27" spans="1:76" x14ac:dyDescent="0.15">
      <c r="B27" s="92" t="s">
        <v>112</v>
      </c>
      <c r="C27" s="93"/>
      <c r="D27" s="93"/>
      <c r="E27" s="93"/>
      <c r="F27" s="112"/>
      <c r="G27" s="94"/>
      <c r="H27" s="95"/>
      <c r="I27" s="96"/>
      <c r="J27" s="96"/>
      <c r="K27" s="476"/>
    </row>
    <row r="28" spans="1:76" x14ac:dyDescent="0.15">
      <c r="B28" s="40" t="s">
        <v>82</v>
      </c>
    </row>
    <row r="29" spans="1:76" x14ac:dyDescent="0.15">
      <c r="B29" s="40" t="s">
        <v>56</v>
      </c>
    </row>
  </sheetData>
  <sortState ref="A7:CJ13">
    <sortCondition descending="1" ref="F7:F13"/>
    <sortCondition descending="1" ref="H7:H13"/>
    <sortCondition descending="1" ref="E7:E13"/>
  </sortState>
  <mergeCells count="37">
    <mergeCell ref="AE1:AG1"/>
    <mergeCell ref="AE2:AG2"/>
    <mergeCell ref="BE3:BH3"/>
    <mergeCell ref="BI3:BL3"/>
    <mergeCell ref="AK2:AN2"/>
    <mergeCell ref="AW2:AZ2"/>
    <mergeCell ref="AW3:AZ3"/>
    <mergeCell ref="AS3:AV3"/>
    <mergeCell ref="BA3:BD3"/>
    <mergeCell ref="AO3:AR3"/>
    <mergeCell ref="AK3:AN3"/>
    <mergeCell ref="BE2:BH2"/>
    <mergeCell ref="K1:N1"/>
    <mergeCell ref="BI2:BL2"/>
    <mergeCell ref="AO2:AR2"/>
    <mergeCell ref="BI1:BL1"/>
    <mergeCell ref="AK1:AN1"/>
    <mergeCell ref="AO1:AR1"/>
    <mergeCell ref="BA2:BD2"/>
    <mergeCell ref="K2:N2"/>
    <mergeCell ref="P1:T1"/>
    <mergeCell ref="AH2:AJ2"/>
    <mergeCell ref="AH1:AJ1"/>
    <mergeCell ref="P2:T2"/>
    <mergeCell ref="Z1:AD1"/>
    <mergeCell ref="Z2:AD2"/>
    <mergeCell ref="U1:Y1"/>
    <mergeCell ref="U2:Y2"/>
    <mergeCell ref="BQ2:BT2"/>
    <mergeCell ref="BU2:BX2"/>
    <mergeCell ref="AS2:AV2"/>
    <mergeCell ref="BQ1:BT1"/>
    <mergeCell ref="BU1:BX1"/>
    <mergeCell ref="AS1:AV1"/>
    <mergeCell ref="AW1:AZ1"/>
    <mergeCell ref="BA1:BD1"/>
    <mergeCell ref="BE1:BH1"/>
  </mergeCells>
  <phoneticPr fontId="0" type="noConversion"/>
  <pageMargins left="0.47244094488188981" right="0.47244094488188981" top="0.78740157480314965" bottom="0.78740157480314965" header="0.51181102362204722" footer="0.51181102362204722"/>
  <pageSetup scale="42" orientation="landscape" r:id="rId1"/>
  <headerFooter alignWithMargins="0">
    <oddHeader>&amp;L&amp;A&amp;R&amp;F</oddHeader>
    <oddFooter>&amp;CPage &amp;P</oddFooter>
  </headerFooter>
  <colBreaks count="2" manualBreakCount="2">
    <brk id="25" max="29" man="1"/>
    <brk id="52" max="2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29"/>
  <sheetViews>
    <sheetView view="pageBreakPreview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ColWidth="9.1640625" defaultRowHeight="13" x14ac:dyDescent="0.15"/>
  <cols>
    <col min="1" max="1" width="5.6640625" style="11" customWidth="1"/>
    <col min="2" max="2" width="25.6640625" style="13" customWidth="1"/>
    <col min="3" max="4" width="7.6640625" style="11" customWidth="1"/>
    <col min="5" max="5" width="8.6640625" style="11" customWidth="1"/>
    <col min="6" max="6" width="8.6640625" style="105" customWidth="1"/>
    <col min="7" max="7" width="8.6640625" style="28" customWidth="1"/>
    <col min="8" max="8" width="8.6640625" style="31" customWidth="1"/>
    <col min="9" max="10" width="8.6640625" style="26" customWidth="1"/>
    <col min="11" max="15" width="8.6640625" style="11" customWidth="1"/>
    <col min="16" max="19" width="8.6640625" style="451" customWidth="1"/>
    <col min="20" max="20" width="8.6640625" style="69" customWidth="1"/>
    <col min="21" max="24" width="8.6640625" style="451" customWidth="1"/>
    <col min="25" max="25" width="8.6640625" style="69" customWidth="1"/>
    <col min="26" max="29" width="8.6640625" style="4" customWidth="1"/>
    <col min="30" max="30" width="8.6640625" style="69" customWidth="1"/>
    <col min="31" max="36" width="8.6640625" style="4" customWidth="1"/>
    <col min="37" max="48" width="8.6640625" style="351" customWidth="1"/>
    <col min="49" max="76" width="8.6640625" style="4" customWidth="1"/>
    <col min="77" max="16384" width="9.1640625" style="13"/>
  </cols>
  <sheetData>
    <row r="1" spans="1:77" customFormat="1" x14ac:dyDescent="0.15">
      <c r="A1" s="20"/>
      <c r="B1" s="17" t="s">
        <v>19</v>
      </c>
      <c r="C1" s="17"/>
      <c r="D1" s="17"/>
      <c r="E1" s="38"/>
      <c r="F1" s="110"/>
      <c r="G1" s="28"/>
      <c r="H1" s="29">
        <v>59.5</v>
      </c>
      <c r="I1" s="37"/>
      <c r="J1" s="37"/>
      <c r="K1" s="591" t="s">
        <v>12</v>
      </c>
      <c r="L1" s="592"/>
      <c r="M1" s="592"/>
      <c r="N1" s="593"/>
      <c r="O1" s="4"/>
      <c r="P1" s="575" t="s">
        <v>113</v>
      </c>
      <c r="Q1" s="592"/>
      <c r="R1" s="592"/>
      <c r="S1" s="592"/>
      <c r="T1" s="593"/>
      <c r="U1" s="575" t="s">
        <v>115</v>
      </c>
      <c r="V1" s="592"/>
      <c r="W1" s="592"/>
      <c r="X1" s="592"/>
      <c r="Y1" s="593"/>
      <c r="Z1" s="575" t="s">
        <v>138</v>
      </c>
      <c r="AA1" s="592"/>
      <c r="AB1" s="592"/>
      <c r="AC1" s="592"/>
      <c r="AD1" s="593"/>
      <c r="AE1" s="591" t="s">
        <v>16</v>
      </c>
      <c r="AF1" s="592"/>
      <c r="AG1" s="593"/>
      <c r="AH1" s="591" t="s">
        <v>10</v>
      </c>
      <c r="AI1" s="592"/>
      <c r="AJ1" s="593"/>
      <c r="AK1" s="575" t="s">
        <v>92</v>
      </c>
      <c r="AL1" s="576"/>
      <c r="AM1" s="576"/>
      <c r="AN1" s="576"/>
      <c r="AO1" s="575" t="s">
        <v>107</v>
      </c>
      <c r="AP1" s="576"/>
      <c r="AQ1" s="576"/>
      <c r="AR1" s="576"/>
      <c r="AS1" s="575" t="s">
        <v>136</v>
      </c>
      <c r="AT1" s="576"/>
      <c r="AU1" s="576"/>
      <c r="AV1" s="576"/>
      <c r="AW1" s="575"/>
      <c r="AX1" s="576"/>
      <c r="AY1" s="576"/>
      <c r="AZ1" s="576"/>
      <c r="BA1" s="575"/>
      <c r="BB1" s="576"/>
      <c r="BC1" s="576"/>
      <c r="BD1" s="576"/>
      <c r="BE1" s="575"/>
      <c r="BF1" s="576"/>
      <c r="BG1" s="576"/>
      <c r="BH1" s="576"/>
      <c r="BI1" s="587"/>
      <c r="BJ1" s="588"/>
      <c r="BK1" s="588"/>
      <c r="BL1" s="588"/>
      <c r="BM1" s="587"/>
      <c r="BN1" s="588"/>
      <c r="BO1" s="588"/>
      <c r="BP1" s="588"/>
      <c r="BQ1" s="575"/>
      <c r="BR1" s="576"/>
      <c r="BS1" s="576"/>
      <c r="BT1" s="576"/>
      <c r="BU1" s="575"/>
      <c r="BV1" s="576"/>
      <c r="BW1" s="576"/>
      <c r="BX1" s="576"/>
      <c r="BY1" s="78"/>
    </row>
    <row r="2" spans="1:77" customFormat="1" x14ac:dyDescent="0.15">
      <c r="A2" s="1"/>
      <c r="B2" s="18" t="s">
        <v>21</v>
      </c>
      <c r="C2" s="18"/>
      <c r="D2" s="18"/>
      <c r="E2" s="38"/>
      <c r="F2" s="110"/>
      <c r="G2" s="91"/>
      <c r="H2" s="91">
        <v>189.6</v>
      </c>
      <c r="I2" s="91">
        <v>195</v>
      </c>
      <c r="J2" s="91">
        <v>204</v>
      </c>
      <c r="K2" s="591" t="s">
        <v>11</v>
      </c>
      <c r="L2" s="592"/>
      <c r="M2" s="592"/>
      <c r="N2" s="593"/>
      <c r="O2" s="4"/>
      <c r="P2" s="575" t="s">
        <v>100</v>
      </c>
      <c r="Q2" s="592"/>
      <c r="R2" s="592"/>
      <c r="S2" s="592"/>
      <c r="T2" s="593"/>
      <c r="U2" s="575" t="s">
        <v>116</v>
      </c>
      <c r="V2" s="592"/>
      <c r="W2" s="592"/>
      <c r="X2" s="592"/>
      <c r="Y2" s="593"/>
      <c r="Z2" s="575" t="s">
        <v>139</v>
      </c>
      <c r="AA2" s="592"/>
      <c r="AB2" s="592"/>
      <c r="AC2" s="592"/>
      <c r="AD2" s="593"/>
      <c r="AE2" s="591" t="s">
        <v>17</v>
      </c>
      <c r="AF2" s="592"/>
      <c r="AG2" s="593"/>
      <c r="AH2" s="591" t="s">
        <v>11</v>
      </c>
      <c r="AI2" s="592"/>
      <c r="AJ2" s="593"/>
      <c r="AK2" s="575" t="s">
        <v>105</v>
      </c>
      <c r="AL2" s="592"/>
      <c r="AM2" s="592"/>
      <c r="AN2" s="593"/>
      <c r="AO2" s="575" t="s">
        <v>108</v>
      </c>
      <c r="AP2" s="592"/>
      <c r="AQ2" s="592"/>
      <c r="AR2" s="593"/>
      <c r="AS2" s="575" t="s">
        <v>137</v>
      </c>
      <c r="AT2" s="592"/>
      <c r="AU2" s="592"/>
      <c r="AV2" s="593"/>
      <c r="AW2" s="587"/>
      <c r="AX2" s="588"/>
      <c r="AY2" s="588"/>
      <c r="AZ2" s="589"/>
      <c r="BA2" s="587"/>
      <c r="BB2" s="588"/>
      <c r="BC2" s="588"/>
      <c r="BD2" s="589"/>
      <c r="BE2" s="587"/>
      <c r="BF2" s="588"/>
      <c r="BG2" s="588"/>
      <c r="BH2" s="589"/>
      <c r="BI2" s="587"/>
      <c r="BJ2" s="588"/>
      <c r="BK2" s="588"/>
      <c r="BL2" s="589"/>
      <c r="BM2" s="587"/>
      <c r="BN2" s="588"/>
      <c r="BO2" s="588"/>
      <c r="BP2" s="589"/>
      <c r="BQ2" s="575"/>
      <c r="BR2" s="576"/>
      <c r="BS2" s="576"/>
      <c r="BT2" s="576"/>
      <c r="BU2" s="587"/>
      <c r="BV2" s="588"/>
      <c r="BW2" s="588"/>
      <c r="BX2" s="589"/>
    </row>
    <row r="3" spans="1:77" customFormat="1" x14ac:dyDescent="0.15">
      <c r="A3" s="1"/>
      <c r="B3" s="17" t="s">
        <v>33</v>
      </c>
      <c r="C3" s="17"/>
      <c r="D3" s="17"/>
      <c r="E3" s="38"/>
      <c r="F3" s="110"/>
      <c r="G3" s="36"/>
      <c r="H3" s="30"/>
      <c r="I3" s="25"/>
      <c r="J3" s="25"/>
      <c r="K3" s="10"/>
      <c r="L3" s="11"/>
      <c r="M3" s="11"/>
      <c r="N3" s="12"/>
      <c r="O3" s="1"/>
      <c r="P3" s="58">
        <v>61.6</v>
      </c>
      <c r="Q3" s="54">
        <v>63.2</v>
      </c>
      <c r="R3" s="67">
        <v>65</v>
      </c>
      <c r="S3" s="60">
        <v>68</v>
      </c>
      <c r="T3" s="145"/>
      <c r="U3" s="58">
        <v>61.6</v>
      </c>
      <c r="V3" s="54">
        <v>63.2</v>
      </c>
      <c r="W3" s="67">
        <v>65</v>
      </c>
      <c r="X3" s="60">
        <v>68</v>
      </c>
      <c r="Y3" s="145"/>
      <c r="Z3" s="58">
        <v>61.6</v>
      </c>
      <c r="AA3" s="54">
        <v>63.2</v>
      </c>
      <c r="AB3" s="67">
        <v>65</v>
      </c>
      <c r="AC3" s="60">
        <v>68</v>
      </c>
      <c r="AD3" s="145"/>
      <c r="AE3" s="3"/>
      <c r="AF3" s="4"/>
      <c r="AG3" s="4"/>
      <c r="AH3" s="3"/>
      <c r="AI3" s="4"/>
      <c r="AJ3" s="4"/>
      <c r="AK3" s="584"/>
      <c r="AL3" s="585"/>
      <c r="AM3" s="585"/>
      <c r="AN3" s="586"/>
      <c r="AO3" s="584"/>
      <c r="AP3" s="585"/>
      <c r="AQ3" s="585"/>
      <c r="AR3" s="586"/>
      <c r="AS3" s="584"/>
      <c r="AT3" s="585"/>
      <c r="AU3" s="585"/>
      <c r="AV3" s="586"/>
      <c r="AW3" s="598"/>
      <c r="AX3" s="599"/>
      <c r="AY3" s="599"/>
      <c r="AZ3" s="600"/>
      <c r="BA3" s="598"/>
      <c r="BB3" s="599"/>
      <c r="BC3" s="599"/>
      <c r="BD3" s="599"/>
      <c r="BE3" s="598"/>
      <c r="BF3" s="599"/>
      <c r="BG3" s="599"/>
      <c r="BH3" s="600"/>
      <c r="BI3" s="598"/>
      <c r="BJ3" s="599"/>
      <c r="BK3" s="599"/>
      <c r="BL3" s="600"/>
      <c r="BM3" s="598"/>
      <c r="BN3" s="599"/>
      <c r="BO3" s="599"/>
      <c r="BP3" s="600"/>
      <c r="BQ3" s="584"/>
      <c r="BR3" s="585"/>
      <c r="BS3" s="585"/>
      <c r="BT3" s="585"/>
      <c r="BU3" s="598"/>
      <c r="BV3" s="599"/>
      <c r="BW3" s="599"/>
      <c r="BX3" s="600"/>
    </row>
    <row r="4" spans="1:77" customFormat="1" x14ac:dyDescent="0.15">
      <c r="A4" s="1"/>
      <c r="B4" s="17" t="s">
        <v>20</v>
      </c>
      <c r="C4" s="17"/>
      <c r="D4" s="24" t="s">
        <v>44</v>
      </c>
      <c r="E4" s="10" t="s">
        <v>8</v>
      </c>
      <c r="F4" s="105" t="s">
        <v>46</v>
      </c>
      <c r="G4" s="28" t="s">
        <v>34</v>
      </c>
      <c r="H4" s="29" t="s">
        <v>9</v>
      </c>
      <c r="I4" s="37" t="s">
        <v>14</v>
      </c>
      <c r="J4" s="60" t="s">
        <v>43</v>
      </c>
      <c r="K4" s="10" t="s">
        <v>4</v>
      </c>
      <c r="L4" s="11" t="s">
        <v>4</v>
      </c>
      <c r="M4" s="11" t="s">
        <v>4</v>
      </c>
      <c r="N4" s="12" t="s">
        <v>4</v>
      </c>
      <c r="O4" s="1" t="s">
        <v>4</v>
      </c>
      <c r="P4" s="59" t="s">
        <v>34</v>
      </c>
      <c r="Q4" s="31" t="s">
        <v>9</v>
      </c>
      <c r="R4" s="26" t="s">
        <v>14</v>
      </c>
      <c r="S4" s="60" t="s">
        <v>43</v>
      </c>
      <c r="T4" s="68"/>
      <c r="U4" s="59" t="s">
        <v>34</v>
      </c>
      <c r="V4" s="31" t="s">
        <v>9</v>
      </c>
      <c r="W4" s="26" t="s">
        <v>14</v>
      </c>
      <c r="X4" s="60" t="s">
        <v>43</v>
      </c>
      <c r="Y4" s="68"/>
      <c r="Z4" s="59" t="s">
        <v>34</v>
      </c>
      <c r="AA4" s="31" t="s">
        <v>9</v>
      </c>
      <c r="AB4" s="26" t="s">
        <v>14</v>
      </c>
      <c r="AC4" s="60" t="s">
        <v>43</v>
      </c>
      <c r="AD4" s="68"/>
      <c r="AE4" s="3" t="s">
        <v>4</v>
      </c>
      <c r="AF4" s="1" t="s">
        <v>4</v>
      </c>
      <c r="AG4" s="24" t="s">
        <v>4</v>
      </c>
      <c r="AH4" s="3" t="s">
        <v>4</v>
      </c>
      <c r="AI4" s="1" t="s">
        <v>4</v>
      </c>
      <c r="AJ4" s="24" t="s">
        <v>4</v>
      </c>
      <c r="AK4" s="518"/>
      <c r="AL4" s="519"/>
      <c r="AM4" s="519"/>
      <c r="AN4" s="519"/>
      <c r="AO4" s="518"/>
      <c r="AP4" s="519"/>
      <c r="AQ4" s="519"/>
      <c r="AR4" s="519"/>
      <c r="AS4" s="345"/>
      <c r="AT4" s="346"/>
      <c r="AU4" s="346"/>
      <c r="AV4" s="346"/>
      <c r="AW4" s="15"/>
      <c r="AX4" s="8"/>
      <c r="AY4" s="8"/>
      <c r="AZ4" s="8"/>
      <c r="BA4" s="15"/>
      <c r="BB4" s="8"/>
      <c r="BC4" s="8"/>
      <c r="BD4" s="8"/>
      <c r="BE4" s="15"/>
      <c r="BF4" s="8"/>
      <c r="BG4" s="8"/>
      <c r="BH4" s="8"/>
      <c r="BI4" s="43"/>
      <c r="BJ4" s="44"/>
      <c r="BK4" s="44"/>
      <c r="BL4" s="44"/>
      <c r="BM4" s="43"/>
      <c r="BN4" s="44"/>
      <c r="BO4" s="44"/>
      <c r="BP4" s="44"/>
      <c r="BQ4" s="43"/>
      <c r="BR4" s="44"/>
      <c r="BS4" s="44"/>
      <c r="BT4" s="44"/>
      <c r="BU4" s="43"/>
      <c r="BV4" s="44"/>
      <c r="BW4" s="44"/>
      <c r="BX4" s="44"/>
      <c r="BY4" s="78"/>
    </row>
    <row r="5" spans="1:77" customFormat="1" x14ac:dyDescent="0.15">
      <c r="A5" s="1"/>
      <c r="B5" s="19" t="str">
        <f>+'TRA-M'!$A$1</f>
        <v>JUNE 2016</v>
      </c>
      <c r="C5" s="21" t="s">
        <v>23</v>
      </c>
      <c r="D5" s="21" t="s">
        <v>45</v>
      </c>
      <c r="E5" s="10" t="s">
        <v>7</v>
      </c>
      <c r="F5" s="105">
        <v>10.6</v>
      </c>
      <c r="G5" s="28" t="s">
        <v>13</v>
      </c>
      <c r="H5" s="29" t="s">
        <v>13</v>
      </c>
      <c r="I5" s="37" t="s">
        <v>13</v>
      </c>
      <c r="J5" s="61" t="s">
        <v>13</v>
      </c>
      <c r="K5" s="10" t="s">
        <v>2</v>
      </c>
      <c r="L5" s="11" t="s">
        <v>31</v>
      </c>
      <c r="M5" s="11" t="s">
        <v>32</v>
      </c>
      <c r="N5" s="12" t="s">
        <v>3</v>
      </c>
      <c r="O5" s="1" t="s">
        <v>15</v>
      </c>
      <c r="P5" s="526" t="s">
        <v>31</v>
      </c>
      <c r="Q5" s="527" t="s">
        <v>32</v>
      </c>
      <c r="R5" s="527" t="s">
        <v>2</v>
      </c>
      <c r="S5" s="527" t="s">
        <v>3</v>
      </c>
      <c r="T5" s="69" t="s">
        <v>42</v>
      </c>
      <c r="U5" s="526" t="s">
        <v>31</v>
      </c>
      <c r="V5" s="527" t="s">
        <v>32</v>
      </c>
      <c r="W5" s="527" t="s">
        <v>2</v>
      </c>
      <c r="X5" s="527" t="s">
        <v>3</v>
      </c>
      <c r="Y5" s="69" t="s">
        <v>42</v>
      </c>
      <c r="Z5" s="3" t="s">
        <v>31</v>
      </c>
      <c r="AA5" s="4" t="s">
        <v>32</v>
      </c>
      <c r="AB5" s="4" t="s">
        <v>2</v>
      </c>
      <c r="AC5" s="4" t="s">
        <v>3</v>
      </c>
      <c r="AD5" s="69" t="s">
        <v>42</v>
      </c>
      <c r="AE5" s="3" t="s">
        <v>31</v>
      </c>
      <c r="AF5" s="4" t="s">
        <v>32</v>
      </c>
      <c r="AG5" s="8" t="s">
        <v>3</v>
      </c>
      <c r="AH5" s="3" t="s">
        <v>31</v>
      </c>
      <c r="AI5" s="4" t="s">
        <v>32</v>
      </c>
      <c r="AJ5" s="8" t="s">
        <v>3</v>
      </c>
      <c r="AK5" s="526" t="s">
        <v>31</v>
      </c>
      <c r="AL5" s="527" t="s">
        <v>32</v>
      </c>
      <c r="AM5" s="519" t="s">
        <v>2</v>
      </c>
      <c r="AN5" s="527" t="s">
        <v>3</v>
      </c>
      <c r="AO5" s="526" t="s">
        <v>31</v>
      </c>
      <c r="AP5" s="527" t="s">
        <v>32</v>
      </c>
      <c r="AQ5" s="519" t="s">
        <v>2</v>
      </c>
      <c r="AR5" s="527" t="s">
        <v>3</v>
      </c>
      <c r="AS5" s="350" t="s">
        <v>31</v>
      </c>
      <c r="AT5" s="351" t="s">
        <v>32</v>
      </c>
      <c r="AU5" s="346" t="s">
        <v>2</v>
      </c>
      <c r="AV5" s="351" t="s">
        <v>3</v>
      </c>
      <c r="AW5" s="3" t="s">
        <v>31</v>
      </c>
      <c r="AX5" s="4" t="s">
        <v>32</v>
      </c>
      <c r="AY5" s="8" t="s">
        <v>2</v>
      </c>
      <c r="AZ5" s="4" t="s">
        <v>3</v>
      </c>
      <c r="BA5" s="3" t="s">
        <v>31</v>
      </c>
      <c r="BB5" s="4" t="s">
        <v>32</v>
      </c>
      <c r="BC5" s="8" t="s">
        <v>2</v>
      </c>
      <c r="BD5" s="4" t="s">
        <v>3</v>
      </c>
      <c r="BE5" s="3" t="s">
        <v>31</v>
      </c>
      <c r="BF5" s="4" t="s">
        <v>32</v>
      </c>
      <c r="BG5" s="8" t="s">
        <v>2</v>
      </c>
      <c r="BH5" s="4" t="s">
        <v>3</v>
      </c>
      <c r="BI5" s="45" t="s">
        <v>31</v>
      </c>
      <c r="BJ5" s="46" t="s">
        <v>32</v>
      </c>
      <c r="BK5" s="44" t="s">
        <v>2</v>
      </c>
      <c r="BL5" s="46" t="s">
        <v>3</v>
      </c>
      <c r="BM5" s="45" t="s">
        <v>31</v>
      </c>
      <c r="BN5" s="46" t="s">
        <v>32</v>
      </c>
      <c r="BO5" s="44" t="s">
        <v>2</v>
      </c>
      <c r="BP5" s="46" t="s">
        <v>3</v>
      </c>
      <c r="BQ5" s="3" t="s">
        <v>31</v>
      </c>
      <c r="BR5" s="4" t="s">
        <v>32</v>
      </c>
      <c r="BS5" s="8" t="s">
        <v>2</v>
      </c>
      <c r="BT5" s="4" t="s">
        <v>3</v>
      </c>
      <c r="BU5" s="3" t="s">
        <v>31</v>
      </c>
      <c r="BV5" s="4" t="s">
        <v>32</v>
      </c>
      <c r="BW5" s="8" t="s">
        <v>2</v>
      </c>
      <c r="BX5" s="4" t="s">
        <v>3</v>
      </c>
      <c r="BY5" s="78"/>
    </row>
    <row r="6" spans="1:77" customFormat="1" x14ac:dyDescent="0.15">
      <c r="A6" s="1"/>
      <c r="C6" s="1"/>
      <c r="D6" s="1"/>
      <c r="E6" s="10"/>
      <c r="F6" s="105"/>
      <c r="G6" s="28"/>
      <c r="H6" s="29"/>
      <c r="I6" s="37"/>
      <c r="J6" s="61"/>
      <c r="K6" s="10"/>
      <c r="L6" s="11"/>
      <c r="M6" s="11"/>
      <c r="N6" s="12"/>
      <c r="O6" s="1"/>
      <c r="P6" s="526"/>
      <c r="Q6" s="527"/>
      <c r="R6" s="527"/>
      <c r="S6" s="527"/>
      <c r="T6" s="69"/>
      <c r="U6" s="526"/>
      <c r="V6" s="527"/>
      <c r="W6" s="527"/>
      <c r="X6" s="527"/>
      <c r="Y6" s="69"/>
      <c r="Z6" s="3"/>
      <c r="AA6" s="4"/>
      <c r="AB6" s="4"/>
      <c r="AC6" s="4"/>
      <c r="AD6" s="69"/>
      <c r="AE6" s="3"/>
      <c r="AF6" s="4"/>
      <c r="AG6" s="4"/>
      <c r="AH6" s="3"/>
      <c r="AI6" s="4"/>
      <c r="AJ6" s="4"/>
      <c r="AK6" s="526"/>
      <c r="AL6" s="527"/>
      <c r="AM6" s="519"/>
      <c r="AN6" s="528"/>
      <c r="AO6" s="526"/>
      <c r="AP6" s="527"/>
      <c r="AQ6" s="519"/>
      <c r="AR6" s="528"/>
      <c r="AS6" s="350"/>
      <c r="AT6" s="351"/>
      <c r="AU6" s="346"/>
      <c r="AV6" s="352"/>
      <c r="AW6" s="3"/>
      <c r="AX6" s="4"/>
      <c r="AY6" s="8"/>
      <c r="AZ6" s="5"/>
      <c r="BA6" s="3"/>
      <c r="BB6" s="4"/>
      <c r="BC6" s="8"/>
      <c r="BD6" s="5"/>
      <c r="BE6" s="3"/>
      <c r="BF6" s="4"/>
      <c r="BG6" s="8"/>
      <c r="BH6" s="5"/>
      <c r="BI6" s="45"/>
      <c r="BJ6" s="46"/>
      <c r="BK6" s="44"/>
      <c r="BL6" s="47"/>
      <c r="BM6" s="45"/>
      <c r="BN6" s="46"/>
      <c r="BO6" s="44"/>
      <c r="BP6" s="47"/>
      <c r="BQ6" s="3"/>
      <c r="BR6" s="4"/>
      <c r="BS6" s="8"/>
      <c r="BT6" s="5"/>
      <c r="BU6" s="3"/>
      <c r="BV6" s="4"/>
      <c r="BW6" s="8"/>
      <c r="BX6" s="5"/>
    </row>
    <row r="7" spans="1:77" customFormat="1" x14ac:dyDescent="0.15">
      <c r="A7" s="310">
        <v>1</v>
      </c>
      <c r="B7" s="115" t="s">
        <v>83</v>
      </c>
      <c r="C7" s="164" t="s">
        <v>24</v>
      </c>
      <c r="D7" s="24"/>
      <c r="E7" s="22">
        <f t="shared" ref="E7:E13" si="0">IF(O7="",SUM(K7:N7),SUM(K7:O7))</f>
        <v>198.33</v>
      </c>
      <c r="F7" s="111" t="s">
        <v>47</v>
      </c>
      <c r="G7" s="27" t="str">
        <f>IF('TRA-M'!$A$2-D7&lt;=1,IF(R7&gt;=$P$3,"YES",IF(W7&gt;=$U$3,"YES",IF(AB7&gt;=$Z$3,"YES",""))),"")</f>
        <v/>
      </c>
      <c r="H7" s="7" t="str">
        <f t="shared" ref="H7:H13" si="1">IF(R7&gt;=$Q$3,IF(F7="YES","YES",""),IF(W7&gt;=$V$3,IF(F7="YES","YES",""),IF(AB7&gt;=$AA$3,IF(F7="YES","YES",""),"")))</f>
        <v>YES</v>
      </c>
      <c r="I7" s="34" t="str">
        <f t="shared" ref="I7:I13" si="2">IF(R7&gt;=$R$3,IF(F7="YES","YES",""),IF(W7&gt;=$W$3,IF(F7="YES","YES",""),IF(AB7&gt;=$AB$3,IF(F7="YES","YES",""),"")))</f>
        <v>YES</v>
      </c>
      <c r="J7" s="52" t="str">
        <f t="shared" ref="J7:J13" si="3">IF(R7&gt;=$S$3,IF(F7="YES","YES",""),IF(W7&gt;=$X$3,IF(F7="YES","YES",""),IF(AB7&gt;=$AC$3,IF(F7="YES","YES",""),"")))</f>
        <v/>
      </c>
      <c r="K7" s="3">
        <f t="shared" ref="K7:K13" si="4">MAX($AB7,$W7,$R7)</f>
        <v>65.45</v>
      </c>
      <c r="L7" s="4">
        <f t="shared" ref="L7:L13" si="5">IF($K7=$AB7,MAX($U7,$P7),IF($K7=$W7,MAX($Z7,$P7),MAX($Z7,$U7)))</f>
        <v>31.6</v>
      </c>
      <c r="M7" s="4">
        <f t="shared" ref="M7:M13" si="6">IF($K7=$AB7,MAX($V7,$Q7),IF($K7=$W7,MAX($AA7,$Q7),MAX($AA7,$V7)))</f>
        <v>31.4</v>
      </c>
      <c r="N7" s="5">
        <f t="shared" ref="N7:N13" si="7">MAX($AC7,$X7,$S7)</f>
        <v>67.680000000000007</v>
      </c>
      <c r="O7" s="9">
        <f t="shared" ref="O7:O13" si="8">IF(MAX(AE7:AG7)&lt;=0,"",MAX(AE7:AG7))</f>
        <v>2.1999999999999957</v>
      </c>
      <c r="P7" s="267">
        <v>33.1</v>
      </c>
      <c r="Q7" s="103">
        <v>32.35</v>
      </c>
      <c r="R7" s="102">
        <f t="shared" ref="R7:R13" si="9">+P7+Q7</f>
        <v>65.45</v>
      </c>
      <c r="S7" s="103">
        <v>67.680000000000007</v>
      </c>
      <c r="T7" s="378"/>
      <c r="U7" s="522"/>
      <c r="V7" s="523"/>
      <c r="W7" s="64">
        <f t="shared" ref="W7:W13" si="10">+U7+V7</f>
        <v>0</v>
      </c>
      <c r="X7" s="523"/>
      <c r="Y7" s="90"/>
      <c r="Z7" s="522">
        <v>31.6</v>
      </c>
      <c r="AA7" s="523">
        <v>31.4</v>
      </c>
      <c r="AB7" s="64">
        <f t="shared" ref="AB7:AB13" si="11">+Z7+AA7</f>
        <v>63</v>
      </c>
      <c r="AC7" s="163">
        <f>33.1+32.9</f>
        <v>66</v>
      </c>
      <c r="AD7" s="90">
        <v>1</v>
      </c>
      <c r="AE7" s="42">
        <f t="shared" ref="AE7:AG13" si="12">IF(AH7="","",AH7-L7)</f>
        <v>2.1999999999999957</v>
      </c>
      <c r="AF7" s="14">
        <f t="shared" si="12"/>
        <v>0.40000000000000213</v>
      </c>
      <c r="AG7" s="14">
        <f t="shared" si="12"/>
        <v>-3.980000000000004</v>
      </c>
      <c r="AH7" s="3">
        <f t="shared" ref="AH7:AH13" si="13">IF(MAX($AK7,$AO7,$AS7,$AW7,$BA7,$BE7,$BI7,$BM7,$BQ7,$BU7)=0,"",MAX($AK7,$AO7,$AS7,$AW7,$BA7,$BE7,$BI7,$BM7,$BQ7,$BU7))</f>
        <v>33.799999999999997</v>
      </c>
      <c r="AI7" s="4">
        <f t="shared" ref="AI7:AI13" si="14">IF(MAX($AL7,$AP7,$AT7,$AX7,$BB7,$BF7,$BJ7,$BN7,$BR7,$BV7)=0,"",MAX($AL7,$AP7,$AT7,$AX7,$BB7,$BF7,$BJ7,$BN7,$BR7,$BV7))</f>
        <v>31.8</v>
      </c>
      <c r="AJ7" s="4">
        <f t="shared" ref="AJ7:AJ13" si="15">IF(MAX($AN7,$AR7,$AV7,$AZ7,$BD7,$BH7,$BL7,$BP7,$BT7,$BX7)=0,"",MAX($AN7,$AR7,$AV7,$AZ7,$BD7,$BH7,$BL7,$BP7,$BT7,$BX7))</f>
        <v>63.7</v>
      </c>
      <c r="AK7" s="45"/>
      <c r="AL7" s="529"/>
      <c r="AM7" s="77" t="str">
        <f t="shared" ref="AM7:AM13" si="16">IF(AK7&lt;&gt;"",AK7+AL7,"")</f>
        <v/>
      </c>
      <c r="AN7" s="530"/>
      <c r="AO7" s="45">
        <v>33.799999999999997</v>
      </c>
      <c r="AP7" s="529">
        <v>31.1</v>
      </c>
      <c r="AQ7" s="257">
        <f t="shared" ref="AQ7:AQ13" si="17">IF(AO7&lt;&gt;"",AO7+AP7,"")</f>
        <v>64.900000000000006</v>
      </c>
      <c r="AR7" s="258">
        <f>30+33.7</f>
        <v>63.7</v>
      </c>
      <c r="AS7" s="522">
        <v>31.5</v>
      </c>
      <c r="AT7" s="523">
        <v>31.8</v>
      </c>
      <c r="AU7" s="257">
        <f t="shared" ref="AU7:AU13" si="18">IF(AS7&lt;&gt;"",AS7+AT7,"")</f>
        <v>63.3</v>
      </c>
      <c r="AV7" s="258">
        <f>31.4+31.7</f>
        <v>63.099999999999994</v>
      </c>
      <c r="AW7" s="353"/>
      <c r="AX7" s="354"/>
      <c r="AY7" s="77" t="str">
        <f t="shared" ref="AY7:AY13" si="19">IF(AW7&lt;&gt;"",AW7+AX7,"")</f>
        <v/>
      </c>
      <c r="AZ7" s="355"/>
      <c r="BA7" s="353"/>
      <c r="BB7" s="354"/>
      <c r="BC7" s="77" t="str">
        <f t="shared" ref="BC7:BC13" si="20">IF(BA7&lt;&gt;"",BA7+BB7,"")</f>
        <v/>
      </c>
      <c r="BD7" s="355"/>
      <c r="BE7" s="45"/>
      <c r="BF7" s="46"/>
      <c r="BG7" s="77" t="str">
        <f t="shared" ref="BG7:BG13" si="21">IF(BE7&lt;&gt;"",BE7+BF7,"")</f>
        <v/>
      </c>
      <c r="BH7" s="47"/>
      <c r="BI7" s="45"/>
      <c r="BJ7" s="46"/>
      <c r="BK7" s="77" t="str">
        <f t="shared" ref="BK7:BK13" si="22">IF(BI7&lt;&gt;"",BI7+BJ7,"")</f>
        <v/>
      </c>
      <c r="BL7" s="47"/>
      <c r="BM7" s="45"/>
      <c r="BN7" s="46"/>
      <c r="BO7" s="77" t="str">
        <f t="shared" ref="BO7:BO13" si="23">IF(BM7&lt;&gt;"",BM7+BN7,"")</f>
        <v/>
      </c>
      <c r="BP7" s="47"/>
      <c r="BQ7" s="45"/>
      <c r="BR7" s="46"/>
      <c r="BS7" s="76" t="str">
        <f t="shared" ref="BS7:BS13" si="24">IF(BQ7&lt;&gt;"",BQ7+BR7,"")</f>
        <v/>
      </c>
      <c r="BT7" s="5"/>
      <c r="BU7" s="45"/>
      <c r="BV7" s="46"/>
      <c r="BW7" s="76" t="str">
        <f t="shared" ref="BW7:BW13" si="25">IF(BU7&lt;&gt;"",BU7+BV7,"")</f>
        <v/>
      </c>
      <c r="BX7" s="5"/>
    </row>
    <row r="8" spans="1:77" customFormat="1" x14ac:dyDescent="0.15">
      <c r="A8" s="101">
        <v>2</v>
      </c>
      <c r="B8" s="89" t="s">
        <v>101</v>
      </c>
      <c r="C8" s="116" t="s">
        <v>25</v>
      </c>
      <c r="D8" s="24">
        <v>2015</v>
      </c>
      <c r="E8" s="22">
        <f t="shared" si="0"/>
        <v>186.4</v>
      </c>
      <c r="F8" s="111" t="s">
        <v>47</v>
      </c>
      <c r="G8" s="27" t="str">
        <f>IF('TRA-M'!$A$2-D8&lt;=1,IF(R8&gt;=$P$3,"YES",IF(W8&gt;=$U$3,"YES",IF(AB8&gt;=$Z$3,"YES",""))),"")</f>
        <v>YES</v>
      </c>
      <c r="H8" s="7" t="str">
        <f t="shared" si="1"/>
        <v/>
      </c>
      <c r="I8" s="34" t="str">
        <f t="shared" si="2"/>
        <v/>
      </c>
      <c r="J8" s="52" t="str">
        <f t="shared" si="3"/>
        <v/>
      </c>
      <c r="K8" s="3">
        <f t="shared" si="4"/>
        <v>61.7</v>
      </c>
      <c r="L8" s="4">
        <f t="shared" si="5"/>
        <v>31.8</v>
      </c>
      <c r="M8" s="4">
        <f t="shared" si="6"/>
        <v>26.6</v>
      </c>
      <c r="N8" s="5">
        <f t="shared" si="7"/>
        <v>61.7</v>
      </c>
      <c r="O8" s="9">
        <f t="shared" si="8"/>
        <v>4.5999999999999979</v>
      </c>
      <c r="P8" s="522"/>
      <c r="Q8" s="523"/>
      <c r="R8" s="64">
        <f t="shared" si="9"/>
        <v>0</v>
      </c>
      <c r="S8" s="163"/>
      <c r="T8" s="90"/>
      <c r="U8" s="522">
        <v>31</v>
      </c>
      <c r="V8" s="523">
        <v>30.7</v>
      </c>
      <c r="W8" s="161">
        <f t="shared" si="10"/>
        <v>61.7</v>
      </c>
      <c r="X8" s="163">
        <f>31.3+30.4</f>
        <v>61.7</v>
      </c>
      <c r="Y8" s="90">
        <v>1</v>
      </c>
      <c r="Z8" s="522">
        <v>31.8</v>
      </c>
      <c r="AA8" s="104">
        <v>26.6</v>
      </c>
      <c r="AB8" s="64">
        <f t="shared" si="11"/>
        <v>58.400000000000006</v>
      </c>
      <c r="AC8" s="523">
        <f>29.2+31.9</f>
        <v>61.099999999999994</v>
      </c>
      <c r="AD8" s="90">
        <v>3</v>
      </c>
      <c r="AE8" s="42">
        <f t="shared" si="12"/>
        <v>-0.19999999999999929</v>
      </c>
      <c r="AF8" s="14">
        <f t="shared" si="12"/>
        <v>4.5999999999999979</v>
      </c>
      <c r="AG8" s="14">
        <f t="shared" si="12"/>
        <v>0.20000000000000284</v>
      </c>
      <c r="AH8" s="3">
        <f t="shared" si="13"/>
        <v>31.6</v>
      </c>
      <c r="AI8" s="4">
        <f t="shared" si="14"/>
        <v>31.2</v>
      </c>
      <c r="AJ8" s="4">
        <f t="shared" si="15"/>
        <v>61.900000000000006</v>
      </c>
      <c r="AK8" s="45">
        <v>31.1</v>
      </c>
      <c r="AL8" s="529">
        <v>31.2</v>
      </c>
      <c r="AM8" s="257">
        <f t="shared" si="16"/>
        <v>62.3</v>
      </c>
      <c r="AN8" s="530">
        <f>26.6+30.9</f>
        <v>57.5</v>
      </c>
      <c r="AO8" s="45">
        <v>28.8</v>
      </c>
      <c r="AP8" s="529">
        <v>31</v>
      </c>
      <c r="AQ8" s="257">
        <f t="shared" si="17"/>
        <v>59.8</v>
      </c>
      <c r="AR8" s="530"/>
      <c r="AS8" s="522">
        <v>31.6</v>
      </c>
      <c r="AT8" s="523">
        <v>30.7</v>
      </c>
      <c r="AU8" s="77">
        <f t="shared" si="18"/>
        <v>62.3</v>
      </c>
      <c r="AV8" s="524">
        <f>31.3+30.6</f>
        <v>61.900000000000006</v>
      </c>
      <c r="AW8" s="45"/>
      <c r="AX8" s="426"/>
      <c r="AY8" s="77" t="str">
        <f t="shared" si="19"/>
        <v/>
      </c>
      <c r="AZ8" s="427"/>
      <c r="BA8" s="45"/>
      <c r="BB8" s="426"/>
      <c r="BC8" s="77" t="str">
        <f t="shared" si="20"/>
        <v/>
      </c>
      <c r="BD8" s="448"/>
      <c r="BE8" s="45"/>
      <c r="BF8" s="46"/>
      <c r="BG8" s="77" t="str">
        <f t="shared" si="21"/>
        <v/>
      </c>
      <c r="BH8" s="47"/>
      <c r="BI8" s="45"/>
      <c r="BJ8" s="46"/>
      <c r="BK8" s="77" t="str">
        <f t="shared" si="22"/>
        <v/>
      </c>
      <c r="BL8" s="47"/>
      <c r="BM8" s="45"/>
      <c r="BN8" s="46"/>
      <c r="BO8" s="77" t="str">
        <f t="shared" si="23"/>
        <v/>
      </c>
      <c r="BP8" s="47"/>
      <c r="BQ8" s="45"/>
      <c r="BR8" s="46"/>
      <c r="BS8" s="76" t="str">
        <f t="shared" si="24"/>
        <v/>
      </c>
      <c r="BT8" s="5"/>
      <c r="BU8" s="45"/>
      <c r="BV8" s="46"/>
      <c r="BW8" s="76" t="str">
        <f t="shared" si="25"/>
        <v/>
      </c>
      <c r="BX8" s="5"/>
    </row>
    <row r="9" spans="1:77" customFormat="1" x14ac:dyDescent="0.15">
      <c r="A9" s="422"/>
      <c r="B9" s="89" t="s">
        <v>127</v>
      </c>
      <c r="C9" s="116" t="s">
        <v>27</v>
      </c>
      <c r="D9" s="24">
        <v>2013</v>
      </c>
      <c r="E9" s="22">
        <f t="shared" si="0"/>
        <v>182.10000000000002</v>
      </c>
      <c r="F9" s="111" t="s">
        <v>47</v>
      </c>
      <c r="G9" s="27" t="str">
        <f>IF('TRA-M'!$A$2-D9&lt;=1,IF(R9&gt;=$P$3,"YES",IF(W9&gt;=$U$3,"YES",IF(AB9&gt;=$Z$3,"YES",""))),"")</f>
        <v/>
      </c>
      <c r="H9" s="7" t="str">
        <f t="shared" si="1"/>
        <v/>
      </c>
      <c r="I9" s="34" t="str">
        <f t="shared" si="2"/>
        <v/>
      </c>
      <c r="J9" s="52" t="str">
        <f t="shared" si="3"/>
        <v/>
      </c>
      <c r="K9" s="252">
        <f t="shared" si="4"/>
        <v>60.7</v>
      </c>
      <c r="L9" s="253">
        <f t="shared" si="5"/>
        <v>30.1</v>
      </c>
      <c r="M9" s="253">
        <f t="shared" si="6"/>
        <v>30.1</v>
      </c>
      <c r="N9" s="254">
        <f t="shared" si="7"/>
        <v>61.2</v>
      </c>
      <c r="O9" s="9" t="str">
        <f t="shared" si="8"/>
        <v/>
      </c>
      <c r="P9" s="522">
        <v>29.8</v>
      </c>
      <c r="Q9" s="523">
        <v>30.1</v>
      </c>
      <c r="R9" s="64">
        <f t="shared" si="9"/>
        <v>59.900000000000006</v>
      </c>
      <c r="S9" s="104">
        <f>27.6+27.1</f>
        <v>54.7</v>
      </c>
      <c r="T9" s="90"/>
      <c r="U9" s="267">
        <v>30.25</v>
      </c>
      <c r="V9" s="103">
        <v>30.45</v>
      </c>
      <c r="W9" s="102">
        <f t="shared" si="10"/>
        <v>60.7</v>
      </c>
      <c r="X9" s="103">
        <v>57.75</v>
      </c>
      <c r="Y9" s="378"/>
      <c r="Z9" s="522">
        <v>30.1</v>
      </c>
      <c r="AA9" s="104">
        <v>26.4</v>
      </c>
      <c r="AB9" s="64">
        <f t="shared" si="11"/>
        <v>56.5</v>
      </c>
      <c r="AC9" s="523">
        <f>31+30.2</f>
        <v>61.2</v>
      </c>
      <c r="AD9" s="90">
        <v>4</v>
      </c>
      <c r="AE9" s="42" t="str">
        <f t="shared" si="12"/>
        <v/>
      </c>
      <c r="AF9" s="14" t="str">
        <f t="shared" si="12"/>
        <v/>
      </c>
      <c r="AG9" s="14" t="str">
        <f t="shared" si="12"/>
        <v/>
      </c>
      <c r="AH9" s="252" t="str">
        <f t="shared" si="13"/>
        <v/>
      </c>
      <c r="AI9" s="253" t="str">
        <f t="shared" si="14"/>
        <v/>
      </c>
      <c r="AJ9" s="253" t="str">
        <f t="shared" si="15"/>
        <v/>
      </c>
      <c r="AK9" s="461"/>
      <c r="AL9" s="462"/>
      <c r="AM9" s="463" t="str">
        <f t="shared" si="16"/>
        <v/>
      </c>
      <c r="AN9" s="464"/>
      <c r="AO9" s="461"/>
      <c r="AP9" s="462"/>
      <c r="AQ9" s="463" t="str">
        <f t="shared" si="17"/>
        <v/>
      </c>
      <c r="AR9" s="464"/>
      <c r="AS9" s="45"/>
      <c r="AT9" s="529"/>
      <c r="AU9" s="77" t="str">
        <f t="shared" si="18"/>
        <v/>
      </c>
      <c r="AV9" s="530"/>
      <c r="AW9" s="419"/>
      <c r="AX9" s="420"/>
      <c r="AY9" s="77" t="str">
        <f t="shared" si="19"/>
        <v/>
      </c>
      <c r="AZ9" s="421"/>
      <c r="BA9" s="419"/>
      <c r="BB9" s="420"/>
      <c r="BC9" s="77" t="str">
        <f t="shared" si="20"/>
        <v/>
      </c>
      <c r="BD9" s="421"/>
      <c r="BE9" s="45"/>
      <c r="BF9" s="255"/>
      <c r="BG9" s="77" t="str">
        <f t="shared" si="21"/>
        <v/>
      </c>
      <c r="BH9" s="256"/>
      <c r="BI9" s="45"/>
      <c r="BJ9" s="255"/>
      <c r="BK9" s="77" t="str">
        <f t="shared" si="22"/>
        <v/>
      </c>
      <c r="BL9" s="256"/>
      <c r="BM9" s="45"/>
      <c r="BN9" s="255"/>
      <c r="BO9" s="77" t="str">
        <f t="shared" si="23"/>
        <v/>
      </c>
      <c r="BP9" s="256"/>
      <c r="BQ9" s="45"/>
      <c r="BR9" s="255"/>
      <c r="BS9" s="76" t="str">
        <f t="shared" si="24"/>
        <v/>
      </c>
      <c r="BT9" s="254"/>
      <c r="BU9" s="45"/>
      <c r="BV9" s="255"/>
      <c r="BW9" s="76" t="str">
        <f t="shared" si="25"/>
        <v/>
      </c>
      <c r="BX9" s="254"/>
    </row>
    <row r="10" spans="1:77" customFormat="1" x14ac:dyDescent="0.15">
      <c r="A10" s="101">
        <v>3</v>
      </c>
      <c r="B10" s="89" t="s">
        <v>150</v>
      </c>
      <c r="C10" s="116" t="s">
        <v>25</v>
      </c>
      <c r="D10" s="24">
        <v>2016</v>
      </c>
      <c r="E10" s="22">
        <f t="shared" si="0"/>
        <v>126.1</v>
      </c>
      <c r="F10" s="111"/>
      <c r="G10" s="27" t="str">
        <f>IF('TRA-M'!$A$2-D10&lt;=1,IF(R10&gt;=$P$3,"YES",IF(W10&gt;=$U$3,"YES",IF(AB10&gt;=$Z$3,"YES",""))),"")</f>
        <v>YES</v>
      </c>
      <c r="H10" s="7" t="str">
        <f t="shared" si="1"/>
        <v/>
      </c>
      <c r="I10" s="34" t="str">
        <f t="shared" si="2"/>
        <v/>
      </c>
      <c r="J10" s="52" t="str">
        <f t="shared" si="3"/>
        <v/>
      </c>
      <c r="K10" s="299">
        <f t="shared" si="4"/>
        <v>62.599999999999994</v>
      </c>
      <c r="L10" s="300">
        <f t="shared" si="5"/>
        <v>0</v>
      </c>
      <c r="M10" s="300">
        <f t="shared" si="6"/>
        <v>0</v>
      </c>
      <c r="N10" s="302">
        <f t="shared" si="7"/>
        <v>63.5</v>
      </c>
      <c r="O10" s="9" t="str">
        <f t="shared" si="8"/>
        <v/>
      </c>
      <c r="P10" s="522"/>
      <c r="Q10" s="523"/>
      <c r="R10" s="64">
        <f t="shared" si="9"/>
        <v>0</v>
      </c>
      <c r="S10" s="523"/>
      <c r="T10" s="90"/>
      <c r="U10" s="547"/>
      <c r="V10" s="548"/>
      <c r="W10" s="64">
        <f t="shared" si="10"/>
        <v>0</v>
      </c>
      <c r="X10" s="523"/>
      <c r="Y10" s="90"/>
      <c r="Z10" s="522">
        <v>31.9</v>
      </c>
      <c r="AA10" s="523">
        <v>30.7</v>
      </c>
      <c r="AB10" s="64">
        <f t="shared" si="11"/>
        <v>62.599999999999994</v>
      </c>
      <c r="AC10" s="523">
        <f>32.1+31.4</f>
        <v>63.5</v>
      </c>
      <c r="AD10" s="90">
        <v>2</v>
      </c>
      <c r="AE10" s="42" t="str">
        <f t="shared" si="12"/>
        <v/>
      </c>
      <c r="AF10" s="14" t="str">
        <f t="shared" si="12"/>
        <v/>
      </c>
      <c r="AG10" s="14" t="str">
        <f t="shared" si="12"/>
        <v/>
      </c>
      <c r="AH10" s="299" t="str">
        <f t="shared" si="13"/>
        <v/>
      </c>
      <c r="AI10" s="300" t="str">
        <f t="shared" si="14"/>
        <v/>
      </c>
      <c r="AJ10" s="300" t="str">
        <f t="shared" si="15"/>
        <v/>
      </c>
      <c r="AK10" s="45"/>
      <c r="AL10" s="529"/>
      <c r="AM10" s="77" t="str">
        <f t="shared" si="16"/>
        <v/>
      </c>
      <c r="AN10" s="530"/>
      <c r="AO10" s="45"/>
      <c r="AP10" s="529"/>
      <c r="AQ10" s="77" t="str">
        <f t="shared" si="17"/>
        <v/>
      </c>
      <c r="AR10" s="530"/>
      <c r="AS10" s="45"/>
      <c r="AT10" s="356"/>
      <c r="AU10" s="77" t="str">
        <f t="shared" si="18"/>
        <v/>
      </c>
      <c r="AV10" s="357"/>
      <c r="AW10" s="45"/>
      <c r="AX10" s="303"/>
      <c r="AY10" s="77" t="str">
        <f t="shared" si="19"/>
        <v/>
      </c>
      <c r="AZ10" s="304"/>
      <c r="BA10" s="45"/>
      <c r="BB10" s="303"/>
      <c r="BC10" s="77" t="str">
        <f t="shared" si="20"/>
        <v/>
      </c>
      <c r="BD10" s="304"/>
      <c r="BE10" s="45"/>
      <c r="BF10" s="303"/>
      <c r="BG10" s="77" t="str">
        <f t="shared" si="21"/>
        <v/>
      </c>
      <c r="BH10" s="304"/>
      <c r="BI10" s="45"/>
      <c r="BJ10" s="303"/>
      <c r="BK10" s="77" t="str">
        <f t="shared" si="22"/>
        <v/>
      </c>
      <c r="BL10" s="304"/>
      <c r="BM10" s="45"/>
      <c r="BN10" s="303"/>
      <c r="BO10" s="77" t="str">
        <f t="shared" si="23"/>
        <v/>
      </c>
      <c r="BP10" s="304"/>
      <c r="BQ10" s="45"/>
      <c r="BR10" s="303"/>
      <c r="BS10" s="76" t="str">
        <f t="shared" si="24"/>
        <v/>
      </c>
      <c r="BT10" s="302"/>
      <c r="BU10" s="45"/>
      <c r="BV10" s="303"/>
      <c r="BW10" s="76" t="str">
        <f t="shared" si="25"/>
        <v/>
      </c>
      <c r="BX10" s="302"/>
    </row>
    <row r="11" spans="1:77" customFormat="1" x14ac:dyDescent="0.15">
      <c r="A11" s="162"/>
      <c r="B11" s="89" t="s">
        <v>96</v>
      </c>
      <c r="C11" s="116" t="s">
        <v>24</v>
      </c>
      <c r="D11" s="24">
        <v>2014</v>
      </c>
      <c r="E11" s="22">
        <f t="shared" si="0"/>
        <v>114.5</v>
      </c>
      <c r="F11" s="111"/>
      <c r="G11" s="27" t="str">
        <f>IF('TRA-M'!$A$2-D11&lt;=1,IF(R11&gt;=$P$3,"YES",IF(W11&gt;=$U$3,"YES",IF(AB11&gt;=$Z$3,"YES",""))),"")</f>
        <v/>
      </c>
      <c r="H11" s="7" t="str">
        <f t="shared" si="1"/>
        <v/>
      </c>
      <c r="I11" s="34" t="str">
        <f t="shared" si="2"/>
        <v/>
      </c>
      <c r="J11" s="52" t="str">
        <f t="shared" si="3"/>
        <v/>
      </c>
      <c r="K11" s="311">
        <f t="shared" si="4"/>
        <v>55.9</v>
      </c>
      <c r="L11" s="312">
        <f t="shared" si="5"/>
        <v>0</v>
      </c>
      <c r="M11" s="312">
        <f t="shared" si="6"/>
        <v>0</v>
      </c>
      <c r="N11" s="313">
        <f t="shared" si="7"/>
        <v>58.6</v>
      </c>
      <c r="O11" s="9" t="str">
        <f t="shared" si="8"/>
        <v/>
      </c>
      <c r="P11" s="522"/>
      <c r="Q11" s="523"/>
      <c r="R11" s="64">
        <f t="shared" si="9"/>
        <v>0</v>
      </c>
      <c r="S11" s="523"/>
      <c r="T11" s="90"/>
      <c r="U11" s="522"/>
      <c r="V11" s="523"/>
      <c r="W11" s="64">
        <f t="shared" si="10"/>
        <v>0</v>
      </c>
      <c r="X11" s="523"/>
      <c r="Y11" s="90"/>
      <c r="Z11" s="522">
        <v>30.4</v>
      </c>
      <c r="AA11" s="523">
        <v>25.5</v>
      </c>
      <c r="AB11" s="64">
        <f t="shared" si="11"/>
        <v>55.9</v>
      </c>
      <c r="AC11" s="104">
        <f>31.5+27.1</f>
        <v>58.6</v>
      </c>
      <c r="AD11" s="90">
        <v>5</v>
      </c>
      <c r="AE11" s="42" t="str">
        <f t="shared" si="12"/>
        <v/>
      </c>
      <c r="AF11" s="14" t="str">
        <f t="shared" si="12"/>
        <v/>
      </c>
      <c r="AG11" s="14" t="str">
        <f t="shared" si="12"/>
        <v/>
      </c>
      <c r="AH11" s="311" t="str">
        <f t="shared" si="13"/>
        <v/>
      </c>
      <c r="AI11" s="312" t="str">
        <f t="shared" si="14"/>
        <v/>
      </c>
      <c r="AJ11" s="312" t="str">
        <f t="shared" si="15"/>
        <v/>
      </c>
      <c r="AK11" s="45"/>
      <c r="AL11" s="529"/>
      <c r="AM11" s="77" t="str">
        <f t="shared" si="16"/>
        <v/>
      </c>
      <c r="AN11" s="530"/>
      <c r="AO11" s="45"/>
      <c r="AP11" s="529"/>
      <c r="AQ11" s="77" t="str">
        <f t="shared" si="17"/>
        <v/>
      </c>
      <c r="AR11" s="530"/>
      <c r="AS11" s="45"/>
      <c r="AT11" s="356"/>
      <c r="AU11" s="77" t="str">
        <f t="shared" si="18"/>
        <v/>
      </c>
      <c r="AV11" s="357"/>
      <c r="AW11" s="45"/>
      <c r="AX11" s="314"/>
      <c r="AY11" s="77" t="str">
        <f t="shared" si="19"/>
        <v/>
      </c>
      <c r="AZ11" s="315"/>
      <c r="BA11" s="45"/>
      <c r="BB11" s="314"/>
      <c r="BC11" s="77" t="str">
        <f t="shared" si="20"/>
        <v/>
      </c>
      <c r="BD11" s="315"/>
      <c r="BE11" s="45"/>
      <c r="BF11" s="314"/>
      <c r="BG11" s="77" t="str">
        <f t="shared" si="21"/>
        <v/>
      </c>
      <c r="BH11" s="315"/>
      <c r="BI11" s="45"/>
      <c r="BJ11" s="314"/>
      <c r="BK11" s="77" t="str">
        <f t="shared" si="22"/>
        <v/>
      </c>
      <c r="BL11" s="315"/>
      <c r="BM11" s="45"/>
      <c r="BN11" s="314"/>
      <c r="BO11" s="77" t="str">
        <f t="shared" si="23"/>
        <v/>
      </c>
      <c r="BP11" s="315"/>
      <c r="BQ11" s="45"/>
      <c r="BR11" s="314"/>
      <c r="BS11" s="76" t="str">
        <f t="shared" si="24"/>
        <v/>
      </c>
      <c r="BT11" s="313"/>
      <c r="BU11" s="45"/>
      <c r="BV11" s="314"/>
      <c r="BW11" s="76" t="str">
        <f t="shared" si="25"/>
        <v/>
      </c>
      <c r="BX11" s="313"/>
    </row>
    <row r="12" spans="1:77" customFormat="1" x14ac:dyDescent="0.15">
      <c r="A12" s="101"/>
      <c r="B12" s="89" t="s">
        <v>122</v>
      </c>
      <c r="C12" s="116" t="s">
        <v>24</v>
      </c>
      <c r="D12" s="428">
        <v>2016</v>
      </c>
      <c r="E12" s="22">
        <f t="shared" si="0"/>
        <v>50.2</v>
      </c>
      <c r="F12" s="111"/>
      <c r="G12" s="27" t="str">
        <f>IF('TRA-M'!$A$2-D12&lt;=1,IF(R12&gt;=$P$3,"YES",IF(W12&gt;=$U$3,"YES",IF(AB12&gt;=$Z$3,"YES",""))),"")</f>
        <v/>
      </c>
      <c r="H12" s="7" t="str">
        <f t="shared" si="1"/>
        <v/>
      </c>
      <c r="I12" s="34" t="str">
        <f t="shared" si="2"/>
        <v/>
      </c>
      <c r="J12" s="52" t="str">
        <f t="shared" si="3"/>
        <v/>
      </c>
      <c r="K12" s="423">
        <f t="shared" si="4"/>
        <v>50.2</v>
      </c>
      <c r="L12" s="424">
        <f t="shared" si="5"/>
        <v>0</v>
      </c>
      <c r="M12" s="424">
        <f t="shared" si="6"/>
        <v>0</v>
      </c>
      <c r="N12" s="425">
        <f t="shared" si="7"/>
        <v>0</v>
      </c>
      <c r="O12" s="9" t="str">
        <f t="shared" si="8"/>
        <v/>
      </c>
      <c r="P12" s="522"/>
      <c r="Q12" s="523"/>
      <c r="R12" s="64">
        <f t="shared" si="9"/>
        <v>0</v>
      </c>
      <c r="S12" s="523"/>
      <c r="T12" s="90"/>
      <c r="U12" s="113">
        <v>24.5</v>
      </c>
      <c r="V12" s="104">
        <v>25.7</v>
      </c>
      <c r="W12" s="64">
        <f t="shared" si="10"/>
        <v>50.2</v>
      </c>
      <c r="X12" s="523"/>
      <c r="Y12" s="90">
        <v>2</v>
      </c>
      <c r="Z12" s="547"/>
      <c r="AA12" s="523"/>
      <c r="AB12" s="64">
        <f t="shared" si="11"/>
        <v>0</v>
      </c>
      <c r="AC12" s="523"/>
      <c r="AD12" s="90"/>
      <c r="AE12" s="42" t="str">
        <f t="shared" si="12"/>
        <v/>
      </c>
      <c r="AF12" s="14" t="str">
        <f t="shared" si="12"/>
        <v/>
      </c>
      <c r="AG12" s="14" t="str">
        <f t="shared" si="12"/>
        <v/>
      </c>
      <c r="AH12" s="423" t="str">
        <f t="shared" si="13"/>
        <v/>
      </c>
      <c r="AI12" s="424" t="str">
        <f t="shared" si="14"/>
        <v/>
      </c>
      <c r="AJ12" s="424" t="str">
        <f t="shared" si="15"/>
        <v/>
      </c>
      <c r="AK12" s="45"/>
      <c r="AL12" s="529"/>
      <c r="AM12" s="77" t="str">
        <f t="shared" si="16"/>
        <v/>
      </c>
      <c r="AN12" s="530"/>
      <c r="AO12" s="45"/>
      <c r="AP12" s="529"/>
      <c r="AQ12" s="77" t="str">
        <f t="shared" si="17"/>
        <v/>
      </c>
      <c r="AR12" s="530"/>
      <c r="AS12" s="45"/>
      <c r="AT12" s="426"/>
      <c r="AU12" s="77" t="str">
        <f t="shared" si="18"/>
        <v/>
      </c>
      <c r="AV12" s="427"/>
      <c r="AW12" s="45"/>
      <c r="AX12" s="426"/>
      <c r="AY12" s="77" t="str">
        <f t="shared" si="19"/>
        <v/>
      </c>
      <c r="AZ12" s="427"/>
      <c r="BA12" s="45"/>
      <c r="BB12" s="426"/>
      <c r="BC12" s="77" t="str">
        <f t="shared" si="20"/>
        <v/>
      </c>
      <c r="BD12" s="427"/>
      <c r="BE12" s="45"/>
      <c r="BF12" s="426"/>
      <c r="BG12" s="77" t="str">
        <f t="shared" si="21"/>
        <v/>
      </c>
      <c r="BH12" s="427"/>
      <c r="BI12" s="45"/>
      <c r="BJ12" s="426"/>
      <c r="BK12" s="77" t="str">
        <f t="shared" si="22"/>
        <v/>
      </c>
      <c r="BL12" s="427"/>
      <c r="BM12" s="45"/>
      <c r="BN12" s="426"/>
      <c r="BO12" s="77" t="str">
        <f t="shared" si="23"/>
        <v/>
      </c>
      <c r="BP12" s="427"/>
      <c r="BQ12" s="45"/>
      <c r="BR12" s="426"/>
      <c r="BS12" s="76" t="str">
        <f t="shared" si="24"/>
        <v/>
      </c>
      <c r="BT12" s="425"/>
      <c r="BU12" s="45"/>
      <c r="BV12" s="426"/>
      <c r="BW12" s="76" t="str">
        <f t="shared" si="25"/>
        <v/>
      </c>
      <c r="BX12" s="425"/>
    </row>
    <row r="13" spans="1:77" customFormat="1" x14ac:dyDescent="0.15">
      <c r="A13" s="162"/>
      <c r="B13" s="89" t="s">
        <v>97</v>
      </c>
      <c r="C13" s="116" t="s">
        <v>24</v>
      </c>
      <c r="D13" s="531">
        <v>2014</v>
      </c>
      <c r="E13" s="22">
        <f t="shared" si="0"/>
        <v>50</v>
      </c>
      <c r="F13" s="111"/>
      <c r="G13" s="27" t="str">
        <f>IF('TRA-M'!$A$2-D13&lt;=1,IF(R13&gt;=$P$3,"YES",IF(W13&gt;=$U$3,"YES",IF(AB13&gt;=$Z$3,"YES",""))),"")</f>
        <v/>
      </c>
      <c r="H13" s="7" t="str">
        <f t="shared" si="1"/>
        <v/>
      </c>
      <c r="I13" s="34" t="str">
        <f t="shared" si="2"/>
        <v/>
      </c>
      <c r="J13" s="52" t="str">
        <f t="shared" si="3"/>
        <v/>
      </c>
      <c r="K13" s="526">
        <f t="shared" si="4"/>
        <v>50</v>
      </c>
      <c r="L13" s="527">
        <f t="shared" si="5"/>
        <v>0</v>
      </c>
      <c r="M13" s="527">
        <f t="shared" si="6"/>
        <v>0</v>
      </c>
      <c r="N13" s="528">
        <f t="shared" si="7"/>
        <v>0</v>
      </c>
      <c r="O13" s="9" t="str">
        <f t="shared" si="8"/>
        <v/>
      </c>
      <c r="P13" s="522"/>
      <c r="Q13" s="523"/>
      <c r="R13" s="64">
        <f t="shared" si="9"/>
        <v>0</v>
      </c>
      <c r="S13" s="523"/>
      <c r="T13" s="90"/>
      <c r="U13" s="522"/>
      <c r="V13" s="523"/>
      <c r="W13" s="64">
        <f t="shared" si="10"/>
        <v>0</v>
      </c>
      <c r="X13" s="523"/>
      <c r="Y13" s="90"/>
      <c r="Z13" s="113">
        <v>25.9</v>
      </c>
      <c r="AA13" s="523">
        <v>24.1</v>
      </c>
      <c r="AB13" s="64">
        <f t="shared" si="11"/>
        <v>50</v>
      </c>
      <c r="AC13" s="523"/>
      <c r="AD13" s="90">
        <v>6</v>
      </c>
      <c r="AE13" s="42" t="str">
        <f t="shared" si="12"/>
        <v/>
      </c>
      <c r="AF13" s="14" t="str">
        <f t="shared" si="12"/>
        <v/>
      </c>
      <c r="AG13" s="14" t="str">
        <f t="shared" si="12"/>
        <v/>
      </c>
      <c r="AH13" s="526" t="str">
        <f t="shared" si="13"/>
        <v/>
      </c>
      <c r="AI13" s="527" t="str">
        <f t="shared" si="14"/>
        <v/>
      </c>
      <c r="AJ13" s="527" t="str">
        <f t="shared" si="15"/>
        <v/>
      </c>
      <c r="AK13" s="45"/>
      <c r="AL13" s="529"/>
      <c r="AM13" s="77" t="str">
        <f t="shared" si="16"/>
        <v/>
      </c>
      <c r="AN13" s="530"/>
      <c r="AO13" s="45"/>
      <c r="AP13" s="529"/>
      <c r="AQ13" s="77" t="str">
        <f t="shared" si="17"/>
        <v/>
      </c>
      <c r="AR13" s="530"/>
      <c r="AS13" s="45"/>
      <c r="AT13" s="529"/>
      <c r="AU13" s="77" t="str">
        <f t="shared" si="18"/>
        <v/>
      </c>
      <c r="AV13" s="530"/>
      <c r="AW13" s="45"/>
      <c r="AX13" s="529"/>
      <c r="AY13" s="77" t="str">
        <f t="shared" si="19"/>
        <v/>
      </c>
      <c r="AZ13" s="530"/>
      <c r="BA13" s="45"/>
      <c r="BB13" s="529"/>
      <c r="BC13" s="77" t="str">
        <f t="shared" si="20"/>
        <v/>
      </c>
      <c r="BD13" s="530"/>
      <c r="BE13" s="45"/>
      <c r="BF13" s="529"/>
      <c r="BG13" s="77" t="str">
        <f t="shared" si="21"/>
        <v/>
      </c>
      <c r="BH13" s="530"/>
      <c r="BI13" s="45"/>
      <c r="BJ13" s="529"/>
      <c r="BK13" s="77" t="str">
        <f t="shared" si="22"/>
        <v/>
      </c>
      <c r="BL13" s="530"/>
      <c r="BM13" s="45"/>
      <c r="BN13" s="529"/>
      <c r="BO13" s="77" t="str">
        <f t="shared" si="23"/>
        <v/>
      </c>
      <c r="BP13" s="530"/>
      <c r="BQ13" s="45"/>
      <c r="BR13" s="529"/>
      <c r="BS13" s="76" t="str">
        <f t="shared" si="24"/>
        <v/>
      </c>
      <c r="BT13" s="528"/>
      <c r="BU13" s="45"/>
      <c r="BV13" s="529"/>
      <c r="BW13" s="76" t="str">
        <f t="shared" si="25"/>
        <v/>
      </c>
      <c r="BX13" s="528"/>
    </row>
    <row r="14" spans="1:77" x14ac:dyDescent="0.15">
      <c r="A14" s="456"/>
      <c r="C14" s="456"/>
      <c r="D14" s="456"/>
      <c r="E14" s="456"/>
      <c r="K14" s="456"/>
      <c r="L14" s="456"/>
      <c r="M14" s="456"/>
      <c r="N14" s="456"/>
      <c r="O14" s="456"/>
      <c r="P14" s="459"/>
      <c r="Q14" s="459"/>
      <c r="R14" s="459"/>
      <c r="S14" s="459"/>
      <c r="U14" s="459"/>
      <c r="V14" s="459"/>
      <c r="W14" s="459"/>
      <c r="X14" s="459"/>
      <c r="Z14" s="459"/>
      <c r="AA14" s="459"/>
      <c r="AB14" s="459"/>
      <c r="AC14" s="459"/>
      <c r="AE14" s="459"/>
      <c r="AF14" s="459"/>
      <c r="AG14" s="459"/>
      <c r="AH14" s="459"/>
      <c r="AI14" s="459"/>
      <c r="AJ14" s="459"/>
      <c r="AK14" s="460"/>
      <c r="AL14" s="460"/>
      <c r="AM14" s="460"/>
      <c r="AN14" s="460"/>
      <c r="AO14" s="460"/>
      <c r="AP14" s="460"/>
      <c r="AQ14" s="460"/>
      <c r="AR14" s="460"/>
      <c r="AS14" s="460"/>
      <c r="AT14" s="460"/>
      <c r="AU14" s="460"/>
      <c r="AV14" s="460"/>
      <c r="AW14" s="460"/>
      <c r="AX14" s="460"/>
      <c r="AY14" s="460"/>
      <c r="AZ14" s="460"/>
      <c r="BA14" s="460"/>
      <c r="BB14" s="460"/>
      <c r="BC14" s="460"/>
      <c r="BD14" s="460"/>
      <c r="BE14" s="459"/>
      <c r="BF14" s="459"/>
      <c r="BG14" s="459"/>
      <c r="BH14" s="459"/>
      <c r="BI14" s="460"/>
      <c r="BJ14" s="460"/>
      <c r="BK14" s="460"/>
      <c r="BL14" s="460"/>
      <c r="BM14" s="460"/>
      <c r="BN14" s="460"/>
      <c r="BO14" s="460"/>
      <c r="BP14" s="460"/>
      <c r="BQ14" s="460"/>
      <c r="BR14" s="460"/>
      <c r="BS14" s="460"/>
      <c r="BT14" s="460"/>
      <c r="BU14" s="460"/>
      <c r="BV14" s="460"/>
      <c r="BW14" s="460"/>
      <c r="BX14" s="460"/>
    </row>
    <row r="15" spans="1:77" x14ac:dyDescent="0.15">
      <c r="A15" s="445"/>
      <c r="C15" s="445"/>
      <c r="D15" s="445"/>
      <c r="E15" s="445"/>
      <c r="K15" s="445"/>
      <c r="L15" s="445"/>
      <c r="M15" s="445"/>
      <c r="N15" s="445"/>
      <c r="O15" s="445"/>
      <c r="Z15" s="451"/>
      <c r="AA15" s="451"/>
      <c r="AB15" s="451"/>
      <c r="AC15" s="451"/>
      <c r="AE15" s="451"/>
      <c r="AF15" s="451"/>
      <c r="AG15" s="451"/>
      <c r="AH15" s="451"/>
      <c r="AI15" s="451"/>
      <c r="AJ15" s="451"/>
      <c r="AK15" s="452"/>
      <c r="AL15" s="452"/>
      <c r="AM15" s="452"/>
      <c r="AN15" s="452"/>
      <c r="AO15" s="452"/>
      <c r="AP15" s="452"/>
      <c r="AQ15" s="452"/>
      <c r="AR15" s="452"/>
      <c r="AS15" s="452"/>
      <c r="AT15" s="452"/>
      <c r="AU15" s="452"/>
      <c r="AV15" s="452"/>
      <c r="AW15" s="452"/>
      <c r="AX15" s="452"/>
      <c r="AY15" s="452"/>
      <c r="AZ15" s="452"/>
      <c r="BA15" s="452"/>
      <c r="BB15" s="452"/>
      <c r="BC15" s="452"/>
      <c r="BD15" s="452"/>
      <c r="BE15" s="451"/>
      <c r="BF15" s="451"/>
      <c r="BG15" s="451"/>
      <c r="BH15" s="451"/>
      <c r="BI15" s="452"/>
      <c r="BJ15" s="452"/>
      <c r="BK15" s="452"/>
      <c r="BL15" s="452"/>
      <c r="BM15" s="452"/>
      <c r="BN15" s="452"/>
      <c r="BO15" s="452"/>
      <c r="BP15" s="452"/>
      <c r="BQ15" s="452"/>
      <c r="BR15" s="452"/>
      <c r="BS15" s="452"/>
      <c r="BT15" s="452"/>
      <c r="BU15" s="452"/>
      <c r="BV15" s="452"/>
      <c r="BW15" s="452"/>
      <c r="BX15" s="452"/>
    </row>
    <row r="16" spans="1:77" x14ac:dyDescent="0.15">
      <c r="AK16" s="356"/>
      <c r="AL16" s="356"/>
      <c r="AM16" s="356"/>
      <c r="AN16" s="356"/>
      <c r="AO16" s="356"/>
      <c r="AP16" s="356"/>
      <c r="AQ16" s="356"/>
      <c r="AR16" s="356"/>
      <c r="AS16" s="356"/>
      <c r="AT16" s="356"/>
      <c r="AU16" s="356"/>
      <c r="AV16" s="356"/>
      <c r="AW16" s="46"/>
      <c r="AX16" s="46"/>
      <c r="AY16" s="46"/>
      <c r="AZ16" s="46"/>
      <c r="BA16" s="46"/>
      <c r="BB16" s="46"/>
      <c r="BC16" s="46"/>
      <c r="BD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</row>
    <row r="17" spans="1:76" x14ac:dyDescent="0.15">
      <c r="AK17" s="356"/>
      <c r="AL17" s="356"/>
      <c r="AM17" s="356"/>
      <c r="AN17" s="356"/>
      <c r="AO17" s="356"/>
      <c r="AP17" s="356"/>
      <c r="AQ17" s="356"/>
      <c r="AR17" s="356"/>
      <c r="AS17" s="356"/>
      <c r="AT17" s="356"/>
      <c r="AU17" s="356"/>
      <c r="AV17" s="356"/>
      <c r="AW17" s="46"/>
      <c r="AX17" s="46"/>
      <c r="AY17" s="46"/>
      <c r="AZ17" s="46"/>
      <c r="BA17" s="46"/>
      <c r="BB17" s="46"/>
      <c r="BC17" s="46"/>
      <c r="BD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</row>
    <row r="18" spans="1:76" x14ac:dyDescent="0.15">
      <c r="AK18" s="356"/>
      <c r="AL18" s="356"/>
      <c r="AM18" s="356"/>
      <c r="AN18" s="356"/>
      <c r="AO18" s="356"/>
      <c r="AP18" s="356"/>
      <c r="AQ18" s="356"/>
      <c r="AR18" s="356"/>
      <c r="AS18" s="356"/>
      <c r="AT18" s="356"/>
      <c r="AU18" s="356"/>
      <c r="AV18" s="356"/>
      <c r="AW18" s="46"/>
      <c r="AX18" s="46"/>
      <c r="AY18" s="46"/>
      <c r="AZ18" s="46"/>
      <c r="BA18" s="46"/>
      <c r="BB18" s="46"/>
      <c r="BC18" s="46"/>
      <c r="BD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</row>
    <row r="19" spans="1:76" x14ac:dyDescent="0.15"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</row>
    <row r="21" spans="1:76" x14ac:dyDescent="0.15">
      <c r="A21" s="430"/>
      <c r="C21" s="430"/>
      <c r="D21" s="430"/>
      <c r="E21" s="430"/>
      <c r="K21" s="430"/>
      <c r="L21" s="430"/>
      <c r="M21" s="430"/>
      <c r="N21" s="430"/>
      <c r="O21" s="430"/>
      <c r="Z21" s="434"/>
      <c r="AA21" s="434"/>
      <c r="AB21" s="434"/>
      <c r="AC21" s="434"/>
      <c r="AE21" s="434"/>
      <c r="AF21" s="434"/>
      <c r="AG21" s="434"/>
      <c r="AH21" s="434"/>
      <c r="AI21" s="434"/>
      <c r="AJ21" s="434"/>
      <c r="AK21" s="434"/>
      <c r="AL21" s="434"/>
      <c r="AM21" s="434"/>
      <c r="AN21" s="434"/>
      <c r="AO21" s="434"/>
      <c r="AP21" s="434"/>
      <c r="AQ21" s="434"/>
      <c r="AR21" s="434"/>
      <c r="AS21" s="434"/>
      <c r="AT21" s="434"/>
      <c r="AU21" s="434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4"/>
      <c r="BG21" s="434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4"/>
    </row>
    <row r="23" spans="1:76" x14ac:dyDescent="0.15">
      <c r="B23" s="117"/>
      <c r="D23" s="71"/>
    </row>
    <row r="24" spans="1:76" x14ac:dyDescent="0.15">
      <c r="B24" s="121" t="s">
        <v>73</v>
      </c>
      <c r="C24" s="271"/>
      <c r="D24" s="271"/>
      <c r="E24" s="271"/>
    </row>
    <row r="25" spans="1:76" x14ac:dyDescent="0.15">
      <c r="B25" s="106" t="s">
        <v>91</v>
      </c>
      <c r="C25" s="107"/>
      <c r="D25" s="107"/>
      <c r="E25" s="107"/>
      <c r="F25" s="107"/>
      <c r="G25" s="107"/>
      <c r="H25" s="108"/>
      <c r="I25" s="109"/>
      <c r="J25" s="148"/>
      <c r="K25" s="184"/>
    </row>
    <row r="26" spans="1:76" x14ac:dyDescent="0.15">
      <c r="B26" s="92" t="s">
        <v>48</v>
      </c>
      <c r="C26" s="93"/>
      <c r="D26" s="93"/>
      <c r="E26" s="93"/>
      <c r="F26" s="112"/>
      <c r="G26" s="94"/>
      <c r="H26" s="95"/>
      <c r="I26" s="119"/>
    </row>
    <row r="27" spans="1:76" x14ac:dyDescent="0.15">
      <c r="B27" s="92" t="s">
        <v>112</v>
      </c>
      <c r="C27" s="93"/>
      <c r="D27" s="93"/>
      <c r="E27" s="93"/>
      <c r="F27" s="112"/>
      <c r="G27" s="94"/>
      <c r="H27" s="95"/>
      <c r="I27" s="96"/>
      <c r="J27" s="96"/>
      <c r="K27" s="476"/>
    </row>
    <row r="28" spans="1:76" x14ac:dyDescent="0.15">
      <c r="B28" s="40" t="s">
        <v>60</v>
      </c>
    </row>
    <row r="29" spans="1:76" x14ac:dyDescent="0.15">
      <c r="B29" s="40" t="s">
        <v>56</v>
      </c>
    </row>
  </sheetData>
  <sortState ref="A7:BY13">
    <sortCondition descending="1" ref="F7:F13"/>
    <sortCondition descending="1" ref="H7:H13"/>
    <sortCondition descending="1" ref="E7:E13"/>
  </sortState>
  <mergeCells count="42">
    <mergeCell ref="BU1:BX1"/>
    <mergeCell ref="AK1:AN1"/>
    <mergeCell ref="AO1:AR1"/>
    <mergeCell ref="BI2:BL2"/>
    <mergeCell ref="AW2:AZ2"/>
    <mergeCell ref="BM2:BP2"/>
    <mergeCell ref="BU2:BX2"/>
    <mergeCell ref="BA1:BD1"/>
    <mergeCell ref="BE1:BH1"/>
    <mergeCell ref="BM1:BP1"/>
    <mergeCell ref="AS1:AV1"/>
    <mergeCell ref="BI1:BL1"/>
    <mergeCell ref="AW1:AZ1"/>
    <mergeCell ref="AK2:AN2"/>
    <mergeCell ref="AO2:AR2"/>
    <mergeCell ref="BA2:BD2"/>
    <mergeCell ref="K2:N2"/>
    <mergeCell ref="K1:N1"/>
    <mergeCell ref="P1:T1"/>
    <mergeCell ref="P2:T2"/>
    <mergeCell ref="BQ2:BT2"/>
    <mergeCell ref="AS2:AV2"/>
    <mergeCell ref="BQ1:BT1"/>
    <mergeCell ref="Z2:AD2"/>
    <mergeCell ref="AE2:AG2"/>
    <mergeCell ref="AH2:AJ2"/>
    <mergeCell ref="BE2:BH2"/>
    <mergeCell ref="U1:Y1"/>
    <mergeCell ref="U2:Y2"/>
    <mergeCell ref="Z1:AD1"/>
    <mergeCell ref="AE1:AG1"/>
    <mergeCell ref="AH1:AJ1"/>
    <mergeCell ref="BU3:BX3"/>
    <mergeCell ref="AO3:AR3"/>
    <mergeCell ref="AK3:AN3"/>
    <mergeCell ref="BM3:BP3"/>
    <mergeCell ref="AW3:AZ3"/>
    <mergeCell ref="BA3:BD3"/>
    <mergeCell ref="AS3:AV3"/>
    <mergeCell ref="BE3:BH3"/>
    <mergeCell ref="BQ3:BT3"/>
    <mergeCell ref="BI3:BL3"/>
  </mergeCells>
  <phoneticPr fontId="0" type="noConversion"/>
  <pageMargins left="0.47244094488188998" right="0.47244094488188998" top="0.98425196850393704" bottom="0.78740157480314998" header="0.511811023622047" footer="0.511811023622047"/>
  <pageSetup scale="42" orientation="landscape" r:id="rId1"/>
  <headerFooter alignWithMargins="0">
    <oddHeader>&amp;L&amp;A&amp;R&amp;F</oddHeader>
    <oddFooter>&amp;CPage &amp;P</oddFooter>
  </headerFooter>
  <colBreaks count="2" manualBreakCount="2">
    <brk id="25" max="29" man="1"/>
    <brk id="52" max="2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T29"/>
  <sheetViews>
    <sheetView view="pageBreakPreview" zoomScale="80" zoomScaleNormal="80" zoomScaleSheetLayoutView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ColWidth="9.1640625" defaultRowHeight="13" x14ac:dyDescent="0.15"/>
  <cols>
    <col min="1" max="1" width="5.6640625" style="11" customWidth="1"/>
    <col min="2" max="2" width="25.6640625" style="13" customWidth="1"/>
    <col min="3" max="4" width="7.6640625" style="11" customWidth="1"/>
    <col min="5" max="6" width="8.6640625" style="11" customWidth="1"/>
    <col min="7" max="7" width="8.6640625" style="28" customWidth="1"/>
    <col min="8" max="8" width="8.6640625" style="31" customWidth="1"/>
    <col min="9" max="10" width="8.6640625" style="35" customWidth="1"/>
    <col min="11" max="14" width="8.6640625" style="11" customWidth="1"/>
    <col min="15" max="30" width="8.6640625" style="451" customWidth="1"/>
    <col min="31" max="38" width="8.6640625" style="4" customWidth="1"/>
    <col min="39" max="40" width="18.6640625" style="8" customWidth="1"/>
    <col min="41" max="56" width="8.83203125" style="346" customWidth="1"/>
    <col min="57" max="64" width="8.83203125" style="8" customWidth="1"/>
    <col min="65" max="91" width="9.1640625" style="40"/>
    <col min="92" max="16384" width="9.1640625" style="13"/>
  </cols>
  <sheetData>
    <row r="1" spans="1:150" customFormat="1" x14ac:dyDescent="0.15">
      <c r="A1" s="20"/>
      <c r="B1" s="17" t="s">
        <v>19</v>
      </c>
      <c r="C1" s="17"/>
      <c r="D1" s="17"/>
      <c r="E1" s="38"/>
      <c r="F1" s="18"/>
      <c r="G1" s="28"/>
      <c r="H1" s="29"/>
      <c r="I1" s="32"/>
      <c r="J1" s="32"/>
      <c r="K1" s="591" t="s">
        <v>12</v>
      </c>
      <c r="L1" s="592"/>
      <c r="M1" s="593"/>
      <c r="N1" s="4"/>
      <c r="O1" s="575" t="s">
        <v>113</v>
      </c>
      <c r="P1" s="576"/>
      <c r="Q1" s="576"/>
      <c r="R1" s="576"/>
      <c r="S1" s="576"/>
      <c r="T1" s="576"/>
      <c r="U1" s="576"/>
      <c r="V1" s="577"/>
      <c r="W1" s="575" t="s">
        <v>115</v>
      </c>
      <c r="X1" s="576"/>
      <c r="Y1" s="576"/>
      <c r="Z1" s="576"/>
      <c r="AA1" s="576"/>
      <c r="AB1" s="576"/>
      <c r="AC1" s="576"/>
      <c r="AD1" s="577"/>
      <c r="AE1" s="575" t="s">
        <v>138</v>
      </c>
      <c r="AF1" s="576"/>
      <c r="AG1" s="576"/>
      <c r="AH1" s="576"/>
      <c r="AI1" s="576"/>
      <c r="AJ1" s="576"/>
      <c r="AK1" s="576"/>
      <c r="AL1" s="577"/>
      <c r="AM1" s="55" t="s">
        <v>16</v>
      </c>
      <c r="AN1" s="8" t="s">
        <v>10</v>
      </c>
      <c r="AO1" s="575" t="s">
        <v>104</v>
      </c>
      <c r="AP1" s="576"/>
      <c r="AQ1" s="576"/>
      <c r="AR1" s="576"/>
      <c r="AS1" s="575" t="s">
        <v>107</v>
      </c>
      <c r="AT1" s="576"/>
      <c r="AU1" s="576"/>
      <c r="AV1" s="576"/>
      <c r="AW1" s="575" t="s">
        <v>107</v>
      </c>
      <c r="AX1" s="576"/>
      <c r="AY1" s="576"/>
      <c r="AZ1" s="576"/>
      <c r="BA1" s="575"/>
      <c r="BB1" s="576"/>
      <c r="BC1" s="576"/>
      <c r="BD1" s="576"/>
      <c r="BE1" s="575"/>
      <c r="BF1" s="576"/>
      <c r="BG1" s="576"/>
      <c r="BH1" s="576"/>
      <c r="BI1" s="575"/>
      <c r="BJ1" s="576"/>
      <c r="BK1" s="576"/>
      <c r="BL1" s="576"/>
      <c r="BM1" s="575"/>
      <c r="BN1" s="576"/>
      <c r="BO1" s="576"/>
      <c r="BP1" s="576"/>
      <c r="BQ1" s="575"/>
      <c r="BR1" s="576"/>
      <c r="BS1" s="576"/>
      <c r="BT1" s="576"/>
      <c r="BU1" s="575"/>
      <c r="BV1" s="592"/>
      <c r="BW1" s="592"/>
      <c r="BX1" s="592"/>
      <c r="BY1" s="144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</row>
    <row r="2" spans="1:150" customFormat="1" x14ac:dyDescent="0.15">
      <c r="A2" s="1"/>
      <c r="B2" s="18" t="s">
        <v>21</v>
      </c>
      <c r="C2" s="18"/>
      <c r="D2" s="18"/>
      <c r="E2" s="38"/>
      <c r="F2" s="18"/>
      <c r="G2" s="36"/>
      <c r="H2" s="18">
        <v>244.3</v>
      </c>
      <c r="I2" s="91">
        <v>247.8</v>
      </c>
      <c r="J2" s="18">
        <v>254.5</v>
      </c>
      <c r="K2" s="591" t="s">
        <v>11</v>
      </c>
      <c r="L2" s="592"/>
      <c r="M2" s="593"/>
      <c r="N2" s="4"/>
      <c r="O2" s="575" t="s">
        <v>100</v>
      </c>
      <c r="P2" s="576"/>
      <c r="Q2" s="576"/>
      <c r="R2" s="576"/>
      <c r="S2" s="576"/>
      <c r="T2" s="576"/>
      <c r="U2" s="576"/>
      <c r="V2" s="577"/>
      <c r="W2" s="575" t="s">
        <v>116</v>
      </c>
      <c r="X2" s="576"/>
      <c r="Y2" s="576"/>
      <c r="Z2" s="576"/>
      <c r="AA2" s="576"/>
      <c r="AB2" s="576"/>
      <c r="AC2" s="576"/>
      <c r="AD2" s="577"/>
      <c r="AE2" s="575" t="s">
        <v>139</v>
      </c>
      <c r="AF2" s="576"/>
      <c r="AG2" s="576"/>
      <c r="AH2" s="576"/>
      <c r="AI2" s="576"/>
      <c r="AJ2" s="576"/>
      <c r="AK2" s="576"/>
      <c r="AL2" s="577"/>
      <c r="AM2" s="55" t="s">
        <v>17</v>
      </c>
      <c r="AN2" s="8" t="s">
        <v>11</v>
      </c>
      <c r="AO2" s="587" t="s">
        <v>100</v>
      </c>
      <c r="AP2" s="588"/>
      <c r="AQ2" s="588"/>
      <c r="AR2" s="589"/>
      <c r="AS2" s="587" t="s">
        <v>108</v>
      </c>
      <c r="AT2" s="588"/>
      <c r="AU2" s="588"/>
      <c r="AV2" s="589"/>
      <c r="AW2" s="587" t="s">
        <v>108</v>
      </c>
      <c r="AX2" s="588"/>
      <c r="AY2" s="588"/>
      <c r="AZ2" s="589"/>
      <c r="BA2" s="587"/>
      <c r="BB2" s="588"/>
      <c r="BC2" s="588"/>
      <c r="BD2" s="589"/>
      <c r="BE2" s="587"/>
      <c r="BF2" s="588"/>
      <c r="BG2" s="588"/>
      <c r="BH2" s="589"/>
      <c r="BI2" s="587"/>
      <c r="BJ2" s="588"/>
      <c r="BK2" s="588"/>
      <c r="BL2" s="589"/>
      <c r="BM2" s="587"/>
      <c r="BN2" s="588"/>
      <c r="BO2" s="588"/>
      <c r="BP2" s="589"/>
      <c r="BQ2" s="575"/>
      <c r="BR2" s="576"/>
      <c r="BS2" s="576"/>
      <c r="BT2" s="576"/>
      <c r="BU2" s="575"/>
      <c r="BV2" s="592"/>
      <c r="BW2" s="592"/>
      <c r="BX2" s="592"/>
      <c r="BY2" s="144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</row>
    <row r="3" spans="1:150" customFormat="1" x14ac:dyDescent="0.15">
      <c r="A3" s="1"/>
      <c r="B3" s="17" t="s">
        <v>28</v>
      </c>
      <c r="C3" s="17"/>
      <c r="D3" s="17"/>
      <c r="E3" s="38"/>
      <c r="F3" s="18"/>
      <c r="G3" s="36"/>
      <c r="H3" s="30"/>
      <c r="I3" s="33"/>
      <c r="J3" s="33"/>
      <c r="K3" s="10"/>
      <c r="L3" s="11"/>
      <c r="M3" s="12"/>
      <c r="N3" s="1"/>
      <c r="O3" s="518"/>
      <c r="P3" s="519"/>
      <c r="Q3" s="519"/>
      <c r="R3" s="519"/>
      <c r="S3" s="36">
        <v>69.2</v>
      </c>
      <c r="T3" s="30">
        <v>70.8</v>
      </c>
      <c r="U3" s="33">
        <v>71.900000000000006</v>
      </c>
      <c r="V3" s="63">
        <v>72.900000000000006</v>
      </c>
      <c r="W3" s="518"/>
      <c r="X3" s="519"/>
      <c r="Y3" s="519"/>
      <c r="Z3" s="519"/>
      <c r="AA3" s="36">
        <v>69.2</v>
      </c>
      <c r="AB3" s="30">
        <v>70.8</v>
      </c>
      <c r="AC3" s="33">
        <v>71.900000000000006</v>
      </c>
      <c r="AD3" s="63">
        <v>72.900000000000006</v>
      </c>
      <c r="AE3" s="195"/>
      <c r="AF3" s="196"/>
      <c r="AG3" s="196"/>
      <c r="AH3" s="196"/>
      <c r="AI3" s="36">
        <v>69.2</v>
      </c>
      <c r="AJ3" s="30">
        <v>70.8</v>
      </c>
      <c r="AK3" s="33">
        <v>71.900000000000006</v>
      </c>
      <c r="AL3" s="63">
        <v>72.900000000000006</v>
      </c>
      <c r="AM3" s="55"/>
      <c r="AN3" s="8"/>
      <c r="AO3" s="584" t="s">
        <v>77</v>
      </c>
      <c r="AP3" s="585"/>
      <c r="AQ3" s="585"/>
      <c r="AR3" s="586"/>
      <c r="AS3" s="584"/>
      <c r="AT3" s="585"/>
      <c r="AU3" s="585"/>
      <c r="AV3" s="586"/>
      <c r="AW3" s="584" t="s">
        <v>109</v>
      </c>
      <c r="AX3" s="585"/>
      <c r="AY3" s="585"/>
      <c r="AZ3" s="586"/>
      <c r="BA3" s="584"/>
      <c r="BB3" s="585"/>
      <c r="BC3" s="585"/>
      <c r="BD3" s="586"/>
      <c r="BE3" s="584"/>
      <c r="BF3" s="585"/>
      <c r="BG3" s="585"/>
      <c r="BH3" s="586"/>
      <c r="BI3" s="584"/>
      <c r="BJ3" s="585"/>
      <c r="BK3" s="585"/>
      <c r="BL3" s="586"/>
      <c r="BM3" s="584"/>
      <c r="BN3" s="585"/>
      <c r="BO3" s="585"/>
      <c r="BP3" s="586"/>
      <c r="BQ3" s="584"/>
      <c r="BR3" s="585"/>
      <c r="BS3" s="585"/>
      <c r="BT3" s="585"/>
      <c r="BU3" s="584"/>
      <c r="BV3" s="585"/>
      <c r="BW3" s="585"/>
      <c r="BX3" s="585"/>
      <c r="BY3" s="144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</row>
    <row r="4" spans="1:150" customFormat="1" x14ac:dyDescent="0.15">
      <c r="A4" s="1"/>
      <c r="B4" s="17" t="s">
        <v>22</v>
      </c>
      <c r="C4" s="17"/>
      <c r="D4" s="24" t="s">
        <v>44</v>
      </c>
      <c r="E4" s="10" t="s">
        <v>8</v>
      </c>
      <c r="F4" s="105" t="s">
        <v>46</v>
      </c>
      <c r="G4" s="28" t="s">
        <v>34</v>
      </c>
      <c r="H4" s="29" t="s">
        <v>9</v>
      </c>
      <c r="I4" s="32" t="s">
        <v>14</v>
      </c>
      <c r="J4" s="65" t="s">
        <v>43</v>
      </c>
      <c r="K4" s="10" t="s">
        <v>4</v>
      </c>
      <c r="L4" s="11" t="s">
        <v>4</v>
      </c>
      <c r="M4" s="12" t="s">
        <v>4</v>
      </c>
      <c r="N4" s="1" t="s">
        <v>4</v>
      </c>
      <c r="O4" s="518"/>
      <c r="P4" s="519"/>
      <c r="Q4" s="519"/>
      <c r="R4" s="519"/>
      <c r="S4" s="28" t="s">
        <v>34</v>
      </c>
      <c r="T4" s="29" t="s">
        <v>9</v>
      </c>
      <c r="U4" s="32" t="s">
        <v>14</v>
      </c>
      <c r="V4" s="60" t="s">
        <v>43</v>
      </c>
      <c r="W4" s="518"/>
      <c r="X4" s="519"/>
      <c r="Y4" s="519"/>
      <c r="Z4" s="519"/>
      <c r="AA4" s="28" t="s">
        <v>34</v>
      </c>
      <c r="AB4" s="29" t="s">
        <v>9</v>
      </c>
      <c r="AC4" s="32" t="s">
        <v>14</v>
      </c>
      <c r="AD4" s="60" t="s">
        <v>43</v>
      </c>
      <c r="AE4" s="195"/>
      <c r="AF4" s="196"/>
      <c r="AG4" s="196"/>
      <c r="AH4" s="196"/>
      <c r="AI4" s="28" t="s">
        <v>34</v>
      </c>
      <c r="AJ4" s="29" t="s">
        <v>9</v>
      </c>
      <c r="AK4" s="32" t="s">
        <v>14</v>
      </c>
      <c r="AL4" s="60" t="s">
        <v>43</v>
      </c>
      <c r="AM4" s="55" t="s">
        <v>4</v>
      </c>
      <c r="AN4" s="8" t="s">
        <v>4</v>
      </c>
      <c r="AO4" s="526"/>
      <c r="AP4" s="527"/>
      <c r="AQ4" s="519"/>
      <c r="AR4" s="528"/>
      <c r="AS4" s="526"/>
      <c r="AT4" s="527"/>
      <c r="AU4" s="519"/>
      <c r="AV4" s="528"/>
      <c r="AW4" s="526"/>
      <c r="AX4" s="527"/>
      <c r="AY4" s="519"/>
      <c r="AZ4" s="528"/>
      <c r="BA4" s="350"/>
      <c r="BB4" s="351"/>
      <c r="BC4" s="346"/>
      <c r="BD4" s="352"/>
      <c r="BE4" s="3"/>
      <c r="BF4" s="4"/>
      <c r="BG4" s="8"/>
      <c r="BH4" s="5"/>
      <c r="BI4" s="3"/>
      <c r="BJ4" s="4"/>
      <c r="BK4" s="8"/>
      <c r="BL4" s="5"/>
      <c r="BM4" s="3"/>
      <c r="BN4" s="4"/>
      <c r="BO4" s="8"/>
      <c r="BP4" s="5"/>
      <c r="BQ4" s="15"/>
      <c r="BR4" s="8"/>
      <c r="BS4" s="8"/>
      <c r="BT4" s="8"/>
      <c r="BU4" s="3"/>
      <c r="BV4" s="4"/>
      <c r="BW4" s="8"/>
      <c r="BX4" s="4"/>
      <c r="BY4" s="144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</row>
    <row r="5" spans="1:150" customFormat="1" x14ac:dyDescent="0.15">
      <c r="A5" s="1"/>
      <c r="B5" s="19" t="str">
        <f>+'TRA-M'!$A$1</f>
        <v>JUNE 2016</v>
      </c>
      <c r="C5" s="21" t="s">
        <v>23</v>
      </c>
      <c r="D5" s="21" t="s">
        <v>45</v>
      </c>
      <c r="E5" s="10" t="s">
        <v>7</v>
      </c>
      <c r="F5" s="105">
        <v>15.6</v>
      </c>
      <c r="G5" s="28" t="s">
        <v>13</v>
      </c>
      <c r="H5" s="29" t="s">
        <v>13</v>
      </c>
      <c r="I5" s="32" t="s">
        <v>13</v>
      </c>
      <c r="J5" s="65" t="s">
        <v>13</v>
      </c>
      <c r="K5" s="10" t="s">
        <v>8</v>
      </c>
      <c r="L5" s="11" t="s">
        <v>41</v>
      </c>
      <c r="M5" s="12" t="s">
        <v>36</v>
      </c>
      <c r="N5" s="1" t="s">
        <v>15</v>
      </c>
      <c r="O5" s="518" t="s">
        <v>29</v>
      </c>
      <c r="P5" s="519" t="s">
        <v>30</v>
      </c>
      <c r="Q5" s="6" t="s">
        <v>40</v>
      </c>
      <c r="R5" s="519" t="s">
        <v>37</v>
      </c>
      <c r="S5" s="519" t="s">
        <v>38</v>
      </c>
      <c r="T5" s="6" t="s">
        <v>39</v>
      </c>
      <c r="U5" s="6" t="s">
        <v>8</v>
      </c>
      <c r="V5" s="6" t="s">
        <v>42</v>
      </c>
      <c r="W5" s="518" t="s">
        <v>29</v>
      </c>
      <c r="X5" s="519" t="s">
        <v>30</v>
      </c>
      <c r="Y5" s="6" t="s">
        <v>40</v>
      </c>
      <c r="Z5" s="519" t="s">
        <v>37</v>
      </c>
      <c r="AA5" s="519" t="s">
        <v>38</v>
      </c>
      <c r="AB5" s="6" t="s">
        <v>39</v>
      </c>
      <c r="AC5" s="6" t="s">
        <v>8</v>
      </c>
      <c r="AD5" s="6" t="s">
        <v>42</v>
      </c>
      <c r="AE5" s="195" t="s">
        <v>29</v>
      </c>
      <c r="AF5" s="196" t="s">
        <v>30</v>
      </c>
      <c r="AG5" s="6" t="s">
        <v>40</v>
      </c>
      <c r="AH5" s="196" t="s">
        <v>37</v>
      </c>
      <c r="AI5" s="196" t="s">
        <v>38</v>
      </c>
      <c r="AJ5" s="6" t="s">
        <v>39</v>
      </c>
      <c r="AK5" s="6" t="s">
        <v>8</v>
      </c>
      <c r="AL5" s="6" t="s">
        <v>42</v>
      </c>
      <c r="AM5" s="55" t="s">
        <v>36</v>
      </c>
      <c r="AN5" s="8" t="s">
        <v>36</v>
      </c>
      <c r="AO5" s="518" t="s">
        <v>29</v>
      </c>
      <c r="AP5" s="519" t="s">
        <v>30</v>
      </c>
      <c r="AQ5" s="519" t="s">
        <v>37</v>
      </c>
      <c r="AR5" s="519" t="s">
        <v>38</v>
      </c>
      <c r="AS5" s="518" t="s">
        <v>29</v>
      </c>
      <c r="AT5" s="519" t="s">
        <v>30</v>
      </c>
      <c r="AU5" s="519" t="s">
        <v>37</v>
      </c>
      <c r="AV5" s="519" t="s">
        <v>38</v>
      </c>
      <c r="AW5" s="518" t="s">
        <v>29</v>
      </c>
      <c r="AX5" s="519" t="s">
        <v>30</v>
      </c>
      <c r="AY5" s="519" t="s">
        <v>37</v>
      </c>
      <c r="AZ5" s="519" t="s">
        <v>38</v>
      </c>
      <c r="BA5" s="345" t="s">
        <v>29</v>
      </c>
      <c r="BB5" s="346" t="s">
        <v>30</v>
      </c>
      <c r="BC5" s="346" t="s">
        <v>37</v>
      </c>
      <c r="BD5" s="346" t="s">
        <v>38</v>
      </c>
      <c r="BE5" s="15" t="s">
        <v>29</v>
      </c>
      <c r="BF5" s="8" t="s">
        <v>30</v>
      </c>
      <c r="BG5" s="8" t="s">
        <v>37</v>
      </c>
      <c r="BH5" s="8" t="s">
        <v>38</v>
      </c>
      <c r="BI5" s="15" t="s">
        <v>29</v>
      </c>
      <c r="BJ5" s="8" t="s">
        <v>30</v>
      </c>
      <c r="BK5" s="8" t="s">
        <v>37</v>
      </c>
      <c r="BL5" s="8" t="s">
        <v>38</v>
      </c>
      <c r="BM5" s="15" t="s">
        <v>29</v>
      </c>
      <c r="BN5" s="8" t="s">
        <v>30</v>
      </c>
      <c r="BO5" s="8" t="s">
        <v>37</v>
      </c>
      <c r="BP5" s="8" t="s">
        <v>38</v>
      </c>
      <c r="BQ5" s="15" t="s">
        <v>29</v>
      </c>
      <c r="BR5" s="8" t="s">
        <v>30</v>
      </c>
      <c r="BS5" s="8" t="s">
        <v>37</v>
      </c>
      <c r="BT5" s="8" t="s">
        <v>38</v>
      </c>
      <c r="BU5" s="15" t="s">
        <v>29</v>
      </c>
      <c r="BV5" s="8" t="s">
        <v>30</v>
      </c>
      <c r="BW5" s="8" t="s">
        <v>37</v>
      </c>
      <c r="BX5" s="8" t="s">
        <v>38</v>
      </c>
      <c r="BY5" s="144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</row>
    <row r="6" spans="1:150" customFormat="1" x14ac:dyDescent="0.15">
      <c r="A6" s="1"/>
      <c r="C6" s="1"/>
      <c r="D6" s="1"/>
      <c r="E6" s="10"/>
      <c r="F6" s="11"/>
      <c r="G6" s="28"/>
      <c r="H6" s="29"/>
      <c r="I6" s="32"/>
      <c r="J6" s="65"/>
      <c r="K6" s="10"/>
      <c r="L6" s="11"/>
      <c r="M6" s="12"/>
      <c r="N6" s="1"/>
      <c r="O6" s="522"/>
      <c r="P6" s="523"/>
      <c r="Q6" s="523"/>
      <c r="R6" s="523"/>
      <c r="S6" s="523"/>
      <c r="T6" s="519"/>
      <c r="U6" s="519"/>
      <c r="V6" s="57"/>
      <c r="W6" s="522"/>
      <c r="X6" s="523"/>
      <c r="Y6" s="523"/>
      <c r="Z6" s="523"/>
      <c r="AA6" s="523"/>
      <c r="AB6" s="519"/>
      <c r="AC6" s="519"/>
      <c r="AD6" s="57"/>
      <c r="AE6" s="198"/>
      <c r="AF6" s="199"/>
      <c r="AG6" s="199"/>
      <c r="AH6" s="199"/>
      <c r="AI6" s="199"/>
      <c r="AJ6" s="196"/>
      <c r="AK6" s="196"/>
      <c r="AL6" s="57"/>
      <c r="AM6" s="55"/>
      <c r="AN6" s="8"/>
      <c r="AO6" s="522"/>
      <c r="AP6" s="523"/>
      <c r="AQ6" s="523"/>
      <c r="AR6" s="523"/>
      <c r="AS6" s="522"/>
      <c r="AT6" s="523"/>
      <c r="AU6" s="523"/>
      <c r="AV6" s="523"/>
      <c r="AW6" s="522"/>
      <c r="AX6" s="523"/>
      <c r="AY6" s="523"/>
      <c r="AZ6" s="523"/>
      <c r="BA6" s="353"/>
      <c r="BB6" s="354"/>
      <c r="BC6" s="354"/>
      <c r="BD6" s="354"/>
      <c r="BE6" s="235"/>
      <c r="BF6" s="236"/>
      <c r="BG6" s="236"/>
      <c r="BH6" s="236"/>
      <c r="BI6" s="43"/>
      <c r="BJ6" s="44"/>
      <c r="BK6" s="44"/>
      <c r="BL6" s="44"/>
      <c r="BM6" s="43"/>
      <c r="BN6" s="44"/>
      <c r="BO6" s="44"/>
      <c r="BP6" s="44"/>
      <c r="BQ6" s="43"/>
      <c r="BR6" s="44"/>
      <c r="BS6" s="44"/>
      <c r="BT6" s="44"/>
      <c r="BU6" s="43"/>
      <c r="BV6" s="44"/>
      <c r="BW6" s="44"/>
      <c r="BX6" s="44"/>
      <c r="BY6" s="144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</row>
    <row r="7" spans="1:150" customFormat="1" x14ac:dyDescent="0.15">
      <c r="A7" s="1">
        <v>1</v>
      </c>
      <c r="B7" s="240" t="s">
        <v>61</v>
      </c>
      <c r="C7" s="167" t="s">
        <v>24</v>
      </c>
      <c r="D7" s="24">
        <v>2010</v>
      </c>
      <c r="E7" s="22">
        <f t="shared" ref="E7:E19" si="0">IF(N7="",SUM(K7:M7),SUM(K7:N7))</f>
        <v>253.79999999999998</v>
      </c>
      <c r="F7" s="161" t="s">
        <v>47</v>
      </c>
      <c r="G7" s="27" t="str">
        <f>IF('TRA-M'!$A$2-D7&lt;=1,IF(Q7&gt;=$S$3,"YES",IF(Y7&gt;=$AA$3,"YES",IF(OR(AG7&gt;=$AI$3, AJ7&gt;=$AI$3),"YES",""))),"")</f>
        <v/>
      </c>
      <c r="H7" s="7" t="str">
        <f t="shared" ref="H7:H19" si="1">IF(OR(Q7&gt;=$T$3,T7&gt;=$T$3),IF(F7="YES","YES",""),IF(OR(Y7&gt;=$AB$3,AB7&gt;=$AB$3),IF(F7="YES","YES",""),IF(OR(AG7&gt;=$AJ$3,AJ7&gt;=$AJ$3),IF(F7="YES","YES",""),"")))</f>
        <v>YES</v>
      </c>
      <c r="I7" s="34" t="str">
        <f t="shared" ref="I7:I19" si="2">IF(OR(Q7&gt;=$U$3,T7&gt;=$U$3),IF(F7="YES","YES",""),IF(OR(Y7&gt;=$AC$3,AB7&gt;=$AC$3),IF(F7="YES","YES",""),IF(OR(AG7&gt;=$AK$3,AJ7&gt;=$AK$3),IF(F7="YES","YES",""),"")))</f>
        <v>YES</v>
      </c>
      <c r="J7" s="66" t="str">
        <f t="shared" ref="J7:J19" si="3">IF(OR(Q7&gt;=$V$3,T7&gt;=$V$3),IF(F7="YES","YES",""),IF(OR(Y7&gt;=$AD$3,AB7&gt;=$AD$3),IF(F7="YES","YES",""),IF(OR(AG7&gt;=$AL$3,AJ7&gt;=$AL$3),IF(F7="YES","YES",""),"")))</f>
        <v>YES</v>
      </c>
      <c r="K7" s="3">
        <f t="shared" ref="K7:K19" si="4">MAX($U7,$AC7,$AK7)</f>
        <v>145</v>
      </c>
      <c r="L7" s="4">
        <f t="shared" ref="L7:L19" si="5">IF(K7=$U7,MAX($Y7,$AG7),IF(K7=$AC7,MAX($Q7,$AG7),MAX($Q7,$Y7)))</f>
        <v>71.699999999999989</v>
      </c>
      <c r="M7" s="5">
        <f t="shared" ref="M7:M19" si="6">IF(K7=$U7,IF(L7=$Y7,MAX($Z7,$AA7,$AE7,$AF7,$AH7,$AI7),MAX($W7,$X7,$Z7,$AA7,$AH7,$AI7)),IF(K7=$AC7,IF(L7=$Q7,MAX($R7,$S7,$AE7,$AF7,$AH7,$AI7),MAX($O7,$P7,$R7,$S7,$AH7,AI7)),IF(L7=$Q7,MAX($R7,$S7,$W7,$X7,$Z7,$AA7),MAX($O7,$P7,$R7,$S7,$Z7,$AA7))))</f>
        <v>35.1</v>
      </c>
      <c r="N7" s="5">
        <f t="shared" ref="N7:N19" si="7">IF(MAX(AM7:AM7)&lt;=0,"",MAX(AM7:AM7))</f>
        <v>2</v>
      </c>
      <c r="O7" s="522"/>
      <c r="P7" s="523"/>
      <c r="Q7" s="64">
        <f t="shared" ref="Q7:Q19" si="8">+O7+P7</f>
        <v>0</v>
      </c>
      <c r="R7" s="523"/>
      <c r="S7" s="523"/>
      <c r="T7" s="64">
        <f t="shared" ref="T7:T19" si="9">+R7+S7</f>
        <v>0</v>
      </c>
      <c r="U7" s="64">
        <f t="shared" ref="U7:U19" si="10">+Q7+T7</f>
        <v>0</v>
      </c>
      <c r="V7" s="385"/>
      <c r="W7" s="522">
        <v>36.9</v>
      </c>
      <c r="X7" s="523">
        <v>37.299999999999997</v>
      </c>
      <c r="Y7" s="161">
        <f t="shared" ref="Y7:Y19" si="11">+W7+X7</f>
        <v>74.199999999999989</v>
      </c>
      <c r="Z7" s="523">
        <v>36.200000000000003</v>
      </c>
      <c r="AA7" s="523">
        <v>34.6</v>
      </c>
      <c r="AB7" s="161">
        <f t="shared" ref="AB7:AB19" si="12">+Z7+AA7</f>
        <v>70.800000000000011</v>
      </c>
      <c r="AC7" s="64">
        <f t="shared" ref="AC7:AC19" si="13">+Y7+AB7</f>
        <v>145</v>
      </c>
      <c r="AD7" s="385">
        <v>2</v>
      </c>
      <c r="AE7" s="522">
        <v>36.299999999999997</v>
      </c>
      <c r="AF7" s="523">
        <v>35.4</v>
      </c>
      <c r="AG7" s="161">
        <f t="shared" ref="AG7:AG19" si="14">+AE7+AF7</f>
        <v>71.699999999999989</v>
      </c>
      <c r="AH7" s="104">
        <v>25.1</v>
      </c>
      <c r="AI7" s="523">
        <v>35.1</v>
      </c>
      <c r="AJ7" s="64">
        <f t="shared" ref="AJ7:AJ19" si="15">+AH7+AI7</f>
        <v>60.2</v>
      </c>
      <c r="AK7" s="64">
        <f t="shared" ref="AK7:AK19" si="16">+AG7+AJ7</f>
        <v>131.89999999999998</v>
      </c>
      <c r="AL7" s="385">
        <v>4</v>
      </c>
      <c r="AM7" s="56">
        <f t="shared" ref="AM7:AM19" si="17">IF($AN7="","",$AN7-M7)</f>
        <v>2</v>
      </c>
      <c r="AN7" s="8">
        <f t="shared" ref="AN7:AN19" si="18">IF(MAX($AO7:$IV7)=0,"",MAX($AO7:$IV7))</f>
        <v>37.1</v>
      </c>
      <c r="AO7" s="522"/>
      <c r="AP7" s="89"/>
      <c r="AQ7" s="548"/>
      <c r="AR7" s="160"/>
      <c r="AS7" s="475">
        <v>37.1</v>
      </c>
      <c r="AT7" s="163">
        <v>33.5</v>
      </c>
      <c r="AU7" s="548"/>
      <c r="AV7" s="160"/>
      <c r="AW7" s="522"/>
      <c r="AX7" s="89"/>
      <c r="AY7" s="523">
        <v>36.799999999999997</v>
      </c>
      <c r="AZ7" s="89"/>
      <c r="BA7" s="446"/>
      <c r="BB7" s="89"/>
      <c r="BC7" s="447"/>
      <c r="BD7" s="89"/>
      <c r="BE7" s="446"/>
      <c r="BF7" s="548"/>
      <c r="BG7" s="447"/>
      <c r="BH7" s="160"/>
      <c r="BI7" s="446"/>
      <c r="BJ7" s="447"/>
      <c r="BK7" s="447"/>
      <c r="BL7" s="447"/>
      <c r="BM7" s="43"/>
      <c r="BN7" s="23"/>
      <c r="BO7" s="44"/>
      <c r="BP7" s="23"/>
      <c r="BQ7" s="43"/>
      <c r="BR7" s="23"/>
      <c r="BS7" s="44"/>
      <c r="BT7" s="23"/>
      <c r="BU7" s="43"/>
      <c r="BV7" s="89"/>
      <c r="BW7" s="44"/>
      <c r="BX7" s="89"/>
      <c r="BY7" s="144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</row>
    <row r="8" spans="1:150" customFormat="1" x14ac:dyDescent="0.15">
      <c r="A8" s="1">
        <v>2</v>
      </c>
      <c r="B8" s="240" t="s">
        <v>87</v>
      </c>
      <c r="C8" s="167" t="s">
        <v>26</v>
      </c>
      <c r="D8" s="24">
        <v>2011</v>
      </c>
      <c r="E8" s="22">
        <f t="shared" si="0"/>
        <v>249.20000000000002</v>
      </c>
      <c r="F8" s="111" t="s">
        <v>47</v>
      </c>
      <c r="G8" s="27" t="str">
        <f>IF('TRA-M'!$A$2-D8&lt;=1,IF(Q8&gt;=$S$3,"YES",IF(Y8&gt;=$AA$3,"YES",IF(OR(AG8&gt;=$AI$3, AJ8&gt;=$AI$3),"YES",""))),"")</f>
        <v/>
      </c>
      <c r="H8" s="7" t="str">
        <f t="shared" si="1"/>
        <v>YES</v>
      </c>
      <c r="I8" s="34" t="str">
        <f t="shared" si="2"/>
        <v>YES</v>
      </c>
      <c r="J8" s="66" t="str">
        <f t="shared" si="3"/>
        <v/>
      </c>
      <c r="K8" s="3">
        <f t="shared" si="4"/>
        <v>140.5</v>
      </c>
      <c r="L8" s="4">
        <f t="shared" si="5"/>
        <v>72.3</v>
      </c>
      <c r="M8" s="5">
        <f t="shared" si="6"/>
        <v>36</v>
      </c>
      <c r="N8" s="114">
        <f t="shared" si="7"/>
        <v>0.39999999999999858</v>
      </c>
      <c r="O8" s="522">
        <v>34.5</v>
      </c>
      <c r="P8" s="523">
        <v>36</v>
      </c>
      <c r="Q8" s="161">
        <f t="shared" si="8"/>
        <v>70.5</v>
      </c>
      <c r="R8" s="523">
        <v>35.299999999999997</v>
      </c>
      <c r="S8" s="523">
        <v>29.7</v>
      </c>
      <c r="T8" s="64">
        <f t="shared" si="9"/>
        <v>65</v>
      </c>
      <c r="U8" s="64">
        <f t="shared" si="10"/>
        <v>135.5</v>
      </c>
      <c r="V8" s="385"/>
      <c r="W8" s="522">
        <v>37.1</v>
      </c>
      <c r="X8" s="523">
        <v>34.6</v>
      </c>
      <c r="Y8" s="161">
        <f t="shared" si="11"/>
        <v>71.7</v>
      </c>
      <c r="Z8" s="523">
        <v>34.200000000000003</v>
      </c>
      <c r="AA8" s="523">
        <v>34.6</v>
      </c>
      <c r="AB8" s="64">
        <f t="shared" si="12"/>
        <v>68.800000000000011</v>
      </c>
      <c r="AC8" s="64">
        <f t="shared" si="13"/>
        <v>140.5</v>
      </c>
      <c r="AD8" s="385">
        <v>4</v>
      </c>
      <c r="AE8" s="522">
        <v>36</v>
      </c>
      <c r="AF8" s="523">
        <v>36.299999999999997</v>
      </c>
      <c r="AG8" s="161">
        <f t="shared" si="14"/>
        <v>72.3</v>
      </c>
      <c r="AH8" s="548">
        <v>33.799999999999997</v>
      </c>
      <c r="AI8" s="523">
        <v>34</v>
      </c>
      <c r="AJ8" s="64">
        <f t="shared" si="15"/>
        <v>67.8</v>
      </c>
      <c r="AK8" s="64">
        <f t="shared" si="16"/>
        <v>140.1</v>
      </c>
      <c r="AL8" s="385">
        <v>1</v>
      </c>
      <c r="AM8" s="56">
        <f t="shared" si="17"/>
        <v>0.39999999999999858</v>
      </c>
      <c r="AN8" s="8">
        <f t="shared" si="18"/>
        <v>36.4</v>
      </c>
      <c r="AO8" s="522"/>
      <c r="AP8" s="89"/>
      <c r="AQ8" s="163">
        <v>35.799999999999997</v>
      </c>
      <c r="AR8" s="163">
        <v>36.4</v>
      </c>
      <c r="AS8" s="475">
        <v>35.299999999999997</v>
      </c>
      <c r="AT8" s="163">
        <v>36.299999999999997</v>
      </c>
      <c r="AU8" s="163"/>
      <c r="AV8" s="163"/>
      <c r="AW8" s="522"/>
      <c r="AX8" s="89"/>
      <c r="AY8" s="523">
        <v>36.299999999999997</v>
      </c>
      <c r="AZ8" s="89"/>
      <c r="BA8" s="446"/>
      <c r="BB8" s="89"/>
      <c r="BC8" s="447"/>
      <c r="BD8" s="89"/>
      <c r="BE8" s="446"/>
      <c r="BF8" s="89"/>
      <c r="BG8" s="447"/>
      <c r="BH8" s="89"/>
      <c r="BI8" s="446"/>
      <c r="BJ8" s="89"/>
      <c r="BK8" s="447"/>
      <c r="BL8" s="89"/>
      <c r="BM8" s="308"/>
      <c r="BN8" s="89"/>
      <c r="BO8" s="44"/>
      <c r="BP8" s="89"/>
      <c r="BQ8" s="43"/>
      <c r="BR8" s="23"/>
      <c r="BS8" s="44"/>
      <c r="BT8" s="23"/>
      <c r="BU8" s="308"/>
      <c r="BV8" s="89"/>
      <c r="BW8" s="44"/>
      <c r="BX8" s="89"/>
      <c r="BY8" s="144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</row>
    <row r="9" spans="1:150" customFormat="1" x14ac:dyDescent="0.15">
      <c r="A9" s="284"/>
      <c r="B9" s="454" t="s">
        <v>59</v>
      </c>
      <c r="C9" s="436" t="s">
        <v>24</v>
      </c>
      <c r="D9" s="24"/>
      <c r="E9" s="22">
        <f t="shared" si="0"/>
        <v>184.09999999999997</v>
      </c>
      <c r="F9" s="111" t="s">
        <v>47</v>
      </c>
      <c r="G9" s="27" t="str">
        <f>IF('TRA-M'!$A$2-D9&lt;=1,IF(Q9&gt;=$S$3,"YES",IF(Y9&gt;=$AA$3,"YES",IF(OR(AG9&gt;=$AI$3, AJ9&gt;=$AI$3),"YES",""))),"")</f>
        <v/>
      </c>
      <c r="H9" s="7" t="str">
        <f t="shared" si="1"/>
        <v>YES</v>
      </c>
      <c r="I9" s="34" t="str">
        <f t="shared" si="2"/>
        <v>YES</v>
      </c>
      <c r="J9" s="66" t="str">
        <f t="shared" si="3"/>
        <v>YES</v>
      </c>
      <c r="K9" s="3">
        <f t="shared" si="4"/>
        <v>146.39999999999998</v>
      </c>
      <c r="L9" s="4">
        <f t="shared" si="5"/>
        <v>0</v>
      </c>
      <c r="M9" s="5">
        <f t="shared" si="6"/>
        <v>0</v>
      </c>
      <c r="N9" s="2">
        <f t="shared" si="7"/>
        <v>37.700000000000003</v>
      </c>
      <c r="O9" s="522">
        <v>35.9</v>
      </c>
      <c r="P9" s="523">
        <v>37.299999999999997</v>
      </c>
      <c r="Q9" s="161">
        <f t="shared" si="8"/>
        <v>73.199999999999989</v>
      </c>
      <c r="R9" s="523">
        <v>37.6</v>
      </c>
      <c r="S9" s="523">
        <v>35.6</v>
      </c>
      <c r="T9" s="161">
        <f t="shared" si="9"/>
        <v>73.2</v>
      </c>
      <c r="U9" s="64">
        <f t="shared" si="10"/>
        <v>146.39999999999998</v>
      </c>
      <c r="V9" s="385"/>
      <c r="W9" s="522"/>
      <c r="X9" s="523"/>
      <c r="Y9" s="64">
        <f t="shared" si="11"/>
        <v>0</v>
      </c>
      <c r="Z9" s="523"/>
      <c r="AA9" s="523"/>
      <c r="AB9" s="64">
        <f t="shared" si="12"/>
        <v>0</v>
      </c>
      <c r="AC9" s="64">
        <f t="shared" si="13"/>
        <v>0</v>
      </c>
      <c r="AD9" s="385"/>
      <c r="AE9" s="522"/>
      <c r="AF9" s="523"/>
      <c r="AG9" s="64">
        <f t="shared" si="14"/>
        <v>0</v>
      </c>
      <c r="AH9" s="523"/>
      <c r="AI9" s="523"/>
      <c r="AJ9" s="64">
        <f t="shared" si="15"/>
        <v>0</v>
      </c>
      <c r="AK9" s="64">
        <f t="shared" si="16"/>
        <v>0</v>
      </c>
      <c r="AL9" s="385"/>
      <c r="AM9" s="56">
        <f t="shared" si="17"/>
        <v>37.700000000000003</v>
      </c>
      <c r="AN9" s="8">
        <f t="shared" si="18"/>
        <v>37.700000000000003</v>
      </c>
      <c r="AO9" s="522"/>
      <c r="AP9" s="89"/>
      <c r="AQ9" s="163">
        <v>37.700000000000003</v>
      </c>
      <c r="AR9" s="341">
        <v>36.700000000000003</v>
      </c>
      <c r="AS9" s="475">
        <v>37</v>
      </c>
      <c r="AT9" s="163">
        <v>37.4</v>
      </c>
      <c r="AU9" s="163">
        <v>35.9</v>
      </c>
      <c r="AV9" s="341">
        <v>36.9</v>
      </c>
      <c r="AW9" s="522"/>
      <c r="AX9" s="89"/>
      <c r="AY9" s="523">
        <v>36.200000000000003</v>
      </c>
      <c r="AZ9" s="41"/>
      <c r="BA9" s="446"/>
      <c r="BB9" s="89"/>
      <c r="BC9" s="447"/>
      <c r="BD9" s="41"/>
      <c r="BE9" s="446"/>
      <c r="BF9" s="89"/>
      <c r="BG9" s="447"/>
      <c r="BH9" s="160"/>
      <c r="BI9" s="446"/>
      <c r="BJ9" s="548"/>
      <c r="BK9" s="447"/>
      <c r="BL9" s="548"/>
      <c r="BM9" s="368"/>
      <c r="BN9" s="89"/>
      <c r="BO9" s="44"/>
      <c r="BP9" s="41"/>
      <c r="BQ9" s="43"/>
      <c r="BR9" s="23"/>
      <c r="BS9" s="44"/>
      <c r="BT9" s="23"/>
      <c r="BU9" s="368"/>
      <c r="BV9" s="89"/>
      <c r="BW9" s="44"/>
      <c r="BX9" s="89"/>
      <c r="BY9" s="144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</row>
    <row r="10" spans="1:150" customFormat="1" x14ac:dyDescent="0.15">
      <c r="A10" s="262"/>
      <c r="B10" s="79" t="s">
        <v>132</v>
      </c>
      <c r="C10" s="123" t="s">
        <v>26</v>
      </c>
      <c r="D10" s="24">
        <v>2014</v>
      </c>
      <c r="E10" s="22">
        <f t="shared" si="0"/>
        <v>232.79999999999998</v>
      </c>
      <c r="F10" s="111" t="s">
        <v>47</v>
      </c>
      <c r="G10" s="27" t="str">
        <f>IF('TRA-M'!$A$2-D10&lt;=1,IF(Q10&gt;=$S$3,"YES",IF(Y10&gt;=$AA$3,"YES",IF(OR(AG10&gt;=$AI$3, AJ10&gt;=$AI$3),"YES",""))),"")</f>
        <v/>
      </c>
      <c r="H10" s="7" t="str">
        <f t="shared" si="1"/>
        <v/>
      </c>
      <c r="I10" s="34" t="str">
        <f t="shared" si="2"/>
        <v/>
      </c>
      <c r="J10" s="66" t="str">
        <f t="shared" si="3"/>
        <v/>
      </c>
      <c r="K10" s="3">
        <f t="shared" si="4"/>
        <v>126.5</v>
      </c>
      <c r="L10" s="4">
        <f t="shared" si="5"/>
        <v>69.599999999999994</v>
      </c>
      <c r="M10" s="5">
        <f t="shared" si="6"/>
        <v>36.1</v>
      </c>
      <c r="N10" s="114">
        <f t="shared" si="7"/>
        <v>0.60000000000000142</v>
      </c>
      <c r="O10" s="104">
        <v>0</v>
      </c>
      <c r="P10" s="523">
        <v>36.1</v>
      </c>
      <c r="Q10" s="64">
        <f t="shared" si="8"/>
        <v>36.1</v>
      </c>
      <c r="R10" s="523">
        <v>34.4</v>
      </c>
      <c r="S10" s="523">
        <v>35.4</v>
      </c>
      <c r="T10" s="161">
        <f t="shared" si="9"/>
        <v>69.8</v>
      </c>
      <c r="U10" s="64">
        <f t="shared" si="10"/>
        <v>105.9</v>
      </c>
      <c r="V10" s="385"/>
      <c r="W10" s="523">
        <v>34.5</v>
      </c>
      <c r="X10" s="104">
        <v>24.4</v>
      </c>
      <c r="Y10" s="64">
        <f t="shared" si="11"/>
        <v>58.9</v>
      </c>
      <c r="Z10" s="523">
        <v>32.6</v>
      </c>
      <c r="AA10" s="523">
        <v>35</v>
      </c>
      <c r="AB10" s="161">
        <f t="shared" si="12"/>
        <v>67.599999999999994</v>
      </c>
      <c r="AC10" s="64">
        <f t="shared" si="13"/>
        <v>126.5</v>
      </c>
      <c r="AD10" s="385">
        <v>7</v>
      </c>
      <c r="AE10" s="523">
        <v>32.700000000000003</v>
      </c>
      <c r="AF10" s="523">
        <v>36.9</v>
      </c>
      <c r="AG10" s="64">
        <f t="shared" si="14"/>
        <v>69.599999999999994</v>
      </c>
      <c r="AH10" s="104">
        <v>0</v>
      </c>
      <c r="AI10" s="104">
        <v>24.8</v>
      </c>
      <c r="AJ10" s="64">
        <f t="shared" si="15"/>
        <v>24.8</v>
      </c>
      <c r="AK10" s="64">
        <f t="shared" si="16"/>
        <v>94.399999999999991</v>
      </c>
      <c r="AL10" s="385">
        <v>8</v>
      </c>
      <c r="AM10" s="56">
        <f t="shared" si="17"/>
        <v>0.60000000000000142</v>
      </c>
      <c r="AN10" s="8">
        <f t="shared" si="18"/>
        <v>36.700000000000003</v>
      </c>
      <c r="AO10" s="522"/>
      <c r="AP10" s="523"/>
      <c r="AQ10" s="523"/>
      <c r="AR10" s="523"/>
      <c r="AS10" s="475">
        <v>36.1</v>
      </c>
      <c r="AT10" s="163">
        <v>36.700000000000003</v>
      </c>
      <c r="AU10" s="163">
        <v>36.200000000000003</v>
      </c>
      <c r="AV10" s="163">
        <v>32.9</v>
      </c>
      <c r="AW10" s="522"/>
      <c r="AX10" s="523"/>
      <c r="AY10" s="523"/>
      <c r="AZ10" s="523"/>
      <c r="BA10" s="446"/>
      <c r="BB10" s="447"/>
      <c r="BC10" s="447"/>
      <c r="BD10" s="447"/>
      <c r="BE10" s="446"/>
      <c r="BF10" s="447"/>
      <c r="BG10" s="447"/>
      <c r="BH10" s="447"/>
      <c r="BI10" s="446"/>
      <c r="BJ10" s="447"/>
      <c r="BK10" s="447"/>
      <c r="BL10" s="447"/>
      <c r="BM10" s="492"/>
      <c r="BN10" s="89"/>
      <c r="BO10" s="44"/>
      <c r="BP10" s="41"/>
      <c r="BQ10" s="43"/>
      <c r="BR10" s="23"/>
      <c r="BS10" s="44"/>
      <c r="BT10" s="23"/>
      <c r="BU10" s="492"/>
      <c r="BV10" s="89"/>
      <c r="BW10" s="44"/>
      <c r="BX10" s="89"/>
      <c r="BY10" s="144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</row>
    <row r="11" spans="1:150" customFormat="1" x14ac:dyDescent="0.15">
      <c r="A11" s="389"/>
      <c r="B11" s="454" t="s">
        <v>71</v>
      </c>
      <c r="C11" s="436" t="s">
        <v>27</v>
      </c>
      <c r="D11" s="24"/>
      <c r="E11" s="22">
        <f t="shared" si="0"/>
        <v>130.19999999999999</v>
      </c>
      <c r="F11" s="161" t="s">
        <v>49</v>
      </c>
      <c r="G11" s="27" t="str">
        <f>IF('TRA-M'!$A$2-D11&lt;=1,IF(Q11&gt;=$S$3,"YES",IF(Y11&gt;=$AA$3,"YES",IF(OR(AG11&gt;=$AI$3, AJ11&gt;=$AI$3),"YES",""))),"")</f>
        <v/>
      </c>
      <c r="H11" s="7" t="str">
        <f t="shared" si="1"/>
        <v/>
      </c>
      <c r="I11" s="34" t="str">
        <f t="shared" si="2"/>
        <v/>
      </c>
      <c r="J11" s="66" t="str">
        <f t="shared" si="3"/>
        <v/>
      </c>
      <c r="K11" s="3">
        <f t="shared" si="4"/>
        <v>130.19999999999999</v>
      </c>
      <c r="L11" s="4">
        <f t="shared" si="5"/>
        <v>0</v>
      </c>
      <c r="M11" s="5">
        <f t="shared" si="6"/>
        <v>0</v>
      </c>
      <c r="N11" s="2" t="str">
        <f t="shared" si="7"/>
        <v/>
      </c>
      <c r="O11" s="522">
        <v>34.200000000000003</v>
      </c>
      <c r="P11" s="523">
        <v>34</v>
      </c>
      <c r="Q11" s="161">
        <f t="shared" si="8"/>
        <v>68.2</v>
      </c>
      <c r="R11" s="523">
        <v>33.799999999999997</v>
      </c>
      <c r="S11" s="523">
        <v>28.2</v>
      </c>
      <c r="T11" s="64">
        <f t="shared" si="9"/>
        <v>62</v>
      </c>
      <c r="U11" s="64">
        <f t="shared" si="10"/>
        <v>130.19999999999999</v>
      </c>
      <c r="V11" s="385"/>
      <c r="W11" s="522"/>
      <c r="X11" s="523"/>
      <c r="Y11" s="64">
        <f t="shared" si="11"/>
        <v>0</v>
      </c>
      <c r="Z11" s="523"/>
      <c r="AA11" s="523"/>
      <c r="AB11" s="64">
        <f t="shared" si="12"/>
        <v>0</v>
      </c>
      <c r="AC11" s="64">
        <f t="shared" si="13"/>
        <v>0</v>
      </c>
      <c r="AD11" s="385"/>
      <c r="AE11" s="522"/>
      <c r="AF11" s="523"/>
      <c r="AG11" s="64">
        <f t="shared" si="14"/>
        <v>0</v>
      </c>
      <c r="AH11" s="523"/>
      <c r="AI11" s="523"/>
      <c r="AJ11" s="64">
        <f t="shared" si="15"/>
        <v>0</v>
      </c>
      <c r="AK11" s="64">
        <f t="shared" si="16"/>
        <v>0</v>
      </c>
      <c r="AL11" s="385"/>
      <c r="AM11" s="56" t="str">
        <f t="shared" si="17"/>
        <v/>
      </c>
      <c r="AN11" s="8" t="str">
        <f t="shared" si="18"/>
        <v/>
      </c>
      <c r="AO11" s="522"/>
      <c r="AP11" s="523"/>
      <c r="AQ11" s="523"/>
      <c r="AR11" s="524"/>
      <c r="AS11" s="466"/>
      <c r="AT11" s="467"/>
      <c r="AU11" s="467"/>
      <c r="AV11" s="468"/>
      <c r="AW11" s="522"/>
      <c r="AX11" s="523"/>
      <c r="AY11" s="523"/>
      <c r="AZ11" s="524"/>
      <c r="BA11" s="446"/>
      <c r="BB11" s="447"/>
      <c r="BC11" s="447"/>
      <c r="BD11" s="494"/>
      <c r="BE11" s="446"/>
      <c r="BF11" s="447"/>
      <c r="BG11" s="447"/>
      <c r="BH11" s="494"/>
      <c r="BI11" s="446"/>
      <c r="BJ11" s="447"/>
      <c r="BK11" s="447"/>
      <c r="BL11" s="494"/>
      <c r="BM11" s="45"/>
      <c r="BN11" s="496"/>
      <c r="BO11" s="44"/>
      <c r="BP11" s="497"/>
      <c r="BQ11" s="43"/>
      <c r="BR11" s="23"/>
      <c r="BS11" s="44"/>
      <c r="BT11" s="23"/>
      <c r="BU11" s="45"/>
      <c r="BV11" s="496"/>
      <c r="BW11" s="44"/>
      <c r="BX11" s="50"/>
      <c r="BY11" s="144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40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</row>
    <row r="12" spans="1:150" x14ac:dyDescent="0.15">
      <c r="A12" s="449"/>
      <c r="B12" s="79" t="s">
        <v>66</v>
      </c>
      <c r="C12" s="534" t="s">
        <v>27</v>
      </c>
      <c r="D12" s="24">
        <v>2012</v>
      </c>
      <c r="E12" s="22">
        <f t="shared" si="0"/>
        <v>240.5</v>
      </c>
      <c r="F12" s="111"/>
      <c r="G12" s="27" t="str">
        <f>IF('TRA-M'!$A$2-D12&lt;=1,IF(Q12&gt;=$S$3,"YES",IF(Y12&gt;=$AA$3,"YES",IF(OR(AG12&gt;=$AI$3, AJ12&gt;=$AI$3),"YES",""))),"")</f>
        <v/>
      </c>
      <c r="H12" s="7" t="str">
        <f t="shared" si="1"/>
        <v/>
      </c>
      <c r="I12" s="34" t="str">
        <f t="shared" si="2"/>
        <v/>
      </c>
      <c r="J12" s="66" t="str">
        <f t="shared" si="3"/>
        <v/>
      </c>
      <c r="K12" s="3">
        <f t="shared" si="4"/>
        <v>135.30000000000001</v>
      </c>
      <c r="L12" s="4">
        <f t="shared" si="5"/>
        <v>70.2</v>
      </c>
      <c r="M12" s="5">
        <f t="shared" si="6"/>
        <v>35</v>
      </c>
      <c r="N12" s="2" t="str">
        <f t="shared" si="7"/>
        <v/>
      </c>
      <c r="O12" s="522"/>
      <c r="P12" s="523"/>
      <c r="Q12" s="64">
        <f t="shared" si="8"/>
        <v>0</v>
      </c>
      <c r="R12" s="523"/>
      <c r="S12" s="523"/>
      <c r="T12" s="64">
        <f t="shared" si="9"/>
        <v>0</v>
      </c>
      <c r="U12" s="64">
        <f t="shared" si="10"/>
        <v>0</v>
      </c>
      <c r="V12" s="385"/>
      <c r="W12" s="522">
        <v>34.5</v>
      </c>
      <c r="X12" s="523">
        <v>35.700000000000003</v>
      </c>
      <c r="Y12" s="64">
        <f t="shared" si="11"/>
        <v>70.2</v>
      </c>
      <c r="Z12" s="523">
        <v>35</v>
      </c>
      <c r="AA12" s="523">
        <v>27.6</v>
      </c>
      <c r="AB12" s="64">
        <f t="shared" si="12"/>
        <v>62.6</v>
      </c>
      <c r="AC12" s="64">
        <f t="shared" si="13"/>
        <v>132.80000000000001</v>
      </c>
      <c r="AD12" s="385">
        <v>5</v>
      </c>
      <c r="AE12" s="522">
        <v>35.200000000000003</v>
      </c>
      <c r="AF12" s="523">
        <v>34.799999999999997</v>
      </c>
      <c r="AG12" s="64">
        <f t="shared" si="14"/>
        <v>70</v>
      </c>
      <c r="AH12" s="523">
        <v>29.3</v>
      </c>
      <c r="AI12" s="523">
        <v>36</v>
      </c>
      <c r="AJ12" s="64">
        <f t="shared" si="15"/>
        <v>65.3</v>
      </c>
      <c r="AK12" s="64">
        <f t="shared" si="16"/>
        <v>135.30000000000001</v>
      </c>
      <c r="AL12" s="385">
        <v>3</v>
      </c>
      <c r="AM12" s="56" t="str">
        <f t="shared" si="17"/>
        <v/>
      </c>
      <c r="AN12" s="8" t="str">
        <f t="shared" si="18"/>
        <v/>
      </c>
      <c r="AO12" s="522"/>
      <c r="AP12" s="89"/>
      <c r="AQ12" s="523"/>
      <c r="AR12" s="89"/>
      <c r="AS12" s="522"/>
      <c r="AT12" s="89"/>
      <c r="AU12" s="523"/>
      <c r="AV12" s="89"/>
      <c r="AW12" s="522"/>
      <c r="AX12" s="89"/>
      <c r="AY12" s="523"/>
      <c r="AZ12" s="89"/>
      <c r="BA12" s="446"/>
      <c r="BB12" s="89"/>
      <c r="BC12" s="447"/>
      <c r="BD12" s="89"/>
      <c r="BE12" s="446"/>
      <c r="BF12" s="89"/>
      <c r="BG12" s="447"/>
      <c r="BH12" s="89"/>
      <c r="BI12" s="446"/>
      <c r="BJ12" s="89"/>
      <c r="BK12" s="447"/>
      <c r="BL12" s="89"/>
      <c r="BM12" s="368"/>
      <c r="BN12" s="89"/>
      <c r="BO12" s="44"/>
      <c r="BP12" s="89"/>
      <c r="BQ12" s="43"/>
      <c r="BR12" s="23"/>
      <c r="BS12" s="44"/>
      <c r="BT12" s="23"/>
      <c r="BU12" s="368"/>
      <c r="BV12" s="89"/>
      <c r="BW12" s="44"/>
      <c r="BX12" s="89"/>
      <c r="BY12" s="144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</row>
    <row r="13" spans="1:150" x14ac:dyDescent="0.15">
      <c r="A13" s="490"/>
      <c r="B13" s="79" t="s">
        <v>99</v>
      </c>
      <c r="C13" s="74" t="s">
        <v>25</v>
      </c>
      <c r="D13" s="24">
        <v>2015</v>
      </c>
      <c r="E13" s="22">
        <f t="shared" si="0"/>
        <v>235.89999999999998</v>
      </c>
      <c r="F13" s="111"/>
      <c r="G13" s="27" t="str">
        <f>IF('TRA-M'!$A$2-D13&lt;=1,IF(Q13&gt;=$S$3,"YES",IF(Y13&gt;=$AA$3,"YES",IF(OR(AG13&gt;=$AI$3, AJ13&gt;=$AI$3),"YES",""))),"")</f>
        <v/>
      </c>
      <c r="H13" s="7" t="str">
        <f t="shared" si="1"/>
        <v/>
      </c>
      <c r="I13" s="34" t="str">
        <f t="shared" si="2"/>
        <v/>
      </c>
      <c r="J13" s="66" t="str">
        <f t="shared" si="3"/>
        <v/>
      </c>
      <c r="K13" s="3">
        <f t="shared" si="4"/>
        <v>135.79999999999998</v>
      </c>
      <c r="L13" s="4">
        <f t="shared" si="5"/>
        <v>66</v>
      </c>
      <c r="M13" s="5">
        <f t="shared" si="6"/>
        <v>34.1</v>
      </c>
      <c r="N13" s="2" t="str">
        <f t="shared" si="7"/>
        <v/>
      </c>
      <c r="O13" s="522"/>
      <c r="P13" s="523"/>
      <c r="Q13" s="64">
        <f t="shared" si="8"/>
        <v>0</v>
      </c>
      <c r="R13" s="523"/>
      <c r="S13" s="523"/>
      <c r="T13" s="64">
        <f t="shared" si="9"/>
        <v>0</v>
      </c>
      <c r="U13" s="64">
        <f t="shared" si="10"/>
        <v>0</v>
      </c>
      <c r="V13" s="385"/>
      <c r="W13" s="522">
        <v>31.5</v>
      </c>
      <c r="X13" s="523">
        <v>34.5</v>
      </c>
      <c r="Y13" s="64">
        <f t="shared" si="11"/>
        <v>66</v>
      </c>
      <c r="Z13" s="104">
        <v>23.1</v>
      </c>
      <c r="AA13" s="523">
        <v>34.1</v>
      </c>
      <c r="AB13" s="64">
        <f t="shared" si="12"/>
        <v>57.2</v>
      </c>
      <c r="AC13" s="64">
        <f t="shared" si="13"/>
        <v>123.2</v>
      </c>
      <c r="AD13" s="385">
        <v>10</v>
      </c>
      <c r="AE13" s="522">
        <v>34.9</v>
      </c>
      <c r="AF13" s="523">
        <v>33.799999999999997</v>
      </c>
      <c r="AG13" s="64">
        <f t="shared" si="14"/>
        <v>68.699999999999989</v>
      </c>
      <c r="AH13" s="523">
        <v>33.799999999999997</v>
      </c>
      <c r="AI13" s="523">
        <v>33.299999999999997</v>
      </c>
      <c r="AJ13" s="64">
        <f t="shared" si="15"/>
        <v>67.099999999999994</v>
      </c>
      <c r="AK13" s="64">
        <f t="shared" si="16"/>
        <v>135.79999999999998</v>
      </c>
      <c r="AL13" s="385">
        <v>2</v>
      </c>
      <c r="AM13" s="56" t="str">
        <f t="shared" si="17"/>
        <v/>
      </c>
      <c r="AN13" s="8" t="str">
        <f t="shared" si="18"/>
        <v/>
      </c>
      <c r="AO13" s="522"/>
      <c r="AP13" s="89"/>
      <c r="AQ13" s="523"/>
      <c r="AR13" s="89"/>
      <c r="AS13" s="522"/>
      <c r="AT13" s="89"/>
      <c r="AU13" s="523"/>
      <c r="AV13" s="89"/>
      <c r="AW13" s="522"/>
      <c r="AX13" s="89"/>
      <c r="AY13" s="523"/>
      <c r="AZ13" s="89"/>
      <c r="BA13" s="446"/>
      <c r="BB13" s="89"/>
      <c r="BC13" s="447"/>
      <c r="BD13" s="89"/>
      <c r="BE13" s="446"/>
      <c r="BF13" s="89"/>
      <c r="BG13" s="447"/>
      <c r="BH13" s="89"/>
      <c r="BI13" s="446"/>
      <c r="BJ13" s="89"/>
      <c r="BK13" s="447"/>
      <c r="BL13" s="89"/>
      <c r="BM13" s="419"/>
      <c r="BN13" s="89"/>
      <c r="BO13" s="44"/>
      <c r="BP13" s="89"/>
      <c r="BQ13" s="43"/>
      <c r="BR13" s="23"/>
      <c r="BS13" s="44"/>
      <c r="BT13" s="23"/>
      <c r="BU13" s="419"/>
      <c r="BV13" s="89"/>
      <c r="BW13" s="44"/>
      <c r="BX13" s="89"/>
      <c r="BY13" s="144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</row>
    <row r="14" spans="1:150" x14ac:dyDescent="0.15">
      <c r="A14" s="449"/>
      <c r="B14" s="79" t="s">
        <v>123</v>
      </c>
      <c r="C14" s="74" t="s">
        <v>27</v>
      </c>
      <c r="D14" s="24">
        <v>2016</v>
      </c>
      <c r="E14" s="22">
        <f t="shared" si="0"/>
        <v>231.10000000000002</v>
      </c>
      <c r="F14" s="111"/>
      <c r="G14" s="27" t="str">
        <f>IF('TRA-M'!$A$2-D14&lt;=1,IF(Q14&gt;=$S$3,"YES",IF(Y14&gt;=$AA$3,"YES",IF(OR(AG14&gt;=$AI$3, AJ14&gt;=$AI$3),"YES",""))),"")</f>
        <v/>
      </c>
      <c r="H14" s="7" t="str">
        <f t="shared" si="1"/>
        <v/>
      </c>
      <c r="I14" s="34" t="str">
        <f t="shared" si="2"/>
        <v/>
      </c>
      <c r="J14" s="66" t="str">
        <f t="shared" si="3"/>
        <v/>
      </c>
      <c r="K14" s="191">
        <f t="shared" si="4"/>
        <v>130.80000000000001</v>
      </c>
      <c r="L14" s="192">
        <f t="shared" si="5"/>
        <v>68</v>
      </c>
      <c r="M14" s="193">
        <f t="shared" si="6"/>
        <v>32.299999999999997</v>
      </c>
      <c r="N14" s="2" t="str">
        <f t="shared" si="7"/>
        <v/>
      </c>
      <c r="O14" s="522"/>
      <c r="P14" s="523"/>
      <c r="Q14" s="64">
        <f t="shared" si="8"/>
        <v>0</v>
      </c>
      <c r="R14" s="523"/>
      <c r="S14" s="523"/>
      <c r="T14" s="64">
        <f t="shared" si="9"/>
        <v>0</v>
      </c>
      <c r="U14" s="64">
        <f t="shared" si="10"/>
        <v>0</v>
      </c>
      <c r="V14" s="385"/>
      <c r="W14" s="522">
        <v>33.6</v>
      </c>
      <c r="X14" s="523">
        <v>34.4</v>
      </c>
      <c r="Y14" s="64">
        <f t="shared" si="11"/>
        <v>68</v>
      </c>
      <c r="Z14" s="523">
        <v>32.299999999999997</v>
      </c>
      <c r="AA14" s="104">
        <v>23.7</v>
      </c>
      <c r="AB14" s="64">
        <f t="shared" si="12"/>
        <v>56</v>
      </c>
      <c r="AC14" s="64">
        <f t="shared" si="13"/>
        <v>124</v>
      </c>
      <c r="AD14" s="385">
        <v>9</v>
      </c>
      <c r="AE14" s="522">
        <v>32.200000000000003</v>
      </c>
      <c r="AF14" s="523">
        <v>32.700000000000003</v>
      </c>
      <c r="AG14" s="64">
        <f t="shared" si="14"/>
        <v>64.900000000000006</v>
      </c>
      <c r="AH14" s="523">
        <v>33.1</v>
      </c>
      <c r="AI14" s="523">
        <v>32.799999999999997</v>
      </c>
      <c r="AJ14" s="64">
        <f t="shared" si="15"/>
        <v>65.900000000000006</v>
      </c>
      <c r="AK14" s="64">
        <f t="shared" si="16"/>
        <v>130.80000000000001</v>
      </c>
      <c r="AL14" s="385">
        <v>5</v>
      </c>
      <c r="AM14" s="56" t="str">
        <f t="shared" si="17"/>
        <v/>
      </c>
      <c r="AN14" s="188" t="str">
        <f t="shared" si="18"/>
        <v/>
      </c>
      <c r="AO14" s="522"/>
      <c r="AP14" s="89"/>
      <c r="AQ14" s="523"/>
      <c r="AR14" s="89"/>
      <c r="AS14" s="522"/>
      <c r="AT14" s="89"/>
      <c r="AU14" s="523"/>
      <c r="AV14" s="89"/>
      <c r="AW14" s="522"/>
      <c r="AX14" s="89"/>
      <c r="AY14" s="523"/>
      <c r="AZ14" s="89"/>
      <c r="BA14" s="446"/>
      <c r="BB14" s="89"/>
      <c r="BC14" s="447"/>
      <c r="BD14" s="89"/>
      <c r="BE14" s="446"/>
      <c r="BF14" s="89"/>
      <c r="BG14" s="447"/>
      <c r="BH14" s="89"/>
      <c r="BI14" s="446"/>
      <c r="BJ14" s="89"/>
      <c r="BK14" s="447"/>
      <c r="BL14" s="89"/>
      <c r="BM14" s="268"/>
      <c r="BN14" s="89"/>
      <c r="BO14" s="190"/>
      <c r="BP14" s="89"/>
      <c r="BQ14" s="189"/>
      <c r="BR14" s="23"/>
      <c r="BS14" s="190"/>
      <c r="BT14" s="23"/>
      <c r="BU14" s="268"/>
      <c r="BV14" s="89"/>
      <c r="BW14" s="190"/>
      <c r="BX14" s="89"/>
      <c r="BY14" s="144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</row>
    <row r="15" spans="1:150" x14ac:dyDescent="0.15">
      <c r="A15" s="162"/>
      <c r="B15" s="79" t="s">
        <v>65</v>
      </c>
      <c r="C15" s="74" t="s">
        <v>26</v>
      </c>
      <c r="D15" s="24">
        <v>2012</v>
      </c>
      <c r="E15" s="22">
        <f t="shared" si="0"/>
        <v>158.5</v>
      </c>
      <c r="F15" s="161"/>
      <c r="G15" s="27" t="str">
        <f>IF('TRA-M'!$A$2-D15&lt;=1,IF(Q15&gt;=$S$3,"YES",IF(Y15&gt;=$AA$3,"YES",IF(OR(AG15&gt;=$AI$3, AJ15&gt;=$AI$3),"YES",""))),"")</f>
        <v/>
      </c>
      <c r="H15" s="7" t="str">
        <f t="shared" si="1"/>
        <v/>
      </c>
      <c r="I15" s="34" t="str">
        <f t="shared" si="2"/>
        <v/>
      </c>
      <c r="J15" s="66" t="str">
        <f t="shared" si="3"/>
        <v/>
      </c>
      <c r="K15" s="200">
        <f t="shared" si="4"/>
        <v>125.10000000000001</v>
      </c>
      <c r="L15" s="201">
        <f t="shared" si="5"/>
        <v>33.4</v>
      </c>
      <c r="M15" s="202">
        <f t="shared" si="6"/>
        <v>0</v>
      </c>
      <c r="N15" s="2" t="str">
        <f t="shared" si="7"/>
        <v/>
      </c>
      <c r="O15" s="522"/>
      <c r="P15" s="523"/>
      <c r="Q15" s="64">
        <f t="shared" si="8"/>
        <v>0</v>
      </c>
      <c r="R15" s="523"/>
      <c r="S15" s="523"/>
      <c r="T15" s="64">
        <f t="shared" si="9"/>
        <v>0</v>
      </c>
      <c r="U15" s="64">
        <f t="shared" si="10"/>
        <v>0</v>
      </c>
      <c r="V15" s="385"/>
      <c r="W15" s="113">
        <v>23.2</v>
      </c>
      <c r="X15" s="523">
        <v>35.5</v>
      </c>
      <c r="Y15" s="64">
        <f t="shared" si="11"/>
        <v>58.7</v>
      </c>
      <c r="Z15" s="523">
        <v>31.2</v>
      </c>
      <c r="AA15" s="523">
        <v>35.200000000000003</v>
      </c>
      <c r="AB15" s="64">
        <f t="shared" si="12"/>
        <v>66.400000000000006</v>
      </c>
      <c r="AC15" s="64">
        <f t="shared" si="13"/>
        <v>125.10000000000001</v>
      </c>
      <c r="AD15" s="385">
        <v>8</v>
      </c>
      <c r="AE15" s="113">
        <v>0</v>
      </c>
      <c r="AF15" s="523">
        <v>33.4</v>
      </c>
      <c r="AG15" s="64">
        <f t="shared" si="14"/>
        <v>33.4</v>
      </c>
      <c r="AH15" s="523"/>
      <c r="AI15" s="523"/>
      <c r="AJ15" s="64">
        <f t="shared" si="15"/>
        <v>0</v>
      </c>
      <c r="AK15" s="64">
        <f t="shared" si="16"/>
        <v>33.4</v>
      </c>
      <c r="AL15" s="385">
        <v>10</v>
      </c>
      <c r="AM15" s="56" t="str">
        <f t="shared" si="17"/>
        <v/>
      </c>
      <c r="AN15" s="196" t="str">
        <f t="shared" si="18"/>
        <v/>
      </c>
      <c r="AO15" s="522"/>
      <c r="AP15" s="89"/>
      <c r="AQ15" s="523"/>
      <c r="AR15" s="89"/>
      <c r="AS15" s="522"/>
      <c r="AT15" s="89"/>
      <c r="AU15" s="523"/>
      <c r="AV15" s="89"/>
      <c r="AW15" s="522"/>
      <c r="AX15" s="89"/>
      <c r="AY15" s="523"/>
      <c r="AZ15" s="89"/>
      <c r="BA15" s="446"/>
      <c r="BB15" s="89"/>
      <c r="BC15" s="447"/>
      <c r="BD15" s="89"/>
      <c r="BE15" s="446"/>
      <c r="BF15" s="89"/>
      <c r="BG15" s="447"/>
      <c r="BH15" s="89"/>
      <c r="BI15" s="446"/>
      <c r="BJ15" s="89"/>
      <c r="BK15" s="447"/>
      <c r="BL15" s="89"/>
      <c r="BM15" s="266"/>
      <c r="BN15" s="89"/>
      <c r="BO15" s="199"/>
      <c r="BP15" s="89"/>
      <c r="BQ15" s="198"/>
      <c r="BR15" s="23"/>
      <c r="BS15" s="199"/>
      <c r="BT15" s="23"/>
      <c r="BU15" s="266"/>
      <c r="BV15" s="89"/>
      <c r="BW15" s="199"/>
      <c r="BX15" s="89"/>
      <c r="BY15" s="144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</row>
    <row r="16" spans="1:150" x14ac:dyDescent="0.15">
      <c r="A16" s="422"/>
      <c r="B16" s="79" t="s">
        <v>88</v>
      </c>
      <c r="C16" s="74" t="s">
        <v>26</v>
      </c>
      <c r="D16" s="377">
        <v>2011</v>
      </c>
      <c r="E16" s="22">
        <f t="shared" si="0"/>
        <v>132.19999999999999</v>
      </c>
      <c r="F16" s="111"/>
      <c r="G16" s="27" t="str">
        <f>IF('TRA-M'!$A$2-D16&lt;=1,IF(Q16&gt;=$S$3,"YES",IF(Y16&gt;=$AA$3,"YES",IF(OR(AG16&gt;=$AI$3, AJ16&gt;=$AI$3),"YES",""))),"")</f>
        <v/>
      </c>
      <c r="H16" s="7" t="str">
        <f t="shared" si="1"/>
        <v/>
      </c>
      <c r="I16" s="34" t="str">
        <f t="shared" si="2"/>
        <v/>
      </c>
      <c r="J16" s="66" t="str">
        <f t="shared" si="3"/>
        <v/>
      </c>
      <c r="K16" s="372">
        <f t="shared" si="4"/>
        <v>132.19999999999999</v>
      </c>
      <c r="L16" s="373">
        <f t="shared" si="5"/>
        <v>0</v>
      </c>
      <c r="M16" s="374">
        <f t="shared" si="6"/>
        <v>0</v>
      </c>
      <c r="N16" s="2" t="str">
        <f t="shared" si="7"/>
        <v/>
      </c>
      <c r="O16" s="522"/>
      <c r="P16" s="523"/>
      <c r="Q16" s="64">
        <f t="shared" si="8"/>
        <v>0</v>
      </c>
      <c r="R16" s="523"/>
      <c r="S16" s="523"/>
      <c r="T16" s="64">
        <f t="shared" si="9"/>
        <v>0</v>
      </c>
      <c r="U16" s="64">
        <f t="shared" si="10"/>
        <v>0</v>
      </c>
      <c r="V16" s="385"/>
      <c r="W16" s="522">
        <v>33.9</v>
      </c>
      <c r="X16" s="523">
        <v>35</v>
      </c>
      <c r="Y16" s="64">
        <f t="shared" si="11"/>
        <v>68.900000000000006</v>
      </c>
      <c r="Z16" s="523">
        <v>34.9</v>
      </c>
      <c r="AA16" s="523">
        <v>28.4</v>
      </c>
      <c r="AB16" s="64">
        <f t="shared" si="12"/>
        <v>63.3</v>
      </c>
      <c r="AC16" s="64">
        <f t="shared" si="13"/>
        <v>132.19999999999999</v>
      </c>
      <c r="AD16" s="385">
        <v>6</v>
      </c>
      <c r="AE16" s="522"/>
      <c r="AF16" s="523"/>
      <c r="AG16" s="64">
        <f t="shared" si="14"/>
        <v>0</v>
      </c>
      <c r="AH16" s="523"/>
      <c r="AI16" s="523"/>
      <c r="AJ16" s="64">
        <f t="shared" si="15"/>
        <v>0</v>
      </c>
      <c r="AK16" s="64">
        <f t="shared" si="16"/>
        <v>0</v>
      </c>
      <c r="AL16" s="385"/>
      <c r="AM16" s="56" t="str">
        <f t="shared" si="17"/>
        <v/>
      </c>
      <c r="AN16" s="366" t="str">
        <f t="shared" si="18"/>
        <v/>
      </c>
      <c r="AO16" s="522"/>
      <c r="AP16" s="89"/>
      <c r="AQ16" s="523"/>
      <c r="AR16" s="89"/>
      <c r="AS16" s="522"/>
      <c r="AT16" s="89"/>
      <c r="AU16" s="523"/>
      <c r="AV16" s="89"/>
      <c r="AW16" s="522"/>
      <c r="AX16" s="89"/>
      <c r="AY16" s="523"/>
      <c r="AZ16" s="89"/>
      <c r="BA16" s="446"/>
      <c r="BB16" s="89"/>
      <c r="BC16" s="447"/>
      <c r="BD16" s="89"/>
      <c r="BE16" s="446"/>
      <c r="BF16" s="89"/>
      <c r="BG16" s="447"/>
      <c r="BH16" s="89"/>
      <c r="BI16" s="446"/>
      <c r="BJ16" s="89"/>
      <c r="BK16" s="447"/>
      <c r="BL16" s="89"/>
      <c r="BM16" s="368"/>
      <c r="BN16" s="89"/>
      <c r="BO16" s="369"/>
      <c r="BP16" s="89"/>
      <c r="BQ16" s="368"/>
      <c r="BR16" s="23"/>
      <c r="BS16" s="369"/>
      <c r="BT16" s="23"/>
      <c r="BU16" s="368"/>
      <c r="BV16" s="89"/>
      <c r="BW16" s="369"/>
      <c r="BX16" s="89"/>
      <c r="BY16" s="144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</row>
    <row r="17" spans="1:150" x14ac:dyDescent="0.15">
      <c r="A17" s="490"/>
      <c r="B17" s="79" t="s">
        <v>152</v>
      </c>
      <c r="C17" s="74" t="s">
        <v>27</v>
      </c>
      <c r="D17" s="495">
        <v>2016</v>
      </c>
      <c r="E17" s="22">
        <f t="shared" si="0"/>
        <v>128.79999999999998</v>
      </c>
      <c r="F17" s="111"/>
      <c r="G17" s="27" t="str">
        <f>IF('TRA-M'!$A$2-D17&lt;=1,IF(Q17&gt;=$S$3,"YES",IF(Y17&gt;=$AA$3,"YES",IF(OR(AG17&gt;=$AI$3, AJ17&gt;=$AI$3),"YES",""))),"")</f>
        <v/>
      </c>
      <c r="H17" s="7" t="str">
        <f t="shared" si="1"/>
        <v/>
      </c>
      <c r="I17" s="34" t="str">
        <f t="shared" si="2"/>
        <v/>
      </c>
      <c r="J17" s="66" t="str">
        <f t="shared" si="3"/>
        <v/>
      </c>
      <c r="K17" s="488">
        <f t="shared" si="4"/>
        <v>128.79999999999998</v>
      </c>
      <c r="L17" s="489">
        <f t="shared" si="5"/>
        <v>0</v>
      </c>
      <c r="M17" s="491">
        <f t="shared" si="6"/>
        <v>0</v>
      </c>
      <c r="N17" s="2" t="str">
        <f t="shared" si="7"/>
        <v/>
      </c>
      <c r="O17" s="522"/>
      <c r="P17" s="523"/>
      <c r="Q17" s="64">
        <f t="shared" si="8"/>
        <v>0</v>
      </c>
      <c r="R17" s="523"/>
      <c r="S17" s="523"/>
      <c r="T17" s="64">
        <f t="shared" si="9"/>
        <v>0</v>
      </c>
      <c r="U17" s="64">
        <f t="shared" si="10"/>
        <v>0</v>
      </c>
      <c r="V17" s="385"/>
      <c r="W17" s="547"/>
      <c r="X17" s="548"/>
      <c r="Y17" s="64">
        <f t="shared" si="11"/>
        <v>0</v>
      </c>
      <c r="Z17" s="523"/>
      <c r="AA17" s="523"/>
      <c r="AB17" s="64">
        <f t="shared" si="12"/>
        <v>0</v>
      </c>
      <c r="AC17" s="64">
        <f t="shared" si="13"/>
        <v>0</v>
      </c>
      <c r="AD17" s="385"/>
      <c r="AE17" s="547">
        <v>32.299999999999997</v>
      </c>
      <c r="AF17" s="523">
        <v>31.9</v>
      </c>
      <c r="AG17" s="64">
        <f t="shared" si="14"/>
        <v>64.199999999999989</v>
      </c>
      <c r="AH17" s="523">
        <v>33.1</v>
      </c>
      <c r="AI17" s="523">
        <v>31.5</v>
      </c>
      <c r="AJ17" s="64">
        <f t="shared" si="15"/>
        <v>64.599999999999994</v>
      </c>
      <c r="AK17" s="64">
        <f t="shared" si="16"/>
        <v>128.79999999999998</v>
      </c>
      <c r="AL17" s="385">
        <v>6</v>
      </c>
      <c r="AM17" s="56" t="str">
        <f t="shared" si="17"/>
        <v/>
      </c>
      <c r="AN17" s="478" t="str">
        <f t="shared" si="18"/>
        <v/>
      </c>
      <c r="AO17" s="522"/>
      <c r="AP17" s="89"/>
      <c r="AQ17" s="523"/>
      <c r="AR17" s="89"/>
      <c r="AS17" s="522"/>
      <c r="AT17" s="89"/>
      <c r="AU17" s="523"/>
      <c r="AV17" s="89"/>
      <c r="AW17" s="522"/>
      <c r="AX17" s="89"/>
      <c r="AY17" s="523"/>
      <c r="AZ17" s="89"/>
      <c r="BA17" s="492"/>
      <c r="BB17" s="89"/>
      <c r="BC17" s="493"/>
      <c r="BD17" s="89"/>
      <c r="BE17" s="492"/>
      <c r="BF17" s="89"/>
      <c r="BG17" s="493"/>
      <c r="BH17" s="89"/>
      <c r="BI17" s="492"/>
      <c r="BJ17" s="89"/>
      <c r="BK17" s="493"/>
      <c r="BL17" s="89"/>
      <c r="BM17" s="492"/>
      <c r="BN17" s="89"/>
      <c r="BO17" s="493"/>
      <c r="BP17" s="89"/>
      <c r="BQ17" s="492"/>
      <c r="BR17" s="23"/>
      <c r="BS17" s="493"/>
      <c r="BT17" s="23"/>
      <c r="BU17" s="492"/>
      <c r="BV17" s="89"/>
      <c r="BW17" s="493"/>
      <c r="BX17" s="89"/>
      <c r="BY17" s="144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</row>
    <row r="18" spans="1:150" x14ac:dyDescent="0.15">
      <c r="A18" s="525"/>
      <c r="B18" s="79" t="s">
        <v>151</v>
      </c>
      <c r="C18" s="74" t="s">
        <v>26</v>
      </c>
      <c r="D18" s="531">
        <v>2016</v>
      </c>
      <c r="E18" s="22">
        <f t="shared" si="0"/>
        <v>94.8</v>
      </c>
      <c r="F18" s="111"/>
      <c r="G18" s="27" t="str">
        <f>IF('TRA-M'!$A$2-D18&lt;=1,IF(Q18&gt;=$S$3,"YES",IF(Y18&gt;=$AA$3,"YES",IF(OR(AG18&gt;=$AI$3, AJ18&gt;=$AI$3),"YES",""))),"")</f>
        <v/>
      </c>
      <c r="H18" s="7" t="str">
        <f t="shared" si="1"/>
        <v/>
      </c>
      <c r="I18" s="34" t="str">
        <f t="shared" si="2"/>
        <v/>
      </c>
      <c r="J18" s="66" t="str">
        <f t="shared" si="3"/>
        <v/>
      </c>
      <c r="K18" s="526">
        <f t="shared" si="4"/>
        <v>94.8</v>
      </c>
      <c r="L18" s="527">
        <f t="shared" si="5"/>
        <v>0</v>
      </c>
      <c r="M18" s="528">
        <f t="shared" si="6"/>
        <v>0</v>
      </c>
      <c r="N18" s="2" t="str">
        <f t="shared" si="7"/>
        <v/>
      </c>
      <c r="O18" s="522"/>
      <c r="P18" s="523"/>
      <c r="Q18" s="64">
        <f t="shared" si="8"/>
        <v>0</v>
      </c>
      <c r="R18" s="523"/>
      <c r="S18" s="523"/>
      <c r="T18" s="64">
        <f t="shared" si="9"/>
        <v>0</v>
      </c>
      <c r="U18" s="64">
        <f t="shared" si="10"/>
        <v>0</v>
      </c>
      <c r="V18" s="385"/>
      <c r="W18" s="522"/>
      <c r="X18" s="523"/>
      <c r="Y18" s="64">
        <f t="shared" si="11"/>
        <v>0</v>
      </c>
      <c r="Z18" s="523"/>
      <c r="AA18" s="523"/>
      <c r="AB18" s="64">
        <f t="shared" si="12"/>
        <v>0</v>
      </c>
      <c r="AC18" s="64">
        <f t="shared" si="13"/>
        <v>0</v>
      </c>
      <c r="AD18" s="385"/>
      <c r="AE18" s="522">
        <v>35.799999999999997</v>
      </c>
      <c r="AF18" s="104">
        <v>23.2</v>
      </c>
      <c r="AG18" s="64">
        <f t="shared" si="14"/>
        <v>59</v>
      </c>
      <c r="AH18" s="104">
        <v>0</v>
      </c>
      <c r="AI18" s="523">
        <v>35.799999999999997</v>
      </c>
      <c r="AJ18" s="64">
        <f t="shared" si="15"/>
        <v>35.799999999999997</v>
      </c>
      <c r="AK18" s="64">
        <f t="shared" si="16"/>
        <v>94.8</v>
      </c>
      <c r="AL18" s="385">
        <v>7</v>
      </c>
      <c r="AM18" s="56" t="str">
        <f t="shared" si="17"/>
        <v/>
      </c>
      <c r="AN18" s="519" t="str">
        <f t="shared" si="18"/>
        <v/>
      </c>
      <c r="AO18" s="522"/>
      <c r="AP18" s="89"/>
      <c r="AQ18" s="523"/>
      <c r="AR18" s="89"/>
      <c r="AS18" s="522"/>
      <c r="AT18" s="89"/>
      <c r="AU18" s="523"/>
      <c r="AV18" s="89"/>
      <c r="AW18" s="522"/>
      <c r="AX18" s="89"/>
      <c r="AY18" s="523"/>
      <c r="AZ18" s="89"/>
      <c r="BA18" s="522"/>
      <c r="BB18" s="89"/>
      <c r="BC18" s="523"/>
      <c r="BD18" s="89"/>
      <c r="BE18" s="522"/>
      <c r="BF18" s="89"/>
      <c r="BG18" s="523"/>
      <c r="BH18" s="89"/>
      <c r="BI18" s="522"/>
      <c r="BJ18" s="89"/>
      <c r="BK18" s="523"/>
      <c r="BL18" s="89"/>
      <c r="BM18" s="522"/>
      <c r="BN18" s="89"/>
      <c r="BO18" s="523"/>
      <c r="BP18" s="89"/>
      <c r="BQ18" s="522"/>
      <c r="BR18" s="23"/>
      <c r="BS18" s="523"/>
      <c r="BT18" s="23"/>
      <c r="BU18" s="522"/>
      <c r="BV18" s="89"/>
      <c r="BW18" s="523"/>
      <c r="BX18" s="89"/>
      <c r="BY18" s="144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</row>
    <row r="19" spans="1:150" x14ac:dyDescent="0.15">
      <c r="A19" s="525"/>
      <c r="B19" s="79" t="s">
        <v>124</v>
      </c>
      <c r="C19" s="74" t="s">
        <v>26</v>
      </c>
      <c r="D19" s="531">
        <v>2016</v>
      </c>
      <c r="E19" s="22">
        <f t="shared" si="0"/>
        <v>76</v>
      </c>
      <c r="F19" s="111"/>
      <c r="G19" s="27" t="str">
        <f>IF('TRA-M'!$A$2-D19&lt;=1,IF(Q19&gt;=$S$3,"YES",IF(Y19&gt;=$AA$3,"YES",IF(OR(AG19&gt;=$AI$3, AJ19&gt;=$AI$3),"YES",""))),"")</f>
        <v/>
      </c>
      <c r="H19" s="7" t="str">
        <f t="shared" si="1"/>
        <v/>
      </c>
      <c r="I19" s="34" t="str">
        <f t="shared" si="2"/>
        <v/>
      </c>
      <c r="J19" s="66" t="str">
        <f t="shared" si="3"/>
        <v/>
      </c>
      <c r="K19" s="526">
        <f t="shared" si="4"/>
        <v>53.8</v>
      </c>
      <c r="L19" s="527">
        <f t="shared" si="5"/>
        <v>22.2</v>
      </c>
      <c r="M19" s="528">
        <f t="shared" si="6"/>
        <v>0</v>
      </c>
      <c r="N19" s="2" t="str">
        <f t="shared" si="7"/>
        <v/>
      </c>
      <c r="O19" s="522"/>
      <c r="P19" s="523"/>
      <c r="Q19" s="64">
        <f t="shared" si="8"/>
        <v>0</v>
      </c>
      <c r="R19" s="523"/>
      <c r="S19" s="523"/>
      <c r="T19" s="64">
        <f t="shared" si="9"/>
        <v>0</v>
      </c>
      <c r="U19" s="64">
        <f t="shared" si="10"/>
        <v>0</v>
      </c>
      <c r="V19" s="385"/>
      <c r="W19" s="113">
        <v>22.2</v>
      </c>
      <c r="X19" s="104">
        <v>0</v>
      </c>
      <c r="Y19" s="64">
        <f t="shared" si="11"/>
        <v>22.2</v>
      </c>
      <c r="Z19" s="523"/>
      <c r="AA19" s="523"/>
      <c r="AB19" s="64">
        <f t="shared" si="12"/>
        <v>0</v>
      </c>
      <c r="AC19" s="64">
        <f t="shared" si="13"/>
        <v>22.2</v>
      </c>
      <c r="AD19" s="385">
        <v>11</v>
      </c>
      <c r="AE19" s="113">
        <v>22.1</v>
      </c>
      <c r="AF19" s="548">
        <v>31.7</v>
      </c>
      <c r="AG19" s="64">
        <f t="shared" si="14"/>
        <v>53.8</v>
      </c>
      <c r="AH19" s="548"/>
      <c r="AI19" s="523"/>
      <c r="AJ19" s="64">
        <f t="shared" si="15"/>
        <v>0</v>
      </c>
      <c r="AK19" s="64">
        <f t="shared" si="16"/>
        <v>53.8</v>
      </c>
      <c r="AL19" s="385">
        <v>9</v>
      </c>
      <c r="AM19" s="56" t="str">
        <f t="shared" si="17"/>
        <v/>
      </c>
      <c r="AN19" s="519" t="str">
        <f t="shared" si="18"/>
        <v/>
      </c>
      <c r="AO19" s="522"/>
      <c r="AP19" s="89"/>
      <c r="AQ19" s="523"/>
      <c r="AR19" s="89"/>
      <c r="AS19" s="522"/>
      <c r="AT19" s="89"/>
      <c r="AU19" s="523"/>
      <c r="AV19" s="89"/>
      <c r="AW19" s="522"/>
      <c r="AX19" s="89"/>
      <c r="AY19" s="523"/>
      <c r="AZ19" s="89"/>
      <c r="BA19" s="522"/>
      <c r="BB19" s="89"/>
      <c r="BC19" s="523"/>
      <c r="BD19" s="89"/>
      <c r="BE19" s="522"/>
      <c r="BF19" s="89"/>
      <c r="BG19" s="523"/>
      <c r="BH19" s="89"/>
      <c r="BI19" s="522"/>
      <c r="BJ19" s="89"/>
      <c r="BK19" s="523"/>
      <c r="BL19" s="89"/>
      <c r="BM19" s="522"/>
      <c r="BN19" s="89"/>
      <c r="BO19" s="523"/>
      <c r="BP19" s="89"/>
      <c r="BQ19" s="522"/>
      <c r="BR19" s="23"/>
      <c r="BS19" s="523"/>
      <c r="BT19" s="23"/>
      <c r="BU19" s="522"/>
      <c r="BV19" s="89"/>
      <c r="BW19" s="523"/>
      <c r="BX19" s="89"/>
      <c r="BY19" s="144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</row>
    <row r="20" spans="1:150" x14ac:dyDescent="0.15">
      <c r="A20" s="445"/>
      <c r="C20" s="445"/>
      <c r="D20" s="445"/>
      <c r="E20" s="445"/>
      <c r="F20" s="445"/>
      <c r="K20" s="445"/>
      <c r="L20" s="445"/>
      <c r="M20" s="445"/>
      <c r="N20" s="445"/>
      <c r="O20" s="447"/>
      <c r="P20" s="447"/>
      <c r="Q20" s="447"/>
      <c r="R20" s="447"/>
      <c r="S20" s="447"/>
      <c r="T20" s="444"/>
      <c r="U20" s="444"/>
      <c r="W20" s="447"/>
      <c r="X20" s="447"/>
      <c r="Y20" s="447"/>
      <c r="Z20" s="447"/>
      <c r="AA20" s="447"/>
      <c r="AB20" s="444"/>
      <c r="AC20" s="444"/>
      <c r="AE20" s="447"/>
      <c r="AF20" s="447"/>
      <c r="AG20" s="447"/>
      <c r="AH20" s="447"/>
      <c r="AI20" s="447"/>
      <c r="AJ20" s="444"/>
      <c r="AK20" s="444"/>
      <c r="AL20" s="451"/>
      <c r="AM20" s="444"/>
      <c r="AN20" s="444"/>
      <c r="AO20" s="41"/>
      <c r="AP20" s="447"/>
      <c r="AQ20" s="41"/>
      <c r="AR20" s="41"/>
      <c r="AS20" s="41"/>
      <c r="AT20" s="447"/>
      <c r="AU20" s="41"/>
      <c r="AV20" s="41"/>
      <c r="AW20" s="41"/>
      <c r="AX20" s="447"/>
      <c r="AY20" s="41"/>
      <c r="AZ20" s="41"/>
      <c r="BA20" s="41"/>
      <c r="BB20" s="447"/>
      <c r="BC20" s="41"/>
      <c r="BD20" s="41"/>
      <c r="BE20" s="41"/>
      <c r="BF20" s="447"/>
      <c r="BG20" s="41"/>
      <c r="BH20" s="41"/>
      <c r="BI20" s="41"/>
      <c r="BJ20" s="447"/>
      <c r="BK20" s="41"/>
      <c r="BL20" s="41"/>
      <c r="BM20" s="41"/>
      <c r="BN20" s="447"/>
      <c r="BO20" s="41"/>
      <c r="BP20" s="41"/>
      <c r="BU20" s="41"/>
      <c r="BV20" s="447"/>
      <c r="BW20" s="41"/>
      <c r="BX20" s="41"/>
    </row>
    <row r="21" spans="1:150" x14ac:dyDescent="0.15">
      <c r="A21" s="534"/>
      <c r="C21" s="534"/>
      <c r="D21" s="534"/>
      <c r="E21" s="534"/>
      <c r="F21" s="534"/>
      <c r="K21" s="534"/>
      <c r="L21" s="534"/>
      <c r="M21" s="534"/>
      <c r="N21" s="534"/>
      <c r="O21" s="548"/>
      <c r="P21" s="548"/>
      <c r="Q21" s="548"/>
      <c r="R21" s="548"/>
      <c r="S21" s="548"/>
      <c r="T21" s="533"/>
      <c r="U21" s="533"/>
      <c r="V21" s="545"/>
      <c r="W21" s="548"/>
      <c r="X21" s="548"/>
      <c r="Y21" s="548"/>
      <c r="Z21" s="548"/>
      <c r="AA21" s="548"/>
      <c r="AB21" s="533"/>
      <c r="AC21" s="533"/>
      <c r="AD21" s="545"/>
      <c r="AE21" s="548"/>
      <c r="AF21" s="548"/>
      <c r="AG21" s="548"/>
      <c r="AH21" s="548"/>
      <c r="AI21" s="548"/>
      <c r="AJ21" s="533"/>
      <c r="AK21" s="533"/>
      <c r="AL21" s="545"/>
      <c r="AM21" s="533"/>
      <c r="AN21" s="533"/>
      <c r="AO21" s="41"/>
      <c r="AP21" s="548"/>
      <c r="AQ21" s="41"/>
      <c r="AR21" s="41"/>
      <c r="AS21" s="41"/>
      <c r="AT21" s="548"/>
      <c r="AU21" s="41"/>
      <c r="AV21" s="41"/>
      <c r="AW21" s="41"/>
      <c r="AX21" s="548"/>
      <c r="AY21" s="41"/>
      <c r="AZ21" s="41"/>
      <c r="BA21" s="41"/>
      <c r="BB21" s="548"/>
      <c r="BC21" s="41"/>
      <c r="BD21" s="41"/>
      <c r="BE21" s="41"/>
      <c r="BF21" s="548"/>
      <c r="BG21" s="41"/>
      <c r="BH21" s="41"/>
      <c r="BI21" s="41"/>
      <c r="BJ21" s="548"/>
      <c r="BK21" s="41"/>
      <c r="BL21" s="41"/>
      <c r="BM21" s="41"/>
      <c r="BN21" s="548"/>
      <c r="BO21" s="41"/>
      <c r="BP21" s="41"/>
      <c r="BU21" s="41"/>
      <c r="BV21" s="548"/>
      <c r="BW21" s="41"/>
      <c r="BX21" s="41"/>
    </row>
    <row r="22" spans="1:150" x14ac:dyDescent="0.15">
      <c r="A22" s="445"/>
      <c r="C22" s="445"/>
      <c r="D22" s="445"/>
      <c r="E22" s="445"/>
      <c r="F22" s="445"/>
      <c r="K22" s="445"/>
      <c r="L22" s="445"/>
      <c r="M22" s="445"/>
      <c r="N22" s="445"/>
      <c r="O22" s="447"/>
      <c r="P22" s="447"/>
      <c r="Q22" s="447"/>
      <c r="R22" s="447"/>
      <c r="S22" s="447"/>
      <c r="T22" s="444"/>
      <c r="U22" s="444"/>
      <c r="W22" s="447"/>
      <c r="X22" s="447"/>
      <c r="Y22" s="447"/>
      <c r="Z22" s="447"/>
      <c r="AA22" s="447"/>
      <c r="AB22" s="444"/>
      <c r="AC22" s="444"/>
      <c r="AE22" s="447"/>
      <c r="AF22" s="447"/>
      <c r="AG22" s="447"/>
      <c r="AH22" s="447"/>
      <c r="AI22" s="447"/>
      <c r="AJ22" s="444"/>
      <c r="AK22" s="444"/>
      <c r="AL22" s="451"/>
      <c r="AM22" s="444"/>
      <c r="AN22" s="444"/>
      <c r="AO22" s="41"/>
      <c r="AP22" s="447"/>
      <c r="AQ22" s="41"/>
      <c r="AR22" s="41"/>
      <c r="AS22" s="41"/>
      <c r="AT22" s="447"/>
      <c r="AU22" s="41"/>
      <c r="AV22" s="41"/>
      <c r="AW22" s="41"/>
      <c r="AX22" s="447"/>
      <c r="AY22" s="41"/>
      <c r="AZ22" s="41"/>
      <c r="BA22" s="41"/>
      <c r="BB22" s="447"/>
      <c r="BC22" s="41"/>
      <c r="BD22" s="41"/>
      <c r="BE22" s="41"/>
      <c r="BF22" s="447"/>
      <c r="BG22" s="41"/>
      <c r="BH22" s="41"/>
      <c r="BI22" s="41"/>
      <c r="BJ22" s="447"/>
      <c r="BK22" s="41"/>
      <c r="BL22" s="41"/>
      <c r="BM22" s="41"/>
      <c r="BN22" s="447"/>
      <c r="BO22" s="41"/>
      <c r="BP22" s="41"/>
      <c r="BU22" s="41"/>
      <c r="BV22" s="447"/>
      <c r="BW22" s="41"/>
      <c r="BX22" s="41"/>
    </row>
    <row r="23" spans="1:150" x14ac:dyDescent="0.15">
      <c r="A23" s="297"/>
      <c r="C23" s="297"/>
      <c r="D23" s="297"/>
      <c r="E23" s="297"/>
      <c r="F23" s="297"/>
      <c r="K23" s="297"/>
      <c r="L23" s="297"/>
      <c r="M23" s="297"/>
      <c r="N23" s="297"/>
      <c r="O23" s="447"/>
      <c r="P23" s="447"/>
      <c r="Q23" s="447"/>
      <c r="R23" s="447"/>
      <c r="S23" s="447"/>
      <c r="T23" s="444"/>
      <c r="U23" s="444"/>
      <c r="W23" s="447"/>
      <c r="X23" s="447"/>
      <c r="Y23" s="447"/>
      <c r="Z23" s="447"/>
      <c r="AA23" s="447"/>
      <c r="AB23" s="444"/>
      <c r="AC23" s="444"/>
      <c r="AE23" s="301"/>
      <c r="AF23" s="301"/>
      <c r="AG23" s="301"/>
      <c r="AH23" s="301"/>
      <c r="AI23" s="301"/>
      <c r="AJ23" s="296"/>
      <c r="AK23" s="296"/>
      <c r="AL23" s="300"/>
      <c r="AM23" s="296"/>
      <c r="AN23" s="296"/>
      <c r="AO23" s="41"/>
      <c r="AP23" s="354"/>
      <c r="AQ23" s="41"/>
      <c r="AR23" s="41"/>
      <c r="AS23" s="41"/>
      <c r="AT23" s="354"/>
      <c r="AU23" s="41"/>
      <c r="AV23" s="41"/>
      <c r="AW23" s="41"/>
      <c r="AX23" s="354"/>
      <c r="AY23" s="41"/>
      <c r="AZ23" s="41"/>
      <c r="BA23" s="41"/>
      <c r="BB23" s="354"/>
      <c r="BC23" s="41"/>
      <c r="BD23" s="41"/>
      <c r="BE23" s="41"/>
      <c r="BF23" s="301"/>
      <c r="BG23" s="41"/>
      <c r="BH23" s="41"/>
      <c r="BI23" s="41"/>
      <c r="BJ23" s="301"/>
      <c r="BK23" s="41"/>
      <c r="BL23" s="41"/>
      <c r="BM23" s="41"/>
      <c r="BN23" s="301"/>
      <c r="BO23" s="41"/>
      <c r="BP23" s="41"/>
      <c r="BU23" s="41"/>
      <c r="BV23" s="301"/>
      <c r="BW23" s="41"/>
      <c r="BX23" s="41"/>
    </row>
    <row r="24" spans="1:150" x14ac:dyDescent="0.15">
      <c r="A24" s="271"/>
      <c r="C24" s="271"/>
      <c r="D24" s="271"/>
      <c r="E24" s="271"/>
      <c r="F24" s="271"/>
      <c r="K24" s="271"/>
      <c r="L24" s="271"/>
      <c r="M24" s="271"/>
      <c r="N24" s="271"/>
      <c r="O24" s="452"/>
      <c r="P24" s="452"/>
      <c r="Q24" s="452"/>
      <c r="R24" s="452"/>
      <c r="S24" s="452"/>
      <c r="W24" s="452"/>
      <c r="X24" s="452"/>
      <c r="Y24" s="452"/>
      <c r="Z24" s="452"/>
      <c r="AA24" s="452"/>
      <c r="AE24" s="275"/>
      <c r="AF24" s="275"/>
      <c r="AG24" s="275"/>
      <c r="AH24" s="275"/>
      <c r="AI24" s="275"/>
      <c r="AJ24" s="274"/>
      <c r="AK24" s="274"/>
      <c r="AL24" s="274"/>
      <c r="AM24" s="270"/>
      <c r="AN24" s="270"/>
      <c r="AO24" s="41"/>
      <c r="AP24" s="354"/>
      <c r="AQ24" s="41"/>
      <c r="AR24" s="41"/>
      <c r="AS24" s="41"/>
      <c r="AT24" s="354"/>
      <c r="AU24" s="41"/>
      <c r="AV24" s="41"/>
      <c r="AW24" s="41"/>
      <c r="AX24" s="354"/>
      <c r="AY24" s="41"/>
      <c r="AZ24" s="41"/>
      <c r="BA24" s="41"/>
      <c r="BB24" s="354"/>
      <c r="BC24" s="41"/>
      <c r="BD24" s="41"/>
      <c r="BE24" s="41"/>
      <c r="BF24" s="272"/>
      <c r="BG24" s="41"/>
      <c r="BH24" s="41"/>
      <c r="BI24" s="41"/>
      <c r="BJ24" s="272"/>
      <c r="BK24" s="41"/>
      <c r="BL24" s="41"/>
      <c r="BM24" s="41"/>
      <c r="BN24" s="272"/>
      <c r="BO24" s="41"/>
      <c r="BP24" s="41"/>
      <c r="BU24" s="41"/>
      <c r="BV24" s="272"/>
      <c r="BW24" s="41"/>
      <c r="BX24" s="41"/>
    </row>
    <row r="25" spans="1:150" x14ac:dyDescent="0.15">
      <c r="B25" s="121" t="s">
        <v>73</v>
      </c>
      <c r="C25" s="271"/>
      <c r="D25" s="271"/>
      <c r="E25" s="271"/>
      <c r="AO25" s="41"/>
      <c r="AP25" s="356"/>
      <c r="AQ25" s="41"/>
      <c r="AR25" s="41"/>
      <c r="AS25" s="41"/>
      <c r="AT25" s="356"/>
      <c r="AU25" s="41"/>
      <c r="AV25" s="41"/>
      <c r="AW25" s="41"/>
      <c r="AX25" s="356"/>
      <c r="AY25" s="41"/>
      <c r="AZ25" s="41"/>
      <c r="BA25" s="41"/>
      <c r="BB25" s="356"/>
      <c r="BC25" s="41"/>
      <c r="BD25" s="41"/>
      <c r="BE25" s="41"/>
      <c r="BF25" s="238"/>
      <c r="BG25" s="41"/>
      <c r="BH25" s="41"/>
      <c r="BI25" s="41"/>
      <c r="BJ25" s="46"/>
      <c r="BK25" s="41"/>
      <c r="BL25" s="41"/>
      <c r="BM25" s="41"/>
      <c r="BN25" s="46"/>
      <c r="BO25" s="41"/>
      <c r="BP25" s="41"/>
      <c r="BU25" s="41"/>
      <c r="BV25" s="46"/>
      <c r="BW25" s="41"/>
      <c r="BX25" s="41"/>
    </row>
    <row r="26" spans="1:150" x14ac:dyDescent="0.15">
      <c r="B26" s="106" t="s">
        <v>91</v>
      </c>
      <c r="C26" s="107"/>
      <c r="D26" s="107"/>
      <c r="E26" s="107"/>
      <c r="F26" s="107"/>
      <c r="G26" s="107"/>
      <c r="H26" s="108"/>
      <c r="I26" s="109"/>
      <c r="J26" s="148"/>
      <c r="K26" s="184"/>
      <c r="AP26" s="354"/>
      <c r="AS26" s="354"/>
      <c r="AT26" s="354"/>
      <c r="AU26" s="354"/>
      <c r="AV26" s="354"/>
      <c r="AX26" s="354"/>
      <c r="BB26" s="354"/>
      <c r="BF26" s="44"/>
      <c r="BJ26" s="44"/>
    </row>
    <row r="27" spans="1:150" x14ac:dyDescent="0.15">
      <c r="B27" s="40" t="s">
        <v>57</v>
      </c>
      <c r="AP27" s="354"/>
      <c r="AT27" s="354"/>
      <c r="AX27" s="354"/>
      <c r="BB27" s="354"/>
      <c r="BF27" s="44"/>
      <c r="BJ27" s="44"/>
    </row>
    <row r="28" spans="1:150" x14ac:dyDescent="0.15">
      <c r="A28" s="379"/>
      <c r="B28" s="390" t="s">
        <v>90</v>
      </c>
      <c r="C28" s="391"/>
      <c r="D28" s="391"/>
      <c r="E28" s="391"/>
      <c r="F28" s="392"/>
      <c r="G28" s="391"/>
      <c r="H28" s="393"/>
      <c r="I28" s="391"/>
      <c r="J28" s="391"/>
      <c r="K28" s="394"/>
      <c r="L28" s="395"/>
      <c r="M28" s="396"/>
      <c r="N28" s="379"/>
      <c r="O28" s="443"/>
      <c r="P28" s="443"/>
      <c r="Q28" s="443"/>
      <c r="R28" s="443"/>
      <c r="S28" s="443"/>
      <c r="T28" s="443"/>
      <c r="U28" s="443"/>
      <c r="V28" s="443"/>
      <c r="W28" s="443"/>
      <c r="X28" s="443"/>
      <c r="Y28" s="443"/>
      <c r="Z28" s="443"/>
      <c r="AA28" s="443"/>
      <c r="AB28" s="443"/>
      <c r="AC28" s="443"/>
      <c r="AD28" s="443"/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380"/>
      <c r="AP28" s="380"/>
      <c r="AQ28" s="381"/>
      <c r="AR28" s="127"/>
      <c r="AS28" s="127"/>
      <c r="AT28" s="127"/>
      <c r="AU28" s="381"/>
      <c r="AV28" s="127"/>
      <c r="AW28" s="127"/>
      <c r="AX28" s="127"/>
      <c r="AY28" s="381"/>
      <c r="AZ28" s="127"/>
      <c r="BA28" s="127"/>
      <c r="BB28" s="127"/>
      <c r="BC28" s="127"/>
      <c r="BD28" s="127"/>
      <c r="BE28" s="127"/>
      <c r="BF28" s="381"/>
      <c r="BG28" s="127"/>
      <c r="BH28" s="127"/>
      <c r="BI28" s="127"/>
      <c r="BJ28" s="127"/>
      <c r="BK28" s="127"/>
      <c r="BL28" s="127"/>
      <c r="BM28" s="381"/>
      <c r="BN28" s="127"/>
      <c r="BO28" s="127"/>
      <c r="BP28" s="127"/>
      <c r="BQ28" s="127"/>
      <c r="BR28" s="127"/>
      <c r="BS28" s="127"/>
      <c r="BT28" s="381"/>
      <c r="BU28" s="127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0"/>
      <c r="CR28" s="150"/>
      <c r="CS28" s="150"/>
      <c r="CT28" s="150"/>
      <c r="CU28" s="150"/>
      <c r="CV28" s="150"/>
      <c r="CW28" s="150"/>
      <c r="CX28" s="150"/>
      <c r="CY28" s="150"/>
      <c r="CZ28" s="150"/>
      <c r="DA28" s="150"/>
      <c r="DB28" s="150"/>
      <c r="DC28" s="150"/>
      <c r="DD28" s="150"/>
      <c r="DE28" s="150"/>
      <c r="DF28" s="150"/>
      <c r="DG28" s="150"/>
      <c r="DH28" s="150"/>
      <c r="DI28" s="150"/>
      <c r="DJ28" s="150"/>
      <c r="DK28" s="150"/>
      <c r="DL28" s="150"/>
      <c r="DM28" s="150"/>
      <c r="DN28" s="150"/>
      <c r="DO28" s="150"/>
      <c r="DP28" s="150"/>
      <c r="DQ28" s="150"/>
      <c r="DR28" s="150"/>
      <c r="DS28" s="150"/>
      <c r="DT28" s="150"/>
      <c r="DU28" s="150"/>
      <c r="DV28" s="150"/>
      <c r="DW28" s="150"/>
      <c r="DX28" s="150"/>
      <c r="DY28" s="150"/>
      <c r="DZ28" s="150"/>
      <c r="EA28" s="150"/>
      <c r="EB28" s="150"/>
      <c r="EC28" s="150"/>
      <c r="ED28" s="150"/>
      <c r="EE28" s="150"/>
      <c r="EF28" s="150"/>
      <c r="EG28" s="150"/>
      <c r="EH28" s="150"/>
      <c r="EI28" s="150"/>
      <c r="EJ28" s="150"/>
      <c r="EK28" s="150"/>
      <c r="EL28" s="150"/>
      <c r="EM28" s="150"/>
      <c r="EN28" s="150"/>
      <c r="EO28" s="150"/>
      <c r="EP28" s="150"/>
      <c r="EQ28" s="150"/>
      <c r="ER28" s="150"/>
      <c r="ES28" s="150"/>
      <c r="ET28" s="150"/>
    </row>
    <row r="29" spans="1:150" x14ac:dyDescent="0.15">
      <c r="B29" s="40" t="s">
        <v>56</v>
      </c>
      <c r="AP29" s="354"/>
      <c r="AT29" s="354"/>
      <c r="AX29" s="354"/>
      <c r="BB29" s="354"/>
      <c r="BF29" s="44"/>
      <c r="BJ29" s="44"/>
    </row>
  </sheetData>
  <sortState ref="A7:ET20">
    <sortCondition descending="1" ref="F7:F20"/>
    <sortCondition descending="1" ref="H7:H20"/>
    <sortCondition descending="1" ref="E7:E20"/>
  </sortState>
  <mergeCells count="35">
    <mergeCell ref="BQ2:BT2"/>
    <mergeCell ref="BQ3:BT3"/>
    <mergeCell ref="BM1:BP1"/>
    <mergeCell ref="BM2:BP2"/>
    <mergeCell ref="BM3:BP3"/>
    <mergeCell ref="K1:M1"/>
    <mergeCell ref="O1:V1"/>
    <mergeCell ref="K2:M2"/>
    <mergeCell ref="O2:V2"/>
    <mergeCell ref="W2:AD2"/>
    <mergeCell ref="W1:AD1"/>
    <mergeCell ref="AE1:AL1"/>
    <mergeCell ref="AS1:AV1"/>
    <mergeCell ref="AO1:AR1"/>
    <mergeCell ref="AW1:AZ1"/>
    <mergeCell ref="AS2:AV2"/>
    <mergeCell ref="AO2:AR2"/>
    <mergeCell ref="AE2:AL2"/>
    <mergeCell ref="AW2:AZ2"/>
    <mergeCell ref="BU1:BX1"/>
    <mergeCell ref="BU2:BX2"/>
    <mergeCell ref="BU3:BX3"/>
    <mergeCell ref="AO3:AR3"/>
    <mergeCell ref="BA1:BD1"/>
    <mergeCell ref="BE1:BH1"/>
    <mergeCell ref="AW3:AZ3"/>
    <mergeCell ref="BA2:BD2"/>
    <mergeCell ref="BA3:BD3"/>
    <mergeCell ref="BE2:BH2"/>
    <mergeCell ref="BE3:BH3"/>
    <mergeCell ref="AS3:AV3"/>
    <mergeCell ref="BI1:BL1"/>
    <mergeCell ref="BI2:BL2"/>
    <mergeCell ref="BI3:BL3"/>
    <mergeCell ref="BQ1:BT1"/>
  </mergeCells>
  <phoneticPr fontId="0" type="noConversion"/>
  <pageMargins left="0.6692913385826772" right="0.6692913385826772" top="0.78740157480314965" bottom="0.78740157480314965" header="0.51181102362204722" footer="0.51181102362204722"/>
  <pageSetup scale="45" orientation="landscape" r:id="rId1"/>
  <headerFooter alignWithMargins="0">
    <oddHeader>&amp;L&amp;A&amp;R&amp;F</oddHeader>
    <oddFooter>&amp;CPage &amp;P</oddFooter>
  </headerFooter>
  <colBreaks count="2" manualBreakCount="2">
    <brk id="22" max="29" man="1"/>
    <brk id="48" max="2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T29"/>
  <sheetViews>
    <sheetView view="pageBreakPreview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ColWidth="9.1640625" defaultRowHeight="13" x14ac:dyDescent="0.15"/>
  <cols>
    <col min="1" max="1" width="5.6640625" style="11" customWidth="1"/>
    <col min="2" max="2" width="25.6640625" style="13" customWidth="1"/>
    <col min="3" max="4" width="7.6640625" style="11" customWidth="1"/>
    <col min="5" max="6" width="8.6640625" style="11" customWidth="1"/>
    <col min="7" max="7" width="8.6640625" style="28" customWidth="1"/>
    <col min="8" max="8" width="8.6640625" style="31" customWidth="1"/>
    <col min="9" max="10" width="8.6640625" style="26" customWidth="1"/>
    <col min="11" max="14" width="8.6640625" style="11" customWidth="1"/>
    <col min="15" max="30" width="8.6640625" style="451" customWidth="1"/>
    <col min="31" max="38" width="8.6640625" style="4" customWidth="1"/>
    <col min="39" max="40" width="18.5" style="8" customWidth="1"/>
    <col min="41" max="43" width="9.1640625" style="451" customWidth="1"/>
    <col min="44" max="44" width="9.1640625" style="13"/>
    <col min="45" max="48" width="8.83203125" style="444" customWidth="1"/>
    <col min="49" max="51" width="9.1640625" style="351" customWidth="1"/>
    <col min="52" max="52" width="9.1640625" style="13"/>
    <col min="53" max="56" width="8.83203125" style="346" customWidth="1"/>
    <col min="57" max="59" width="9.1640625" style="338" customWidth="1"/>
    <col min="60" max="60" width="9.1640625" style="13"/>
    <col min="61" max="64" width="8.83203125" style="335" customWidth="1"/>
    <col min="65" max="68" width="8.83203125" style="8" customWidth="1"/>
    <col min="69" max="16384" width="9.1640625" style="13"/>
  </cols>
  <sheetData>
    <row r="1" spans="1:76" customFormat="1" x14ac:dyDescent="0.15">
      <c r="A1" s="20"/>
      <c r="B1" s="17" t="s">
        <v>19</v>
      </c>
      <c r="C1" s="17"/>
      <c r="D1" s="17"/>
      <c r="E1" s="38"/>
      <c r="F1" s="18"/>
      <c r="G1" s="28"/>
      <c r="H1" s="29"/>
      <c r="I1" s="37"/>
      <c r="J1" s="37"/>
      <c r="K1" s="591" t="s">
        <v>12</v>
      </c>
      <c r="L1" s="592"/>
      <c r="M1" s="593"/>
      <c r="N1" s="4"/>
      <c r="O1" s="575" t="s">
        <v>113</v>
      </c>
      <c r="P1" s="576"/>
      <c r="Q1" s="576"/>
      <c r="R1" s="576"/>
      <c r="S1" s="576"/>
      <c r="T1" s="576"/>
      <c r="U1" s="576"/>
      <c r="V1" s="577"/>
      <c r="W1" s="575" t="s">
        <v>115</v>
      </c>
      <c r="X1" s="576"/>
      <c r="Y1" s="576"/>
      <c r="Z1" s="576"/>
      <c r="AA1" s="576"/>
      <c r="AB1" s="576"/>
      <c r="AC1" s="576"/>
      <c r="AD1" s="577"/>
      <c r="AE1" s="575" t="s">
        <v>138</v>
      </c>
      <c r="AF1" s="576"/>
      <c r="AG1" s="576"/>
      <c r="AH1" s="576"/>
      <c r="AI1" s="576"/>
      <c r="AJ1" s="576"/>
      <c r="AK1" s="576"/>
      <c r="AL1" s="577"/>
      <c r="AM1" s="55" t="s">
        <v>16</v>
      </c>
      <c r="AN1" s="8" t="s">
        <v>10</v>
      </c>
      <c r="AO1" s="575" t="s">
        <v>104</v>
      </c>
      <c r="AP1" s="576"/>
      <c r="AQ1" s="576"/>
      <c r="AR1" s="576"/>
      <c r="AS1" s="575" t="s">
        <v>107</v>
      </c>
      <c r="AT1" s="576"/>
      <c r="AU1" s="576"/>
      <c r="AV1" s="576"/>
      <c r="AW1" s="575" t="s">
        <v>107</v>
      </c>
      <c r="AX1" s="576"/>
      <c r="AY1" s="576"/>
      <c r="AZ1" s="576"/>
      <c r="BA1" s="575"/>
      <c r="BB1" s="576"/>
      <c r="BC1" s="576"/>
      <c r="BD1" s="576"/>
      <c r="BE1" s="587"/>
      <c r="BF1" s="588"/>
      <c r="BG1" s="588"/>
      <c r="BH1" s="588"/>
      <c r="BI1" s="587"/>
      <c r="BJ1" s="588"/>
      <c r="BK1" s="588"/>
      <c r="BL1" s="588"/>
      <c r="BM1" s="575"/>
      <c r="BN1" s="576"/>
      <c r="BO1" s="576"/>
      <c r="BP1" s="576"/>
      <c r="BQ1" s="575"/>
      <c r="BR1" s="592"/>
      <c r="BS1" s="592"/>
      <c r="BT1" s="593"/>
      <c r="BU1" s="575"/>
      <c r="BV1" s="576"/>
      <c r="BW1" s="576"/>
      <c r="BX1" s="577"/>
    </row>
    <row r="2" spans="1:76" customFormat="1" x14ac:dyDescent="0.15">
      <c r="A2" s="1"/>
      <c r="B2" s="18" t="s">
        <v>21</v>
      </c>
      <c r="C2" s="18"/>
      <c r="D2" s="18"/>
      <c r="E2" s="38"/>
      <c r="F2" s="18"/>
      <c r="G2" s="36"/>
      <c r="H2" s="18">
        <v>233.8</v>
      </c>
      <c r="I2" s="91">
        <v>237.3</v>
      </c>
      <c r="J2" s="18">
        <v>240.8</v>
      </c>
      <c r="K2" s="591" t="s">
        <v>11</v>
      </c>
      <c r="L2" s="592"/>
      <c r="M2" s="593"/>
      <c r="N2" s="4"/>
      <c r="O2" s="575" t="s">
        <v>100</v>
      </c>
      <c r="P2" s="592"/>
      <c r="Q2" s="592"/>
      <c r="R2" s="592"/>
      <c r="S2" s="592"/>
      <c r="T2" s="592"/>
      <c r="U2" s="592"/>
      <c r="V2" s="593"/>
      <c r="W2" s="575" t="s">
        <v>116</v>
      </c>
      <c r="X2" s="592"/>
      <c r="Y2" s="592"/>
      <c r="Z2" s="592"/>
      <c r="AA2" s="592"/>
      <c r="AB2" s="592"/>
      <c r="AC2" s="592"/>
      <c r="AD2" s="593"/>
      <c r="AE2" s="575" t="s">
        <v>139</v>
      </c>
      <c r="AF2" s="592"/>
      <c r="AG2" s="592"/>
      <c r="AH2" s="592"/>
      <c r="AI2" s="592"/>
      <c r="AJ2" s="592"/>
      <c r="AK2" s="592"/>
      <c r="AL2" s="593"/>
      <c r="AM2" s="55" t="s">
        <v>17</v>
      </c>
      <c r="AN2" s="8" t="s">
        <v>11</v>
      </c>
      <c r="AO2" s="587" t="s">
        <v>100</v>
      </c>
      <c r="AP2" s="588"/>
      <c r="AQ2" s="588"/>
      <c r="AR2" s="589"/>
      <c r="AS2" s="587" t="s">
        <v>108</v>
      </c>
      <c r="AT2" s="588"/>
      <c r="AU2" s="588"/>
      <c r="AV2" s="589"/>
      <c r="AW2" s="587" t="s">
        <v>108</v>
      </c>
      <c r="AX2" s="588"/>
      <c r="AY2" s="588"/>
      <c r="AZ2" s="589"/>
      <c r="BA2" s="587"/>
      <c r="BB2" s="588"/>
      <c r="BC2" s="588"/>
      <c r="BD2" s="589"/>
      <c r="BE2" s="587"/>
      <c r="BF2" s="588"/>
      <c r="BG2" s="588"/>
      <c r="BH2" s="589"/>
      <c r="BI2" s="587"/>
      <c r="BJ2" s="588"/>
      <c r="BK2" s="588"/>
      <c r="BL2" s="589"/>
      <c r="BM2" s="587"/>
      <c r="BN2" s="588"/>
      <c r="BO2" s="588"/>
      <c r="BP2" s="589"/>
      <c r="BQ2" s="575"/>
      <c r="BR2" s="592"/>
      <c r="BS2" s="592"/>
      <c r="BT2" s="593"/>
      <c r="BU2" s="575"/>
      <c r="BV2" s="576"/>
      <c r="BW2" s="576"/>
      <c r="BX2" s="577"/>
    </row>
    <row r="3" spans="1:76" customFormat="1" x14ac:dyDescent="0.15">
      <c r="A3" s="1"/>
      <c r="B3" s="17" t="s">
        <v>28</v>
      </c>
      <c r="C3" s="17"/>
      <c r="D3" s="17"/>
      <c r="E3" s="38"/>
      <c r="F3" s="18"/>
      <c r="G3" s="36"/>
      <c r="H3" s="30"/>
      <c r="I3" s="25"/>
      <c r="J3" s="25"/>
      <c r="K3" s="10"/>
      <c r="L3" s="11"/>
      <c r="M3" s="12"/>
      <c r="N3" s="1"/>
      <c r="O3" s="522"/>
      <c r="P3" s="523"/>
      <c r="Q3" s="523"/>
      <c r="R3" s="523"/>
      <c r="S3" s="81">
        <v>65.599999999999994</v>
      </c>
      <c r="T3" s="82">
        <v>66.8</v>
      </c>
      <c r="U3" s="83">
        <v>67.8</v>
      </c>
      <c r="V3" s="84">
        <v>68.8</v>
      </c>
      <c r="W3" s="522"/>
      <c r="X3" s="523"/>
      <c r="Y3" s="523"/>
      <c r="Z3" s="523"/>
      <c r="AA3" s="81">
        <v>65.599999999999994</v>
      </c>
      <c r="AB3" s="82">
        <v>66.8</v>
      </c>
      <c r="AC3" s="83">
        <v>67.8</v>
      </c>
      <c r="AD3" s="84">
        <v>68.8</v>
      </c>
      <c r="AE3" s="43"/>
      <c r="AF3" s="44"/>
      <c r="AG3" s="44"/>
      <c r="AH3" s="44"/>
      <c r="AI3" s="81">
        <v>65.599999999999994</v>
      </c>
      <c r="AJ3" s="82">
        <v>66.8</v>
      </c>
      <c r="AK3" s="83">
        <v>67.8</v>
      </c>
      <c r="AL3" s="84">
        <v>68.8</v>
      </c>
      <c r="AM3" s="55"/>
      <c r="AN3" s="8"/>
      <c r="AO3" s="584" t="s">
        <v>77</v>
      </c>
      <c r="AP3" s="585"/>
      <c r="AQ3" s="585"/>
      <c r="AR3" s="586"/>
      <c r="AS3" s="584"/>
      <c r="AT3" s="585"/>
      <c r="AU3" s="585"/>
      <c r="AV3" s="586"/>
      <c r="AW3" s="584" t="s">
        <v>109</v>
      </c>
      <c r="AX3" s="585"/>
      <c r="AY3" s="585"/>
      <c r="AZ3" s="586"/>
      <c r="BA3" s="584"/>
      <c r="BB3" s="585"/>
      <c r="BC3" s="585"/>
      <c r="BD3" s="586"/>
      <c r="BE3" s="598"/>
      <c r="BF3" s="599"/>
      <c r="BG3" s="599"/>
      <c r="BH3" s="600"/>
      <c r="BI3" s="598"/>
      <c r="BJ3" s="599"/>
      <c r="BK3" s="599"/>
      <c r="BL3" s="600"/>
      <c r="BM3" s="584"/>
      <c r="BN3" s="585"/>
      <c r="BO3" s="585"/>
      <c r="BP3" s="586"/>
      <c r="BQ3" s="584"/>
      <c r="BR3" s="585"/>
      <c r="BS3" s="585"/>
      <c r="BT3" s="586"/>
      <c r="BU3" s="584"/>
      <c r="BV3" s="585"/>
      <c r="BW3" s="585"/>
      <c r="BX3" s="586"/>
    </row>
    <row r="4" spans="1:76" customFormat="1" x14ac:dyDescent="0.15">
      <c r="A4" s="1"/>
      <c r="B4" s="17" t="s">
        <v>20</v>
      </c>
      <c r="C4" s="17"/>
      <c r="D4" s="24" t="s">
        <v>44</v>
      </c>
      <c r="E4" s="10" t="s">
        <v>8</v>
      </c>
      <c r="F4" s="105" t="s">
        <v>46</v>
      </c>
      <c r="G4" s="28" t="s">
        <v>34</v>
      </c>
      <c r="H4" s="29" t="s">
        <v>9</v>
      </c>
      <c r="I4" s="37" t="s">
        <v>14</v>
      </c>
      <c r="J4" s="65" t="s">
        <v>43</v>
      </c>
      <c r="K4" s="10" t="s">
        <v>4</v>
      </c>
      <c r="L4" s="11" t="s">
        <v>4</v>
      </c>
      <c r="M4" s="12" t="s">
        <v>4</v>
      </c>
      <c r="N4" s="1" t="s">
        <v>4</v>
      </c>
      <c r="O4" s="522"/>
      <c r="P4" s="523"/>
      <c r="Q4" s="523"/>
      <c r="R4" s="523"/>
      <c r="S4" s="80" t="s">
        <v>34</v>
      </c>
      <c r="T4" s="85" t="s">
        <v>9</v>
      </c>
      <c r="U4" s="86" t="s">
        <v>14</v>
      </c>
      <c r="V4" s="84" t="s">
        <v>43</v>
      </c>
      <c r="W4" s="522"/>
      <c r="X4" s="523"/>
      <c r="Y4" s="523"/>
      <c r="Z4" s="523"/>
      <c r="AA4" s="80" t="s">
        <v>34</v>
      </c>
      <c r="AB4" s="85" t="s">
        <v>9</v>
      </c>
      <c r="AC4" s="86" t="s">
        <v>14</v>
      </c>
      <c r="AD4" s="84" t="s">
        <v>43</v>
      </c>
      <c r="AE4" s="43"/>
      <c r="AF4" s="44"/>
      <c r="AG4" s="44"/>
      <c r="AH4" s="44"/>
      <c r="AI4" s="80" t="s">
        <v>34</v>
      </c>
      <c r="AJ4" s="85" t="s">
        <v>9</v>
      </c>
      <c r="AK4" s="86" t="s">
        <v>14</v>
      </c>
      <c r="AL4" s="84" t="s">
        <v>43</v>
      </c>
      <c r="AM4" s="55" t="s">
        <v>4</v>
      </c>
      <c r="AN4" s="8" t="s">
        <v>4</v>
      </c>
      <c r="AO4" s="526"/>
      <c r="AP4" s="527"/>
      <c r="AQ4" s="519"/>
      <c r="AR4" s="528"/>
      <c r="AS4" s="526"/>
      <c r="AT4" s="527"/>
      <c r="AU4" s="519"/>
      <c r="AV4" s="528"/>
      <c r="AW4" s="518"/>
      <c r="AX4" s="519"/>
      <c r="AY4" s="519"/>
      <c r="AZ4" s="519"/>
      <c r="BA4" s="345"/>
      <c r="BB4" s="346"/>
      <c r="BC4" s="346"/>
      <c r="BD4" s="346"/>
      <c r="BE4" s="353"/>
      <c r="BF4" s="354"/>
      <c r="BG4" s="354"/>
      <c r="BH4" s="355"/>
      <c r="BI4" s="353"/>
      <c r="BJ4" s="354"/>
      <c r="BK4" s="354"/>
      <c r="BL4" s="354"/>
      <c r="BM4" s="15"/>
      <c r="BN4" s="8"/>
      <c r="BO4" s="8"/>
      <c r="BP4" s="8"/>
      <c r="BQ4" s="3"/>
      <c r="BR4" s="4"/>
      <c r="BS4" s="8"/>
      <c r="BT4" s="5"/>
      <c r="BX4" s="51"/>
    </row>
    <row r="5" spans="1:76" customFormat="1" x14ac:dyDescent="0.15">
      <c r="A5" s="1"/>
      <c r="B5" s="19" t="str">
        <f>+'TRA-M'!$A$1</f>
        <v>JUNE 2016</v>
      </c>
      <c r="C5" s="21" t="s">
        <v>23</v>
      </c>
      <c r="D5" s="21" t="s">
        <v>45</v>
      </c>
      <c r="E5" s="10" t="s">
        <v>7</v>
      </c>
      <c r="F5" s="105">
        <v>11.6</v>
      </c>
      <c r="G5" s="28" t="s">
        <v>13</v>
      </c>
      <c r="H5" s="29" t="s">
        <v>13</v>
      </c>
      <c r="I5" s="37" t="s">
        <v>13</v>
      </c>
      <c r="J5" s="65" t="s">
        <v>13</v>
      </c>
      <c r="K5" s="10" t="s">
        <v>8</v>
      </c>
      <c r="L5" s="11" t="s">
        <v>41</v>
      </c>
      <c r="M5" s="12" t="s">
        <v>36</v>
      </c>
      <c r="N5" s="1" t="s">
        <v>15</v>
      </c>
      <c r="O5" s="522" t="s">
        <v>29</v>
      </c>
      <c r="P5" s="523" t="s">
        <v>30</v>
      </c>
      <c r="Q5" s="64" t="s">
        <v>40</v>
      </c>
      <c r="R5" s="523" t="s">
        <v>37</v>
      </c>
      <c r="S5" s="523" t="s">
        <v>38</v>
      </c>
      <c r="T5" s="64" t="s">
        <v>39</v>
      </c>
      <c r="U5" s="64" t="s">
        <v>8</v>
      </c>
      <c r="V5" s="64" t="s">
        <v>42</v>
      </c>
      <c r="W5" s="522" t="s">
        <v>29</v>
      </c>
      <c r="X5" s="523" t="s">
        <v>30</v>
      </c>
      <c r="Y5" s="64" t="s">
        <v>40</v>
      </c>
      <c r="Z5" s="523" t="s">
        <v>37</v>
      </c>
      <c r="AA5" s="523" t="s">
        <v>38</v>
      </c>
      <c r="AB5" s="64" t="s">
        <v>39</v>
      </c>
      <c r="AC5" s="64" t="s">
        <v>8</v>
      </c>
      <c r="AD5" s="64" t="s">
        <v>42</v>
      </c>
      <c r="AE5" s="43" t="s">
        <v>29</v>
      </c>
      <c r="AF5" s="44" t="s">
        <v>30</v>
      </c>
      <c r="AG5" s="64" t="s">
        <v>40</v>
      </c>
      <c r="AH5" s="44" t="s">
        <v>37</v>
      </c>
      <c r="AI5" s="44" t="s">
        <v>38</v>
      </c>
      <c r="AJ5" s="64" t="s">
        <v>39</v>
      </c>
      <c r="AK5" s="64" t="s">
        <v>8</v>
      </c>
      <c r="AL5" s="64" t="s">
        <v>42</v>
      </c>
      <c r="AM5" s="55" t="s">
        <v>36</v>
      </c>
      <c r="AN5" s="8" t="s">
        <v>36</v>
      </c>
      <c r="AO5" s="518" t="s">
        <v>29</v>
      </c>
      <c r="AP5" s="519" t="s">
        <v>30</v>
      </c>
      <c r="AQ5" s="519" t="s">
        <v>37</v>
      </c>
      <c r="AR5" s="519" t="s">
        <v>38</v>
      </c>
      <c r="AS5" s="518" t="s">
        <v>29</v>
      </c>
      <c r="AT5" s="519" t="s">
        <v>30</v>
      </c>
      <c r="AU5" s="519" t="s">
        <v>37</v>
      </c>
      <c r="AV5" s="519" t="s">
        <v>38</v>
      </c>
      <c r="AW5" s="518" t="s">
        <v>29</v>
      </c>
      <c r="AX5" s="519" t="s">
        <v>30</v>
      </c>
      <c r="AY5" s="519" t="s">
        <v>37</v>
      </c>
      <c r="AZ5" s="519" t="s">
        <v>38</v>
      </c>
      <c r="BA5" s="345" t="s">
        <v>29</v>
      </c>
      <c r="BB5" s="346" t="s">
        <v>30</v>
      </c>
      <c r="BC5" s="346" t="s">
        <v>37</v>
      </c>
      <c r="BD5" s="346" t="s">
        <v>38</v>
      </c>
      <c r="BE5" s="353" t="s">
        <v>29</v>
      </c>
      <c r="BF5" s="354" t="s">
        <v>30</v>
      </c>
      <c r="BG5" s="354" t="s">
        <v>37</v>
      </c>
      <c r="BH5" s="354" t="s">
        <v>38</v>
      </c>
      <c r="BI5" s="353" t="s">
        <v>29</v>
      </c>
      <c r="BJ5" s="354" t="s">
        <v>30</v>
      </c>
      <c r="BK5" s="354" t="s">
        <v>37</v>
      </c>
      <c r="BL5" s="354" t="s">
        <v>38</v>
      </c>
      <c r="BM5" s="15" t="s">
        <v>29</v>
      </c>
      <c r="BN5" s="8" t="s">
        <v>30</v>
      </c>
      <c r="BO5" s="8" t="s">
        <v>37</v>
      </c>
      <c r="BP5" s="8" t="s">
        <v>38</v>
      </c>
      <c r="BQ5" s="15" t="s">
        <v>29</v>
      </c>
      <c r="BR5" s="8" t="s">
        <v>30</v>
      </c>
      <c r="BS5" s="8" t="s">
        <v>37</v>
      </c>
      <c r="BT5" s="8" t="s">
        <v>38</v>
      </c>
      <c r="BU5" s="15" t="s">
        <v>29</v>
      </c>
      <c r="BV5" s="8" t="s">
        <v>30</v>
      </c>
      <c r="BW5" s="8" t="s">
        <v>37</v>
      </c>
      <c r="BX5" s="16" t="s">
        <v>38</v>
      </c>
    </row>
    <row r="6" spans="1:76" customFormat="1" x14ac:dyDescent="0.15">
      <c r="A6" s="1"/>
      <c r="B6" s="49"/>
      <c r="C6" s="1"/>
      <c r="D6" s="1"/>
      <c r="E6" s="10"/>
      <c r="F6" s="11"/>
      <c r="G6" s="28"/>
      <c r="H6" s="29"/>
      <c r="I6" s="37"/>
      <c r="J6" s="37"/>
      <c r="K6" s="10"/>
      <c r="L6" s="11"/>
      <c r="M6" s="12"/>
      <c r="N6" s="1"/>
      <c r="O6" s="522"/>
      <c r="P6" s="523"/>
      <c r="Q6" s="523"/>
      <c r="R6" s="523"/>
      <c r="S6" s="523"/>
      <c r="T6" s="523"/>
      <c r="U6" s="523"/>
      <c r="V6" s="87"/>
      <c r="W6" s="522"/>
      <c r="X6" s="523"/>
      <c r="Y6" s="523"/>
      <c r="Z6" s="523"/>
      <c r="AA6" s="523"/>
      <c r="AB6" s="523"/>
      <c r="AC6" s="523"/>
      <c r="AD6" s="87"/>
      <c r="AE6" s="43"/>
      <c r="AF6" s="44"/>
      <c r="AG6" s="44"/>
      <c r="AH6" s="44"/>
      <c r="AI6" s="44"/>
      <c r="AJ6" s="44"/>
      <c r="AK6" s="44"/>
      <c r="AL6" s="87"/>
      <c r="AM6" s="55"/>
      <c r="AN6" s="8"/>
      <c r="AO6" s="522"/>
      <c r="AP6" s="523"/>
      <c r="AQ6" s="523"/>
      <c r="AR6" s="524"/>
      <c r="AS6" s="522"/>
      <c r="AT6" s="523"/>
      <c r="AU6" s="523"/>
      <c r="AV6" s="524"/>
      <c r="AW6" s="522"/>
      <c r="AX6" s="523"/>
      <c r="AY6" s="523"/>
      <c r="AZ6" s="523"/>
      <c r="BA6" s="353"/>
      <c r="BB6" s="354"/>
      <c r="BC6" s="354"/>
      <c r="BD6" s="354"/>
      <c r="BE6" s="353"/>
      <c r="BF6" s="354"/>
      <c r="BG6" s="354"/>
      <c r="BH6" s="355"/>
      <c r="BI6" s="353"/>
      <c r="BJ6" s="354"/>
      <c r="BK6" s="354"/>
      <c r="BL6" s="354"/>
      <c r="BM6" s="43"/>
      <c r="BN6" s="44"/>
      <c r="BO6" s="44"/>
      <c r="BP6" s="44"/>
      <c r="BQ6" s="43"/>
      <c r="BR6" s="44"/>
      <c r="BS6" s="44"/>
      <c r="BT6" s="51"/>
      <c r="BU6" s="43"/>
      <c r="BV6" s="44"/>
      <c r="BW6" s="44"/>
      <c r="BX6" s="51"/>
    </row>
    <row r="7" spans="1:76" customFormat="1" x14ac:dyDescent="0.15">
      <c r="A7" s="284">
        <v>1</v>
      </c>
      <c r="B7" s="166" t="s">
        <v>70</v>
      </c>
      <c r="C7" s="167" t="s">
        <v>26</v>
      </c>
      <c r="D7" s="11">
        <v>2013</v>
      </c>
      <c r="E7" s="22">
        <f t="shared" ref="E7:E14" si="0">IF(N7="",SUM(K7:M7),SUM(K7:N7))</f>
        <v>240.40000000000003</v>
      </c>
      <c r="F7" s="111" t="s">
        <v>47</v>
      </c>
      <c r="G7" s="27" t="str">
        <f>IF('TRA-M'!$A$2-D7&lt;=1,IF(Q7&gt;=$S$3,"YES",IF(Y7&gt;=$AA$3,"YES",IF(OR(AG7&gt;=$AI$3, AJ7&gt;=$AI$3),"YES",""))),"")</f>
        <v/>
      </c>
      <c r="H7" s="7" t="str">
        <f t="shared" ref="H7:H14" si="1">IF(OR(Q7&gt;=$T$3,T7&gt;=$T$3),IF(F7="YES","YES",""),IF(OR(Y7&gt;=$AB$3,AB7&gt;=$AB$3),IF(F7="YES","YES",""),IF(OR(AG7&gt;=$AJ$3,AJ7&gt;=$AJ$3),IF(F7="YES","YES",""),"")))</f>
        <v>YES</v>
      </c>
      <c r="I7" s="34" t="str">
        <f t="shared" ref="I7:I14" si="2">IF(OR(Q7&gt;=$U$3,T7&gt;=$U$3),IF(F7="YES","YES",""),IF(OR(Y7&gt;=$AC$3,AB7&gt;=$AC$3),IF(F7="YES","YES",""),IF(OR(AG7&gt;=$AK$3,AJ7&gt;=$AK$3),IF(F7="YES","YES",""),"")))</f>
        <v>YES</v>
      </c>
      <c r="J7" s="66" t="str">
        <f t="shared" ref="J7:J14" si="3">IF(OR(Q7&gt;=$V$3,T7&gt;=$V$3),IF(F7="YES","YES",""),IF(OR(Y7&gt;=$AD$3,AB7&gt;=$AD$3),IF(F7="YES","YES",""),IF(OR(AG7&gt;=$AL$3,AJ7&gt;=$AL$3),IF(F7="YES","YES",""),"")))</f>
        <v>YES</v>
      </c>
      <c r="K7" s="3">
        <f t="shared" ref="K7:K14" si="4">MAX($U7,$AC7,$AK7)</f>
        <v>137.20000000000002</v>
      </c>
      <c r="L7" s="4">
        <f t="shared" ref="L7:L14" si="5">IF(K7=$U7,MAX($Y7,$AG7),IF(K7=$AC7,MAX($Q7,$AG7),MAX($Q7,$Y7)))</f>
        <v>68.300000000000011</v>
      </c>
      <c r="M7" s="5">
        <f t="shared" ref="M7:M14" si="6">IF(K7=$U7,IF(L7=$Y7,MAX($Z7,$AA7,$AE7,$AF7,$AH7,$AI7),MAX($W7,$X7,$Z7,$AA7,$AH7,$AI7)),IF(K7=$AC7,IF(L7=$Q7,MAX($R7,$S7,$AE7,$AF7,$AH7,$AI7),MAX($O7,$P7,$R7,$S7,$AH7,AI7)),IF(L7=$Q7,MAX($R7,$S7,$W7,$X7,$Z7,$AA7),MAX($O7,$P7,$R7,$S7,$Z7,$AA7))))</f>
        <v>34.9</v>
      </c>
      <c r="N7" s="5" t="str">
        <f t="shared" ref="N7:N14" si="7">IF(MAX(AM7:AM7)&lt;=0,"",MAX(AM7:AM7))</f>
        <v/>
      </c>
      <c r="O7" s="522">
        <v>33.799999999999997</v>
      </c>
      <c r="P7" s="523">
        <v>34.1</v>
      </c>
      <c r="Q7" s="161">
        <f t="shared" ref="Q7:Q14" si="8">+O7+P7</f>
        <v>67.900000000000006</v>
      </c>
      <c r="R7" s="523">
        <v>34</v>
      </c>
      <c r="S7" s="523">
        <v>34.9</v>
      </c>
      <c r="T7" s="161">
        <f t="shared" ref="T7:T14" si="9">+R7+S7</f>
        <v>68.900000000000006</v>
      </c>
      <c r="U7" s="64">
        <f t="shared" ref="U7:U14" si="10">+Q7+T7</f>
        <v>136.80000000000001</v>
      </c>
      <c r="V7" s="73"/>
      <c r="W7" s="522">
        <v>34.700000000000003</v>
      </c>
      <c r="X7" s="523">
        <v>33.700000000000003</v>
      </c>
      <c r="Y7" s="161">
        <f t="shared" ref="Y7:Y14" si="11">+W7+X7</f>
        <v>68.400000000000006</v>
      </c>
      <c r="Z7" s="523">
        <v>34.700000000000003</v>
      </c>
      <c r="AA7" s="523">
        <v>34.1</v>
      </c>
      <c r="AB7" s="161">
        <f t="shared" ref="AB7:AB14" si="12">+Z7+AA7</f>
        <v>68.800000000000011</v>
      </c>
      <c r="AC7" s="64">
        <f t="shared" ref="AC7:AC14" si="13">+Y7+AB7</f>
        <v>137.20000000000002</v>
      </c>
      <c r="AD7" s="73">
        <v>1</v>
      </c>
      <c r="AE7" s="522">
        <v>33.700000000000003</v>
      </c>
      <c r="AF7" s="523">
        <v>34.6</v>
      </c>
      <c r="AG7" s="161">
        <f t="shared" ref="AG7:AG14" si="14">+AE7+AF7</f>
        <v>68.300000000000011</v>
      </c>
      <c r="AH7" s="523">
        <v>33.299999999999997</v>
      </c>
      <c r="AI7" s="523">
        <v>34.6</v>
      </c>
      <c r="AJ7" s="161">
        <f t="shared" ref="AJ7:AJ14" si="15">+AH7+AI7</f>
        <v>67.900000000000006</v>
      </c>
      <c r="AK7" s="64">
        <f t="shared" ref="AK7:AK14" si="16">+AG7+AJ7</f>
        <v>136.20000000000002</v>
      </c>
      <c r="AL7" s="73">
        <v>1</v>
      </c>
      <c r="AM7" s="56">
        <f t="shared" ref="AM7:AM14" si="17">IF($AN7="","",$AN7-M7)</f>
        <v>-0.19999999999999574</v>
      </c>
      <c r="AN7" s="8">
        <f t="shared" ref="AN7:AN14" si="18">IF(MAX($AO7:$IV7)=0,"",MAX($AO7:$IV7))</f>
        <v>34.700000000000003</v>
      </c>
      <c r="AO7" s="522"/>
      <c r="AP7" s="523"/>
      <c r="AQ7" s="163">
        <v>33.799999999999997</v>
      </c>
      <c r="AR7" s="258">
        <v>34.6</v>
      </c>
      <c r="AS7" s="475">
        <v>34.700000000000003</v>
      </c>
      <c r="AT7" s="163">
        <v>33.6</v>
      </c>
      <c r="AU7" s="163"/>
      <c r="AV7" s="258"/>
      <c r="AW7" s="522"/>
      <c r="AX7" s="523"/>
      <c r="AY7" s="523">
        <v>34.299999999999997</v>
      </c>
      <c r="AZ7" s="523"/>
      <c r="BA7" s="446"/>
      <c r="BB7" s="447"/>
      <c r="BC7" s="447"/>
      <c r="BD7" s="447"/>
      <c r="BE7" s="446"/>
      <c r="BF7" s="447"/>
      <c r="BG7" s="447"/>
      <c r="BH7" s="448"/>
      <c r="BI7" s="446"/>
      <c r="BJ7" s="447"/>
      <c r="BK7" s="447"/>
      <c r="BL7" s="447"/>
      <c r="BM7" s="43"/>
      <c r="BN7" s="44"/>
      <c r="BO7" s="44"/>
      <c r="BP7" s="44"/>
      <c r="BQ7" s="43"/>
      <c r="BR7" s="44"/>
      <c r="BS7" s="44"/>
      <c r="BT7" s="51"/>
      <c r="BU7" s="43"/>
      <c r="BV7" s="44"/>
      <c r="BW7" s="44"/>
      <c r="BX7" s="51"/>
    </row>
    <row r="8" spans="1:76" customFormat="1" x14ac:dyDescent="0.15">
      <c r="A8" s="310">
        <v>2</v>
      </c>
      <c r="B8" s="383" t="s">
        <v>86</v>
      </c>
      <c r="C8" s="384" t="s">
        <v>24</v>
      </c>
      <c r="D8" s="11">
        <v>2011</v>
      </c>
      <c r="E8" s="22">
        <f t="shared" si="0"/>
        <v>236.00000000000003</v>
      </c>
      <c r="F8" s="161" t="s">
        <v>47</v>
      </c>
      <c r="G8" s="27" t="str">
        <f>IF('TRA-M'!$A$2-D8&lt;=1,IF(Q8&gt;=$S$3,"YES",IF(Y8&gt;=$AA$3,"YES",IF(OR(AG8&gt;=$AI$3, AJ8&gt;=$AI$3),"YES",""))),"")</f>
        <v/>
      </c>
      <c r="H8" s="7" t="str">
        <f t="shared" si="1"/>
        <v>YES</v>
      </c>
      <c r="I8" s="34" t="str">
        <f t="shared" si="2"/>
        <v>YES</v>
      </c>
      <c r="J8" s="66" t="str">
        <f t="shared" si="3"/>
        <v/>
      </c>
      <c r="K8" s="3">
        <f t="shared" si="4"/>
        <v>134.60000000000002</v>
      </c>
      <c r="L8" s="4">
        <f t="shared" si="5"/>
        <v>67</v>
      </c>
      <c r="M8" s="5">
        <f t="shared" si="6"/>
        <v>34.4</v>
      </c>
      <c r="N8" s="5" t="str">
        <f t="shared" si="7"/>
        <v/>
      </c>
      <c r="O8" s="523">
        <v>32.5</v>
      </c>
      <c r="P8" s="523">
        <v>34.4</v>
      </c>
      <c r="Q8" s="161">
        <f t="shared" si="8"/>
        <v>66.900000000000006</v>
      </c>
      <c r="R8" s="523">
        <v>31.5</v>
      </c>
      <c r="S8" s="523">
        <v>32.4</v>
      </c>
      <c r="T8" s="64">
        <f t="shared" si="9"/>
        <v>63.9</v>
      </c>
      <c r="U8" s="64">
        <f t="shared" si="10"/>
        <v>130.80000000000001</v>
      </c>
      <c r="V8" s="73"/>
      <c r="W8" s="523">
        <v>33.299999999999997</v>
      </c>
      <c r="X8" s="523">
        <v>33.700000000000003</v>
      </c>
      <c r="Y8" s="161">
        <f t="shared" si="11"/>
        <v>67</v>
      </c>
      <c r="Z8" s="523">
        <v>31</v>
      </c>
      <c r="AA8" s="104">
        <v>21.9</v>
      </c>
      <c r="AB8" s="64">
        <f t="shared" si="12"/>
        <v>52.9</v>
      </c>
      <c r="AC8" s="64">
        <f t="shared" si="13"/>
        <v>119.9</v>
      </c>
      <c r="AD8" s="73">
        <v>8</v>
      </c>
      <c r="AE8" s="523">
        <v>34.200000000000003</v>
      </c>
      <c r="AF8" s="523">
        <v>34.5</v>
      </c>
      <c r="AG8" s="161">
        <f t="shared" si="14"/>
        <v>68.7</v>
      </c>
      <c r="AH8" s="548">
        <v>33.6</v>
      </c>
      <c r="AI8" s="523">
        <v>32.299999999999997</v>
      </c>
      <c r="AJ8" s="161">
        <f t="shared" si="15"/>
        <v>65.900000000000006</v>
      </c>
      <c r="AK8" s="64">
        <f t="shared" si="16"/>
        <v>134.60000000000002</v>
      </c>
      <c r="AL8" s="73">
        <v>2</v>
      </c>
      <c r="AM8" s="56" t="str">
        <f t="shared" si="17"/>
        <v/>
      </c>
      <c r="AN8" s="8" t="str">
        <f t="shared" si="18"/>
        <v/>
      </c>
      <c r="AO8" s="522"/>
      <c r="AP8" s="523"/>
      <c r="AQ8" s="548"/>
      <c r="AR8" s="549"/>
      <c r="AS8" s="466"/>
      <c r="AT8" s="467"/>
      <c r="AU8" s="467"/>
      <c r="AV8" s="468"/>
      <c r="AW8" s="522"/>
      <c r="AX8" s="523"/>
      <c r="AY8" s="523"/>
      <c r="AZ8" s="523"/>
      <c r="BA8" s="446"/>
      <c r="BB8" s="447"/>
      <c r="BC8" s="447"/>
      <c r="BD8" s="447"/>
      <c r="BE8" s="446"/>
      <c r="BF8" s="447"/>
      <c r="BG8" s="447"/>
      <c r="BH8" s="448"/>
      <c r="BI8" s="446"/>
      <c r="BJ8" s="447"/>
      <c r="BK8" s="447"/>
      <c r="BL8" s="447"/>
      <c r="BM8" s="336"/>
      <c r="BN8" s="337"/>
      <c r="BO8" s="337"/>
      <c r="BP8" s="337"/>
      <c r="BQ8" s="43"/>
      <c r="BR8" s="44"/>
      <c r="BS8" s="44"/>
      <c r="BT8" s="51"/>
      <c r="BU8" s="43"/>
      <c r="BV8" s="44"/>
      <c r="BW8" s="44"/>
      <c r="BX8" s="51"/>
    </row>
    <row r="9" spans="1:76" customFormat="1" x14ac:dyDescent="0.15">
      <c r="A9" s="422">
        <v>3</v>
      </c>
      <c r="B9" s="41" t="s">
        <v>126</v>
      </c>
      <c r="C9" s="123" t="s">
        <v>27</v>
      </c>
      <c r="D9" s="11">
        <v>2014</v>
      </c>
      <c r="E9" s="22">
        <f t="shared" si="0"/>
        <v>233.4</v>
      </c>
      <c r="F9" s="161" t="s">
        <v>47</v>
      </c>
      <c r="G9" s="27" t="str">
        <f>IF('TRA-M'!$A$2-D9&lt;=1,IF(Q9&gt;=$S$3,"YES",IF(Y9&gt;=$AA$3,"YES",IF(OR(AG9&gt;=$AI$3, AJ9&gt;=$AI$3),"YES",""))),"")</f>
        <v/>
      </c>
      <c r="H9" s="7" t="str">
        <f t="shared" si="1"/>
        <v>YES</v>
      </c>
      <c r="I9" s="34" t="str">
        <f t="shared" si="2"/>
        <v/>
      </c>
      <c r="J9" s="66" t="str">
        <f t="shared" si="3"/>
        <v/>
      </c>
      <c r="K9" s="3">
        <f t="shared" si="4"/>
        <v>131.4</v>
      </c>
      <c r="L9" s="4">
        <f t="shared" si="5"/>
        <v>67.7</v>
      </c>
      <c r="M9" s="5">
        <f t="shared" si="6"/>
        <v>33.700000000000003</v>
      </c>
      <c r="N9" s="5">
        <f t="shared" si="7"/>
        <v>0.59999999999999432</v>
      </c>
      <c r="O9" s="523">
        <v>33.6</v>
      </c>
      <c r="P9" s="523">
        <v>33.700000000000003</v>
      </c>
      <c r="Q9" s="161">
        <f t="shared" si="8"/>
        <v>67.300000000000011</v>
      </c>
      <c r="R9" s="523">
        <v>31.8</v>
      </c>
      <c r="S9" s="523">
        <v>32.299999999999997</v>
      </c>
      <c r="T9" s="64">
        <f t="shared" si="9"/>
        <v>64.099999999999994</v>
      </c>
      <c r="U9" s="64">
        <f t="shared" si="10"/>
        <v>131.4</v>
      </c>
      <c r="V9" s="73"/>
      <c r="W9" s="523">
        <v>34.200000000000003</v>
      </c>
      <c r="X9" s="523">
        <v>33.5</v>
      </c>
      <c r="Y9" s="161">
        <f t="shared" si="11"/>
        <v>67.7</v>
      </c>
      <c r="Z9" s="523">
        <v>31.9</v>
      </c>
      <c r="AA9" s="548">
        <v>30.1</v>
      </c>
      <c r="AB9" s="64">
        <f t="shared" si="12"/>
        <v>62</v>
      </c>
      <c r="AC9" s="64">
        <f t="shared" si="13"/>
        <v>129.69999999999999</v>
      </c>
      <c r="AD9" s="73">
        <v>3</v>
      </c>
      <c r="AE9" s="523">
        <v>31.8</v>
      </c>
      <c r="AF9" s="523">
        <v>33.700000000000003</v>
      </c>
      <c r="AG9" s="161">
        <f t="shared" si="14"/>
        <v>65.5</v>
      </c>
      <c r="AH9" s="104">
        <v>23</v>
      </c>
      <c r="AI9" s="523">
        <v>31.9</v>
      </c>
      <c r="AJ9" s="64">
        <f t="shared" si="15"/>
        <v>54.9</v>
      </c>
      <c r="AK9" s="64">
        <f t="shared" si="16"/>
        <v>120.4</v>
      </c>
      <c r="AL9" s="73">
        <v>5</v>
      </c>
      <c r="AM9" s="56">
        <f t="shared" si="17"/>
        <v>0.59999999999999432</v>
      </c>
      <c r="AN9" s="8">
        <f t="shared" si="18"/>
        <v>34.299999999999997</v>
      </c>
      <c r="AO9" s="522"/>
      <c r="AP9" s="523"/>
      <c r="AQ9" s="163">
        <v>33.299999999999997</v>
      </c>
      <c r="AR9" s="258">
        <v>32.799999999999997</v>
      </c>
      <c r="AS9" s="475">
        <v>34.200000000000003</v>
      </c>
      <c r="AT9" s="163">
        <v>33.200000000000003</v>
      </c>
      <c r="AU9" s="163"/>
      <c r="AV9" s="258"/>
      <c r="AW9" s="522"/>
      <c r="AX9" s="523"/>
      <c r="AY9" s="523">
        <v>34.299999999999997</v>
      </c>
      <c r="AZ9" s="523"/>
      <c r="BA9" s="446"/>
      <c r="BB9" s="447"/>
      <c r="BC9" s="447"/>
      <c r="BD9" s="447"/>
      <c r="BE9" s="446"/>
      <c r="BF9" s="447"/>
      <c r="BG9" s="447"/>
      <c r="BH9" s="448"/>
      <c r="BI9" s="446"/>
      <c r="BJ9" s="447"/>
      <c r="BK9" s="447"/>
      <c r="BL9" s="447"/>
      <c r="BM9" s="336"/>
      <c r="BN9" s="337"/>
      <c r="BO9" s="337"/>
      <c r="BP9" s="337"/>
      <c r="BQ9" s="43"/>
      <c r="BR9" s="44"/>
      <c r="BS9" s="44"/>
      <c r="BT9" s="51"/>
      <c r="BU9" s="43"/>
      <c r="BV9" s="44"/>
      <c r="BW9" s="44"/>
      <c r="BX9" s="51"/>
    </row>
    <row r="10" spans="1:76" customFormat="1" x14ac:dyDescent="0.15">
      <c r="A10" s="559">
        <v>4</v>
      </c>
      <c r="B10" s="41" t="s">
        <v>85</v>
      </c>
      <c r="C10" s="123" t="s">
        <v>24</v>
      </c>
      <c r="D10" s="11">
        <v>2015</v>
      </c>
      <c r="E10" s="22">
        <f t="shared" si="0"/>
        <v>228.79999999999998</v>
      </c>
      <c r="F10" s="161" t="s">
        <v>47</v>
      </c>
      <c r="G10" s="27" t="str">
        <f>IF('TRA-M'!$A$2-D10&lt;=1,IF(Q10&gt;=$S$3,"YES",IF(Y10&gt;=$AA$3,"YES",IF(OR(AG10&gt;=$AI$3, AJ10&gt;=$AI$3),"YES",""))),"")</f>
        <v>YES</v>
      </c>
      <c r="H10" s="7" t="str">
        <f t="shared" si="1"/>
        <v>YES</v>
      </c>
      <c r="I10" s="34" t="str">
        <f t="shared" si="2"/>
        <v/>
      </c>
      <c r="J10" s="66" t="str">
        <f t="shared" si="3"/>
        <v/>
      </c>
      <c r="K10" s="3">
        <f t="shared" si="4"/>
        <v>131.39999999999998</v>
      </c>
      <c r="L10" s="4">
        <f t="shared" si="5"/>
        <v>66.5</v>
      </c>
      <c r="M10" s="5">
        <f t="shared" si="6"/>
        <v>30.9</v>
      </c>
      <c r="N10" s="5" t="str">
        <f t="shared" si="7"/>
        <v/>
      </c>
      <c r="O10" s="522"/>
      <c r="P10" s="523"/>
      <c r="Q10" s="64">
        <f t="shared" si="8"/>
        <v>0</v>
      </c>
      <c r="R10" s="523"/>
      <c r="S10" s="523"/>
      <c r="T10" s="64">
        <f t="shared" si="9"/>
        <v>0</v>
      </c>
      <c r="U10" s="64">
        <f t="shared" si="10"/>
        <v>0</v>
      </c>
      <c r="V10" s="73"/>
      <c r="W10" s="522">
        <v>33.9</v>
      </c>
      <c r="X10" s="523">
        <v>32.6</v>
      </c>
      <c r="Y10" s="161">
        <f t="shared" si="11"/>
        <v>66.5</v>
      </c>
      <c r="Z10" s="523">
        <v>29.4</v>
      </c>
      <c r="AA10" s="523">
        <v>30.9</v>
      </c>
      <c r="AB10" s="64">
        <f t="shared" si="12"/>
        <v>60.3</v>
      </c>
      <c r="AC10" s="64">
        <f t="shared" si="13"/>
        <v>126.8</v>
      </c>
      <c r="AD10" s="73">
        <v>5</v>
      </c>
      <c r="AE10" s="522">
        <v>33.5</v>
      </c>
      <c r="AF10" s="523">
        <v>33.6</v>
      </c>
      <c r="AG10" s="161">
        <f t="shared" si="14"/>
        <v>67.099999999999994</v>
      </c>
      <c r="AH10" s="523">
        <v>30.9</v>
      </c>
      <c r="AI10" s="523">
        <v>33.4</v>
      </c>
      <c r="AJ10" s="64">
        <f t="shared" si="15"/>
        <v>64.3</v>
      </c>
      <c r="AK10" s="64">
        <f t="shared" si="16"/>
        <v>131.39999999999998</v>
      </c>
      <c r="AL10" s="73">
        <v>3</v>
      </c>
      <c r="AM10" s="56" t="str">
        <f t="shared" si="17"/>
        <v/>
      </c>
      <c r="AN10" s="8" t="str">
        <f t="shared" si="18"/>
        <v/>
      </c>
      <c r="AO10" s="522"/>
      <c r="AP10" s="523"/>
      <c r="AQ10" s="523"/>
      <c r="AR10" s="524"/>
      <c r="AS10" s="547"/>
      <c r="AT10" s="523"/>
      <c r="AU10" s="523"/>
      <c r="AV10" s="524"/>
      <c r="AW10" s="522"/>
      <c r="AX10" s="523"/>
      <c r="AY10" s="523"/>
      <c r="AZ10" s="523"/>
      <c r="BA10" s="446"/>
      <c r="BB10" s="447"/>
      <c r="BC10" s="447"/>
      <c r="BD10" s="447"/>
      <c r="BE10" s="446"/>
      <c r="BF10" s="447"/>
      <c r="BG10" s="447"/>
      <c r="BH10" s="448"/>
      <c r="BI10" s="446"/>
      <c r="BJ10" s="447"/>
      <c r="BK10" s="447"/>
      <c r="BL10" s="447"/>
      <c r="BM10" s="43"/>
      <c r="BN10" s="44"/>
      <c r="BO10" s="44"/>
      <c r="BP10" s="44"/>
      <c r="BQ10" s="43"/>
      <c r="BR10" s="44"/>
      <c r="BS10" s="44"/>
      <c r="BT10" s="51"/>
      <c r="BU10" s="43"/>
      <c r="BV10" s="44"/>
      <c r="BW10" s="44"/>
      <c r="BX10" s="51"/>
    </row>
    <row r="11" spans="1:76" customFormat="1" x14ac:dyDescent="0.15">
      <c r="A11" s="371"/>
      <c r="B11" s="41" t="s">
        <v>74</v>
      </c>
      <c r="C11" s="123" t="s">
        <v>25</v>
      </c>
      <c r="D11" s="11">
        <v>2014</v>
      </c>
      <c r="E11" s="22">
        <f t="shared" si="0"/>
        <v>228.2</v>
      </c>
      <c r="F11" s="111" t="s">
        <v>47</v>
      </c>
      <c r="G11" s="27" t="str">
        <f>IF('TRA-M'!$A$2-D11&lt;=1,IF(Q11&gt;=$S$3,"YES",IF(Y11&gt;=$AA$3,"YES",IF(OR(AG11&gt;=$AI$3, AJ11&gt;=$AI$3),"YES",""))),"")</f>
        <v/>
      </c>
      <c r="H11" s="7" t="str">
        <f t="shared" si="1"/>
        <v/>
      </c>
      <c r="I11" s="34" t="str">
        <f t="shared" si="2"/>
        <v/>
      </c>
      <c r="J11" s="66" t="str">
        <f t="shared" si="3"/>
        <v/>
      </c>
      <c r="K11" s="3">
        <f t="shared" si="4"/>
        <v>130.1</v>
      </c>
      <c r="L11" s="4">
        <f t="shared" si="5"/>
        <v>65</v>
      </c>
      <c r="M11" s="5">
        <f t="shared" si="6"/>
        <v>33.1</v>
      </c>
      <c r="N11" s="5" t="str">
        <f t="shared" si="7"/>
        <v/>
      </c>
      <c r="O11" s="522">
        <v>32.4</v>
      </c>
      <c r="P11" s="523">
        <v>32.6</v>
      </c>
      <c r="Q11" s="161">
        <f t="shared" si="8"/>
        <v>65</v>
      </c>
      <c r="R11" s="523">
        <v>32.5</v>
      </c>
      <c r="S11" s="523">
        <v>32.6</v>
      </c>
      <c r="T11" s="64">
        <f t="shared" si="9"/>
        <v>65.099999999999994</v>
      </c>
      <c r="U11" s="64">
        <f t="shared" si="10"/>
        <v>130.1</v>
      </c>
      <c r="V11" s="73"/>
      <c r="W11" s="522">
        <v>31.1</v>
      </c>
      <c r="X11" s="523">
        <v>32.9</v>
      </c>
      <c r="Y11" s="64">
        <f t="shared" si="11"/>
        <v>64</v>
      </c>
      <c r="Z11" s="523">
        <v>30.5</v>
      </c>
      <c r="AA11" s="523">
        <v>32</v>
      </c>
      <c r="AB11" s="64">
        <f t="shared" si="12"/>
        <v>62.5</v>
      </c>
      <c r="AC11" s="64">
        <f t="shared" si="13"/>
        <v>126.5</v>
      </c>
      <c r="AD11" s="73">
        <v>6</v>
      </c>
      <c r="AE11" s="522">
        <v>31.7</v>
      </c>
      <c r="AF11" s="523">
        <v>33.299999999999997</v>
      </c>
      <c r="AG11" s="161">
        <f t="shared" si="14"/>
        <v>65</v>
      </c>
      <c r="AH11" s="523">
        <v>33.1</v>
      </c>
      <c r="AI11" s="523">
        <v>31.6</v>
      </c>
      <c r="AJ11" s="161">
        <f t="shared" si="15"/>
        <v>64.7</v>
      </c>
      <c r="AK11" s="64">
        <f t="shared" si="16"/>
        <v>129.69999999999999</v>
      </c>
      <c r="AL11" s="73">
        <v>4</v>
      </c>
      <c r="AM11" s="56">
        <f t="shared" si="17"/>
        <v>-1</v>
      </c>
      <c r="AN11" s="8">
        <f t="shared" si="18"/>
        <v>32.1</v>
      </c>
      <c r="AO11" s="522"/>
      <c r="AP11" s="523"/>
      <c r="AQ11" s="523"/>
      <c r="AR11" s="524"/>
      <c r="AS11" s="113">
        <v>22.9</v>
      </c>
      <c r="AT11" s="523">
        <v>32.1</v>
      </c>
      <c r="AU11" s="523"/>
      <c r="AV11" s="524"/>
      <c r="AW11" s="522"/>
      <c r="AX11" s="523"/>
      <c r="AY11" s="523"/>
      <c r="AZ11" s="523"/>
      <c r="BA11" s="446"/>
      <c r="BB11" s="447"/>
      <c r="BC11" s="447"/>
      <c r="BD11" s="447"/>
      <c r="BE11" s="446"/>
      <c r="BF11" s="447"/>
      <c r="BG11" s="447"/>
      <c r="BH11" s="448"/>
      <c r="BI11" s="446"/>
      <c r="BJ11" s="447"/>
      <c r="BK11" s="447"/>
      <c r="BL11" s="447"/>
      <c r="BM11" s="43"/>
      <c r="BN11" s="44"/>
      <c r="BO11" s="44"/>
      <c r="BP11" s="44"/>
      <c r="BQ11" s="43"/>
      <c r="BR11" s="44"/>
      <c r="BS11" s="44"/>
      <c r="BT11" s="51"/>
      <c r="BU11" s="43"/>
      <c r="BV11" s="44"/>
      <c r="BW11" s="44"/>
      <c r="BX11" s="51"/>
    </row>
    <row r="12" spans="1:76" customFormat="1" x14ac:dyDescent="0.15">
      <c r="A12" s="422"/>
      <c r="B12" s="41" t="s">
        <v>76</v>
      </c>
      <c r="C12" s="123" t="s">
        <v>26</v>
      </c>
      <c r="D12" s="247">
        <v>2013</v>
      </c>
      <c r="E12" s="22">
        <f t="shared" si="0"/>
        <v>167.04999999999998</v>
      </c>
      <c r="F12" s="111" t="s">
        <v>47</v>
      </c>
      <c r="G12" s="27" t="str">
        <f>IF('TRA-M'!$A$2-D12&lt;=1,IF(Q12&gt;=$S$3,"YES",IF(Y12&gt;=$AA$3,"YES",IF(OR(AG12&gt;=$AI$3, AJ12&gt;=$AI$3),"YES",""))),"")</f>
        <v/>
      </c>
      <c r="H12" s="7" t="str">
        <f t="shared" si="1"/>
        <v/>
      </c>
      <c r="I12" s="34" t="str">
        <f t="shared" si="2"/>
        <v/>
      </c>
      <c r="J12" s="66" t="str">
        <f t="shared" si="3"/>
        <v/>
      </c>
      <c r="K12" s="252">
        <f t="shared" si="4"/>
        <v>118.8</v>
      </c>
      <c r="L12" s="253">
        <f t="shared" si="5"/>
        <v>32.65</v>
      </c>
      <c r="M12" s="254">
        <f t="shared" si="6"/>
        <v>15.6</v>
      </c>
      <c r="N12" s="254" t="str">
        <f t="shared" si="7"/>
        <v/>
      </c>
      <c r="O12" s="522"/>
      <c r="P12" s="523"/>
      <c r="Q12" s="64">
        <f t="shared" si="8"/>
        <v>0</v>
      </c>
      <c r="R12" s="523"/>
      <c r="S12" s="523"/>
      <c r="T12" s="64">
        <f t="shared" si="9"/>
        <v>0</v>
      </c>
      <c r="U12" s="64">
        <f t="shared" si="10"/>
        <v>0</v>
      </c>
      <c r="V12" s="73"/>
      <c r="W12" s="522">
        <v>33</v>
      </c>
      <c r="X12" s="523">
        <v>32.299999999999997</v>
      </c>
      <c r="Y12" s="161">
        <f t="shared" si="11"/>
        <v>65.3</v>
      </c>
      <c r="Z12" s="523">
        <v>31.2</v>
      </c>
      <c r="AA12" s="104">
        <v>22.3</v>
      </c>
      <c r="AB12" s="64">
        <f t="shared" si="12"/>
        <v>53.5</v>
      </c>
      <c r="AC12" s="64">
        <f t="shared" si="13"/>
        <v>118.8</v>
      </c>
      <c r="AD12" s="73">
        <v>9</v>
      </c>
      <c r="AE12" s="267">
        <v>16.5</v>
      </c>
      <c r="AF12" s="103">
        <v>16.149999999999999</v>
      </c>
      <c r="AG12" s="102">
        <f t="shared" si="14"/>
        <v>32.65</v>
      </c>
      <c r="AH12" s="103">
        <v>15.6</v>
      </c>
      <c r="AI12" s="103">
        <v>11.15</v>
      </c>
      <c r="AJ12" s="102">
        <f t="shared" si="15"/>
        <v>26.75</v>
      </c>
      <c r="AK12" s="102">
        <f t="shared" si="16"/>
        <v>59.4</v>
      </c>
      <c r="AL12" s="558"/>
      <c r="AM12" s="56" t="str">
        <f t="shared" si="17"/>
        <v/>
      </c>
      <c r="AN12" s="246" t="str">
        <f t="shared" si="18"/>
        <v/>
      </c>
      <c r="AO12" s="522"/>
      <c r="AP12" s="523"/>
      <c r="AQ12" s="523"/>
      <c r="AR12" s="524"/>
      <c r="AS12" s="522"/>
      <c r="AT12" s="523"/>
      <c r="AU12" s="523"/>
      <c r="AV12" s="524"/>
      <c r="AW12" s="522"/>
      <c r="AX12" s="523"/>
      <c r="AY12" s="523"/>
      <c r="AZ12" s="523"/>
      <c r="BA12" s="446"/>
      <c r="BB12" s="447"/>
      <c r="BC12" s="447"/>
      <c r="BD12" s="447"/>
      <c r="BE12" s="446"/>
      <c r="BF12" s="447"/>
      <c r="BG12" s="447"/>
      <c r="BH12" s="448"/>
      <c r="BI12" s="446"/>
      <c r="BJ12" s="447"/>
      <c r="BK12" s="447"/>
      <c r="BL12" s="447"/>
      <c r="BM12" s="248"/>
      <c r="BN12" s="249"/>
      <c r="BO12" s="249"/>
      <c r="BP12" s="249"/>
      <c r="BQ12" s="248"/>
      <c r="BR12" s="249"/>
      <c r="BS12" s="249"/>
      <c r="BT12" s="250"/>
      <c r="BU12" s="248"/>
      <c r="BV12" s="249"/>
      <c r="BW12" s="249"/>
      <c r="BX12" s="250"/>
    </row>
    <row r="13" spans="1:76" customFormat="1" x14ac:dyDescent="0.15">
      <c r="A13" s="490"/>
      <c r="B13" s="41" t="s">
        <v>84</v>
      </c>
      <c r="C13" s="123" t="s">
        <v>26</v>
      </c>
      <c r="D13" s="367">
        <v>2015</v>
      </c>
      <c r="E13" s="22">
        <f t="shared" si="0"/>
        <v>35.6</v>
      </c>
      <c r="F13" s="111" t="s">
        <v>47</v>
      </c>
      <c r="G13" s="27" t="str">
        <f>IF('TRA-M'!$A$2-D13&lt;=1,IF(Q13&gt;=$S$3,"YES",IF(Y13&gt;=$AA$3,"YES",IF(OR(AG13&gt;=$AI$3, AJ13&gt;=$AI$3),"YES",""))),"")</f>
        <v/>
      </c>
      <c r="H13" s="7" t="str">
        <f t="shared" si="1"/>
        <v/>
      </c>
      <c r="I13" s="34" t="str">
        <f t="shared" si="2"/>
        <v/>
      </c>
      <c r="J13" s="66" t="str">
        <f t="shared" si="3"/>
        <v/>
      </c>
      <c r="K13" s="372">
        <f t="shared" si="4"/>
        <v>0</v>
      </c>
      <c r="L13" s="373">
        <f t="shared" si="5"/>
        <v>0</v>
      </c>
      <c r="M13" s="374">
        <f t="shared" si="6"/>
        <v>0</v>
      </c>
      <c r="N13" s="374">
        <f t="shared" si="7"/>
        <v>35.6</v>
      </c>
      <c r="O13" s="522"/>
      <c r="P13" s="523"/>
      <c r="Q13" s="64">
        <f t="shared" si="8"/>
        <v>0</v>
      </c>
      <c r="R13" s="523"/>
      <c r="S13" s="523"/>
      <c r="T13" s="64">
        <f t="shared" si="9"/>
        <v>0</v>
      </c>
      <c r="U13" s="64">
        <f t="shared" si="10"/>
        <v>0</v>
      </c>
      <c r="V13" s="73"/>
      <c r="W13" s="522"/>
      <c r="X13" s="523"/>
      <c r="Y13" s="64">
        <f t="shared" si="11"/>
        <v>0</v>
      </c>
      <c r="Z13" s="523"/>
      <c r="AA13" s="523"/>
      <c r="AB13" s="64">
        <f t="shared" si="12"/>
        <v>0</v>
      </c>
      <c r="AC13" s="64">
        <f t="shared" si="13"/>
        <v>0</v>
      </c>
      <c r="AD13" s="73"/>
      <c r="AE13" s="522"/>
      <c r="AF13" s="523"/>
      <c r="AG13" s="64">
        <f t="shared" si="14"/>
        <v>0</v>
      </c>
      <c r="AH13" s="523"/>
      <c r="AI13" s="523"/>
      <c r="AJ13" s="64">
        <f t="shared" si="15"/>
        <v>0</v>
      </c>
      <c r="AK13" s="64">
        <f t="shared" si="16"/>
        <v>0</v>
      </c>
      <c r="AL13" s="73"/>
      <c r="AM13" s="56">
        <f t="shared" si="17"/>
        <v>35.6</v>
      </c>
      <c r="AN13" s="366">
        <f t="shared" si="18"/>
        <v>35.6</v>
      </c>
      <c r="AO13" s="522"/>
      <c r="AP13" s="523"/>
      <c r="AQ13" s="523"/>
      <c r="AR13" s="524"/>
      <c r="AS13" s="475">
        <v>35.6</v>
      </c>
      <c r="AT13" s="163">
        <v>33.700000000000003</v>
      </c>
      <c r="AU13" s="163">
        <v>32.1</v>
      </c>
      <c r="AV13" s="258">
        <v>32.1</v>
      </c>
      <c r="AW13" s="522"/>
      <c r="AX13" s="523"/>
      <c r="AY13" s="523">
        <v>35.299999999999997</v>
      </c>
      <c r="AZ13" s="523"/>
      <c r="BA13" s="446"/>
      <c r="BB13" s="447"/>
      <c r="BC13" s="447"/>
      <c r="BD13" s="447"/>
      <c r="BE13" s="446"/>
      <c r="BF13" s="447"/>
      <c r="BG13" s="447"/>
      <c r="BH13" s="448"/>
      <c r="BI13" s="446"/>
      <c r="BJ13" s="447"/>
      <c r="BK13" s="447"/>
      <c r="BL13" s="447"/>
      <c r="BM13" s="368"/>
      <c r="BN13" s="369"/>
      <c r="BO13" s="369"/>
      <c r="BP13" s="369"/>
      <c r="BQ13" s="368"/>
      <c r="BR13" s="369"/>
      <c r="BS13" s="369"/>
      <c r="BT13" s="370"/>
      <c r="BU13" s="368"/>
      <c r="BV13" s="369"/>
      <c r="BW13" s="369"/>
      <c r="BX13" s="370"/>
    </row>
    <row r="14" spans="1:76" customFormat="1" x14ac:dyDescent="0.15">
      <c r="A14" s="101">
        <v>5</v>
      </c>
      <c r="B14" s="41" t="s">
        <v>125</v>
      </c>
      <c r="C14" s="123" t="s">
        <v>27</v>
      </c>
      <c r="D14" s="367">
        <v>2016</v>
      </c>
      <c r="E14" s="22">
        <f t="shared" si="0"/>
        <v>217.1</v>
      </c>
      <c r="F14" s="111"/>
      <c r="G14" s="27" t="str">
        <f>IF('TRA-M'!$A$2-D14&lt;=1,IF(Q14&gt;=$S$3,"YES",IF(Y14&gt;=$AA$3,"YES",IF(OR(AG14&gt;=$AI$3, AJ14&gt;=$AI$3),"YES",""))),"")</f>
        <v>YES</v>
      </c>
      <c r="H14" s="7" t="str">
        <f t="shared" si="1"/>
        <v/>
      </c>
      <c r="I14" s="34" t="str">
        <f t="shared" si="2"/>
        <v/>
      </c>
      <c r="J14" s="66" t="str">
        <f t="shared" si="3"/>
        <v/>
      </c>
      <c r="K14" s="372">
        <f t="shared" si="4"/>
        <v>128.80000000000001</v>
      </c>
      <c r="L14" s="373">
        <f t="shared" si="5"/>
        <v>56.599999999999994</v>
      </c>
      <c r="M14" s="374">
        <f t="shared" si="6"/>
        <v>31.7</v>
      </c>
      <c r="N14" s="374" t="str">
        <f t="shared" si="7"/>
        <v/>
      </c>
      <c r="O14" s="522"/>
      <c r="P14" s="523"/>
      <c r="Q14" s="64">
        <f t="shared" si="8"/>
        <v>0</v>
      </c>
      <c r="R14" s="523"/>
      <c r="S14" s="523"/>
      <c r="T14" s="64">
        <f t="shared" si="9"/>
        <v>0</v>
      </c>
      <c r="U14" s="64">
        <f t="shared" si="10"/>
        <v>0</v>
      </c>
      <c r="V14" s="73"/>
      <c r="W14" s="522">
        <v>33.700000000000003</v>
      </c>
      <c r="X14" s="523">
        <v>32.1</v>
      </c>
      <c r="Y14" s="64">
        <f t="shared" si="11"/>
        <v>65.800000000000011</v>
      </c>
      <c r="Z14" s="523">
        <v>31.2</v>
      </c>
      <c r="AA14" s="523">
        <v>31.8</v>
      </c>
      <c r="AB14" s="64">
        <f t="shared" si="12"/>
        <v>63</v>
      </c>
      <c r="AC14" s="64">
        <f t="shared" si="13"/>
        <v>128.80000000000001</v>
      </c>
      <c r="AD14" s="73">
        <v>4</v>
      </c>
      <c r="AE14" s="113">
        <v>22.8</v>
      </c>
      <c r="AF14" s="523">
        <v>33.799999999999997</v>
      </c>
      <c r="AG14" s="64">
        <f t="shared" si="14"/>
        <v>56.599999999999994</v>
      </c>
      <c r="AH14" s="523">
        <v>31</v>
      </c>
      <c r="AI14" s="523">
        <v>31.7</v>
      </c>
      <c r="AJ14" s="64">
        <f t="shared" si="15"/>
        <v>62.7</v>
      </c>
      <c r="AK14" s="64">
        <f t="shared" si="16"/>
        <v>119.3</v>
      </c>
      <c r="AL14" s="73">
        <v>6</v>
      </c>
      <c r="AM14" s="56" t="str">
        <f t="shared" si="17"/>
        <v/>
      </c>
      <c r="AN14" s="366" t="str">
        <f t="shared" si="18"/>
        <v/>
      </c>
      <c r="AO14" s="522"/>
      <c r="AP14" s="523"/>
      <c r="AQ14" s="523"/>
      <c r="AR14" s="524"/>
      <c r="AS14" s="522"/>
      <c r="AT14" s="523"/>
      <c r="AU14" s="523"/>
      <c r="AV14" s="524"/>
      <c r="AW14" s="522"/>
      <c r="AX14" s="523"/>
      <c r="AY14" s="523"/>
      <c r="AZ14" s="523"/>
      <c r="BA14" s="446"/>
      <c r="BB14" s="447"/>
      <c r="BC14" s="447"/>
      <c r="BD14" s="447"/>
      <c r="BE14" s="446"/>
      <c r="BF14" s="447"/>
      <c r="BG14" s="447"/>
      <c r="BH14" s="448"/>
      <c r="BI14" s="446"/>
      <c r="BJ14" s="447"/>
      <c r="BK14" s="447"/>
      <c r="BL14" s="447"/>
      <c r="BM14" s="368"/>
      <c r="BN14" s="369"/>
      <c r="BO14" s="369"/>
      <c r="BP14" s="369"/>
      <c r="BQ14" s="368"/>
      <c r="BR14" s="369"/>
      <c r="BS14" s="369"/>
      <c r="BT14" s="370"/>
      <c r="BU14" s="368"/>
      <c r="BV14" s="369"/>
      <c r="BW14" s="369"/>
      <c r="BX14" s="370"/>
    </row>
    <row r="15" spans="1:76" x14ac:dyDescent="0.15">
      <c r="A15" s="327"/>
      <c r="C15" s="327"/>
      <c r="D15" s="327"/>
      <c r="E15" s="327"/>
      <c r="F15" s="327"/>
      <c r="K15" s="327"/>
      <c r="L15" s="327"/>
      <c r="M15" s="327"/>
      <c r="N15" s="327"/>
      <c r="W15" s="444"/>
      <c r="X15" s="444"/>
      <c r="Y15" s="444"/>
      <c r="Z15" s="444"/>
      <c r="AA15" s="444"/>
      <c r="AB15" s="444"/>
      <c r="AC15" s="444"/>
      <c r="AE15" s="417"/>
      <c r="AF15" s="417"/>
      <c r="AG15" s="417"/>
      <c r="AH15" s="417"/>
      <c r="AI15" s="417"/>
      <c r="AJ15" s="417"/>
      <c r="AK15" s="417"/>
      <c r="AL15" s="332"/>
      <c r="AM15" s="326"/>
      <c r="AN15" s="326"/>
      <c r="AO15" s="39"/>
      <c r="AP15" s="39"/>
      <c r="AQ15" s="39"/>
      <c r="AR15" s="39"/>
      <c r="AS15" s="447"/>
      <c r="AT15" s="447"/>
      <c r="AU15" s="447"/>
      <c r="AV15" s="447"/>
      <c r="AW15" s="39"/>
      <c r="AX15" s="39"/>
      <c r="AY15" s="39"/>
      <c r="AZ15" s="39"/>
      <c r="BA15" s="354"/>
      <c r="BB15" s="354"/>
      <c r="BC15" s="354"/>
      <c r="BD15" s="354"/>
      <c r="BE15" s="39"/>
      <c r="BF15" s="39"/>
      <c r="BG15" s="39"/>
      <c r="BH15" s="39"/>
      <c r="BI15" s="337"/>
      <c r="BJ15" s="337"/>
      <c r="BK15" s="337"/>
      <c r="BL15" s="337"/>
      <c r="BM15" s="333"/>
      <c r="BN15" s="333"/>
      <c r="BO15" s="333"/>
      <c r="BP15" s="333"/>
      <c r="BQ15" s="39"/>
      <c r="BR15" s="39"/>
      <c r="BS15" s="39"/>
      <c r="BT15" s="39"/>
    </row>
    <row r="16" spans="1:76" x14ac:dyDescent="0.15">
      <c r="A16" s="521"/>
      <c r="C16" s="521"/>
      <c r="D16" s="521"/>
      <c r="E16" s="521"/>
      <c r="F16" s="521"/>
      <c r="K16" s="521"/>
      <c r="L16" s="521"/>
      <c r="M16" s="521"/>
      <c r="N16" s="521"/>
      <c r="O16" s="527"/>
      <c r="P16" s="527"/>
      <c r="Q16" s="527"/>
      <c r="R16" s="527"/>
      <c r="S16" s="527"/>
      <c r="T16" s="527"/>
      <c r="U16" s="527"/>
      <c r="V16" s="527"/>
      <c r="W16" s="519"/>
      <c r="X16" s="519"/>
      <c r="Y16" s="519"/>
      <c r="Z16" s="519"/>
      <c r="AA16" s="519"/>
      <c r="AB16" s="519"/>
      <c r="AC16" s="519"/>
      <c r="AD16" s="527"/>
      <c r="AE16" s="519"/>
      <c r="AF16" s="519"/>
      <c r="AG16" s="519"/>
      <c r="AH16" s="519"/>
      <c r="AI16" s="519"/>
      <c r="AJ16" s="519"/>
      <c r="AK16" s="519"/>
      <c r="AL16" s="527"/>
      <c r="AM16" s="519"/>
      <c r="AN16" s="519"/>
      <c r="AO16" s="39"/>
      <c r="AP16" s="39"/>
      <c r="AQ16" s="39"/>
      <c r="AR16" s="39"/>
      <c r="AS16" s="523"/>
      <c r="AT16" s="523"/>
      <c r="AU16" s="523"/>
      <c r="AV16" s="523"/>
      <c r="AW16" s="39"/>
      <c r="AX16" s="39"/>
      <c r="AY16" s="39"/>
      <c r="AZ16" s="39"/>
      <c r="BA16" s="523"/>
      <c r="BB16" s="523"/>
      <c r="BC16" s="523"/>
      <c r="BD16" s="523"/>
      <c r="BE16" s="39"/>
      <c r="BF16" s="39"/>
      <c r="BG16" s="39"/>
      <c r="BH16" s="39"/>
      <c r="BI16" s="523"/>
      <c r="BJ16" s="523"/>
      <c r="BK16" s="523"/>
      <c r="BL16" s="523"/>
      <c r="BM16" s="523"/>
      <c r="BN16" s="523"/>
      <c r="BO16" s="523"/>
      <c r="BP16" s="523"/>
      <c r="BQ16" s="39"/>
      <c r="BR16" s="39"/>
      <c r="BS16" s="39"/>
      <c r="BT16" s="39"/>
    </row>
    <row r="17" spans="1:150" x14ac:dyDescent="0.15">
      <c r="A17" s="470"/>
      <c r="C17" s="470"/>
      <c r="D17" s="470"/>
      <c r="E17" s="470"/>
      <c r="F17" s="470"/>
      <c r="K17" s="470"/>
      <c r="L17" s="470"/>
      <c r="M17" s="470"/>
      <c r="N17" s="470"/>
      <c r="O17" s="472"/>
      <c r="P17" s="472"/>
      <c r="Q17" s="472"/>
      <c r="R17" s="472"/>
      <c r="S17" s="472"/>
      <c r="T17" s="472"/>
      <c r="U17" s="472"/>
      <c r="V17" s="472"/>
      <c r="W17" s="469"/>
      <c r="X17" s="469"/>
      <c r="Y17" s="469"/>
      <c r="Z17" s="469"/>
      <c r="AA17" s="469"/>
      <c r="AB17" s="469"/>
      <c r="AC17" s="469"/>
      <c r="AD17" s="472"/>
      <c r="AE17" s="469"/>
      <c r="AF17" s="469"/>
      <c r="AG17" s="469"/>
      <c r="AH17" s="469"/>
      <c r="AI17" s="469"/>
      <c r="AJ17" s="469"/>
      <c r="AK17" s="469"/>
      <c r="AL17" s="472"/>
      <c r="AM17" s="469"/>
      <c r="AN17" s="469"/>
      <c r="AO17" s="39"/>
      <c r="AP17" s="39"/>
      <c r="AQ17" s="39"/>
      <c r="AR17" s="39"/>
      <c r="AS17" s="473"/>
      <c r="AT17" s="473"/>
      <c r="AU17" s="473"/>
      <c r="AV17" s="473"/>
      <c r="AW17" s="39"/>
      <c r="AX17" s="39"/>
      <c r="AY17" s="39"/>
      <c r="AZ17" s="39"/>
      <c r="BA17" s="473"/>
      <c r="BB17" s="473"/>
      <c r="BC17" s="473"/>
      <c r="BD17" s="473"/>
      <c r="BE17" s="39"/>
      <c r="BF17" s="39"/>
      <c r="BG17" s="39"/>
      <c r="BH17" s="39"/>
      <c r="BI17" s="473"/>
      <c r="BJ17" s="473"/>
      <c r="BK17" s="473"/>
      <c r="BL17" s="473"/>
      <c r="BM17" s="473"/>
      <c r="BN17" s="473"/>
      <c r="BO17" s="473"/>
      <c r="BP17" s="473"/>
      <c r="BQ17" s="39"/>
      <c r="BR17" s="39"/>
      <c r="BS17" s="39"/>
      <c r="BT17" s="39"/>
    </row>
    <row r="18" spans="1:150" x14ac:dyDescent="0.15">
      <c r="A18" s="445"/>
      <c r="C18" s="445"/>
      <c r="D18" s="445"/>
      <c r="E18" s="445"/>
      <c r="F18" s="445"/>
      <c r="K18" s="445"/>
      <c r="L18" s="445"/>
      <c r="M18" s="445"/>
      <c r="N18" s="445"/>
      <c r="W18" s="444"/>
      <c r="X18" s="444"/>
      <c r="Y18" s="444"/>
      <c r="Z18" s="444"/>
      <c r="AA18" s="444"/>
      <c r="AB18" s="444"/>
      <c r="AC18" s="444"/>
      <c r="AE18" s="444"/>
      <c r="AF18" s="444"/>
      <c r="AG18" s="444"/>
      <c r="AH18" s="444"/>
      <c r="AI18" s="444"/>
      <c r="AJ18" s="444"/>
      <c r="AK18" s="444"/>
      <c r="AL18" s="451"/>
      <c r="AM18" s="444"/>
      <c r="AN18" s="444"/>
      <c r="AO18" s="39"/>
      <c r="AP18" s="39"/>
      <c r="AQ18" s="39"/>
      <c r="AR18" s="39"/>
      <c r="AS18" s="447"/>
      <c r="AT18" s="447"/>
      <c r="AU18" s="447"/>
      <c r="AV18" s="447"/>
      <c r="AW18" s="39"/>
      <c r="AX18" s="39"/>
      <c r="AY18" s="39"/>
      <c r="AZ18" s="39"/>
      <c r="BA18" s="447"/>
      <c r="BB18" s="447"/>
      <c r="BC18" s="447"/>
      <c r="BD18" s="447"/>
      <c r="BE18" s="39"/>
      <c r="BF18" s="39"/>
      <c r="BG18" s="39"/>
      <c r="BH18" s="39"/>
      <c r="BI18" s="447"/>
      <c r="BJ18" s="447"/>
      <c r="BK18" s="447"/>
      <c r="BL18" s="447"/>
      <c r="BM18" s="447"/>
      <c r="BN18" s="447"/>
      <c r="BO18" s="447"/>
      <c r="BP18" s="447"/>
      <c r="BQ18" s="39"/>
      <c r="BR18" s="39"/>
      <c r="BS18" s="39"/>
      <c r="BT18" s="39"/>
    </row>
    <row r="19" spans="1:150" x14ac:dyDescent="0.15">
      <c r="A19" s="307"/>
      <c r="C19" s="307"/>
      <c r="D19" s="307"/>
      <c r="E19" s="307"/>
      <c r="F19" s="307"/>
      <c r="K19" s="307"/>
      <c r="L19" s="307"/>
      <c r="M19" s="307"/>
      <c r="N19" s="307"/>
      <c r="AE19" s="312"/>
      <c r="AF19" s="312"/>
      <c r="AG19" s="312"/>
      <c r="AH19" s="312"/>
      <c r="AI19" s="312"/>
      <c r="AJ19" s="312"/>
      <c r="AK19" s="312"/>
      <c r="AL19" s="312"/>
      <c r="AM19" s="306"/>
      <c r="AN19" s="306"/>
      <c r="AO19" s="39"/>
      <c r="AP19" s="39"/>
      <c r="AQ19" s="39"/>
      <c r="AR19" s="39"/>
      <c r="AS19" s="447"/>
      <c r="AT19" s="447"/>
      <c r="AU19" s="447"/>
      <c r="AV19" s="447"/>
      <c r="AW19" s="39"/>
      <c r="AX19" s="39"/>
      <c r="AY19" s="39"/>
      <c r="AZ19" s="39"/>
      <c r="BA19" s="354"/>
      <c r="BB19" s="354"/>
      <c r="BC19" s="354"/>
      <c r="BD19" s="354"/>
      <c r="BE19" s="39"/>
      <c r="BF19" s="39"/>
      <c r="BG19" s="39"/>
      <c r="BH19" s="39"/>
      <c r="BI19" s="337"/>
      <c r="BJ19" s="337"/>
      <c r="BK19" s="337"/>
      <c r="BL19" s="337"/>
      <c r="BM19" s="309"/>
      <c r="BN19" s="309"/>
      <c r="BO19" s="309"/>
      <c r="BP19" s="309"/>
      <c r="BQ19" s="39"/>
      <c r="BR19" s="39"/>
      <c r="BS19" s="39"/>
      <c r="BT19" s="39"/>
    </row>
    <row r="20" spans="1:150" x14ac:dyDescent="0.15">
      <c r="A20" s="297"/>
      <c r="C20" s="297"/>
      <c r="D20" s="297"/>
      <c r="E20" s="297"/>
      <c r="F20" s="297"/>
      <c r="K20" s="297"/>
      <c r="L20" s="297"/>
      <c r="M20" s="297"/>
      <c r="N20" s="297"/>
      <c r="AE20" s="300"/>
      <c r="AF20" s="300"/>
      <c r="AG20" s="300"/>
      <c r="AH20" s="300"/>
      <c r="AI20" s="300"/>
      <c r="AJ20" s="300"/>
      <c r="AK20" s="300"/>
      <c r="AL20" s="300"/>
      <c r="AM20" s="296"/>
      <c r="AN20" s="296"/>
      <c r="AO20" s="39"/>
      <c r="AP20" s="39"/>
      <c r="AQ20" s="39"/>
      <c r="AR20" s="39"/>
      <c r="AS20" s="447"/>
      <c r="AT20" s="447"/>
      <c r="AU20" s="447"/>
      <c r="AV20" s="447"/>
      <c r="AW20" s="39"/>
      <c r="AX20" s="39"/>
      <c r="AY20" s="39"/>
      <c r="AZ20" s="39"/>
      <c r="BA20" s="354"/>
      <c r="BB20" s="354"/>
      <c r="BC20" s="354"/>
      <c r="BD20" s="354"/>
      <c r="BE20" s="39"/>
      <c r="BF20" s="39"/>
      <c r="BG20" s="39"/>
      <c r="BH20" s="39"/>
      <c r="BI20" s="337"/>
      <c r="BJ20" s="337"/>
      <c r="BK20" s="337"/>
      <c r="BL20" s="337"/>
      <c r="BM20" s="301"/>
      <c r="BN20" s="301"/>
      <c r="BO20" s="301"/>
      <c r="BP20" s="301"/>
      <c r="BQ20" s="39"/>
      <c r="BR20" s="39"/>
      <c r="BS20" s="39"/>
      <c r="BT20" s="39"/>
    </row>
    <row r="21" spans="1:150" x14ac:dyDescent="0.15">
      <c r="A21" s="297"/>
      <c r="C21" s="297"/>
      <c r="D21" s="297"/>
      <c r="E21" s="297"/>
      <c r="F21" s="297"/>
      <c r="K21" s="297"/>
      <c r="L21" s="297"/>
      <c r="M21" s="297"/>
      <c r="N21" s="297"/>
      <c r="AE21" s="300"/>
      <c r="AF21" s="300"/>
      <c r="AG21" s="300"/>
      <c r="AH21" s="300"/>
      <c r="AI21" s="300"/>
      <c r="AJ21" s="300"/>
      <c r="AK21" s="300"/>
      <c r="AL21" s="300"/>
      <c r="AM21" s="296"/>
      <c r="AN21" s="296"/>
      <c r="AO21" s="39"/>
      <c r="AP21" s="39"/>
      <c r="AQ21" s="39"/>
      <c r="AR21" s="39"/>
      <c r="AS21" s="447"/>
      <c r="AT21" s="447"/>
      <c r="AU21" s="447"/>
      <c r="AV21" s="447"/>
      <c r="AW21" s="39"/>
      <c r="AX21" s="39"/>
      <c r="AY21" s="39"/>
      <c r="AZ21" s="39"/>
      <c r="BA21" s="354"/>
      <c r="BB21" s="354"/>
      <c r="BC21" s="354"/>
      <c r="BD21" s="354"/>
      <c r="BE21" s="39"/>
      <c r="BF21" s="39"/>
      <c r="BG21" s="39"/>
      <c r="BH21" s="39"/>
      <c r="BI21" s="337"/>
      <c r="BJ21" s="337"/>
      <c r="BK21" s="337"/>
      <c r="BL21" s="337"/>
      <c r="BM21" s="301"/>
      <c r="BN21" s="301"/>
      <c r="BO21" s="301"/>
      <c r="BP21" s="301"/>
      <c r="BQ21" s="39"/>
      <c r="BR21" s="39"/>
      <c r="BS21" s="39"/>
      <c r="BT21" s="39"/>
    </row>
    <row r="22" spans="1:150" x14ac:dyDescent="0.15">
      <c r="A22" s="271"/>
      <c r="C22" s="271"/>
      <c r="D22" s="271"/>
      <c r="E22" s="271"/>
      <c r="F22" s="271"/>
      <c r="K22" s="271"/>
      <c r="L22" s="271"/>
      <c r="M22" s="271"/>
      <c r="N22" s="271"/>
      <c r="AE22" s="274"/>
      <c r="AF22" s="274"/>
      <c r="AG22" s="274"/>
      <c r="AH22" s="274"/>
      <c r="AI22" s="274"/>
      <c r="AJ22" s="274"/>
      <c r="AK22" s="274"/>
      <c r="AL22" s="274"/>
      <c r="AM22" s="270"/>
      <c r="AN22" s="270"/>
      <c r="AO22" s="39"/>
      <c r="AP22" s="39"/>
      <c r="AQ22" s="39"/>
      <c r="AR22" s="39"/>
      <c r="AS22" s="447"/>
      <c r="AT22" s="447"/>
      <c r="AU22" s="447"/>
      <c r="AV22" s="447"/>
      <c r="AW22" s="39"/>
      <c r="AX22" s="39"/>
      <c r="AY22" s="39"/>
      <c r="AZ22" s="39"/>
      <c r="BA22" s="354"/>
      <c r="BB22" s="354"/>
      <c r="BC22" s="354"/>
      <c r="BD22" s="354"/>
      <c r="BE22" s="39"/>
      <c r="BF22" s="39"/>
      <c r="BG22" s="39"/>
      <c r="BH22" s="39"/>
      <c r="BI22" s="337"/>
      <c r="BJ22" s="337"/>
      <c r="BK22" s="337"/>
      <c r="BL22" s="337"/>
      <c r="BM22" s="272"/>
      <c r="BN22" s="272"/>
      <c r="BO22" s="272"/>
      <c r="BP22" s="272"/>
      <c r="BQ22" s="39"/>
      <c r="BR22" s="39"/>
      <c r="BS22" s="39"/>
      <c r="BT22" s="39"/>
    </row>
    <row r="23" spans="1:150" x14ac:dyDescent="0.15">
      <c r="AO23" s="39"/>
      <c r="AP23" s="39"/>
      <c r="AQ23" s="39"/>
      <c r="AR23" s="39"/>
      <c r="AS23" s="447"/>
      <c r="AT23" s="447"/>
      <c r="AU23" s="447"/>
      <c r="AV23" s="447"/>
      <c r="AW23" s="39"/>
      <c r="AX23" s="39"/>
      <c r="AY23" s="39"/>
      <c r="AZ23" s="39"/>
      <c r="BA23" s="354"/>
      <c r="BB23" s="354"/>
      <c r="BC23" s="354"/>
      <c r="BD23" s="354"/>
      <c r="BE23" s="39"/>
      <c r="BF23" s="39"/>
      <c r="BG23" s="39"/>
      <c r="BH23" s="39"/>
      <c r="BI23" s="337"/>
      <c r="BJ23" s="337"/>
      <c r="BK23" s="337"/>
      <c r="BL23" s="337"/>
      <c r="BM23" s="44"/>
      <c r="BN23" s="44"/>
      <c r="BO23" s="44"/>
      <c r="BP23" s="44"/>
      <c r="BQ23" s="39"/>
      <c r="BR23" s="39"/>
      <c r="BS23" s="39"/>
      <c r="BT23" s="39"/>
    </row>
    <row r="24" spans="1:150" x14ac:dyDescent="0.15">
      <c r="B24" s="117"/>
      <c r="AO24" s="39"/>
      <c r="AP24" s="447"/>
      <c r="AQ24" s="39"/>
      <c r="AR24" s="39"/>
      <c r="AS24" s="447"/>
      <c r="AT24" s="447"/>
      <c r="AU24" s="447"/>
      <c r="AV24" s="447"/>
      <c r="AW24" s="39"/>
      <c r="AX24" s="354"/>
      <c r="AY24" s="39"/>
      <c r="AZ24" s="39"/>
      <c r="BA24" s="354"/>
      <c r="BB24" s="354"/>
      <c r="BC24" s="354"/>
      <c r="BD24" s="354"/>
      <c r="BE24" s="39"/>
      <c r="BF24" s="337"/>
      <c r="BG24" s="39"/>
      <c r="BH24" s="39"/>
      <c r="BI24" s="337"/>
      <c r="BJ24" s="337"/>
      <c r="BK24" s="337"/>
      <c r="BL24" s="337"/>
      <c r="BM24" s="44"/>
      <c r="BN24" s="44"/>
      <c r="BO24" s="44"/>
      <c r="BP24" s="44"/>
      <c r="BQ24" s="39"/>
      <c r="BR24" s="44"/>
      <c r="BS24" s="39"/>
      <c r="BT24" s="39"/>
    </row>
    <row r="25" spans="1:150" x14ac:dyDescent="0.15">
      <c r="B25" s="121" t="s">
        <v>73</v>
      </c>
      <c r="C25" s="271"/>
      <c r="D25" s="271"/>
      <c r="E25" s="271"/>
      <c r="I25" s="35"/>
      <c r="J25" s="35"/>
      <c r="AO25" s="39"/>
      <c r="AP25" s="452"/>
      <c r="AQ25" s="39"/>
      <c r="AR25" s="39"/>
      <c r="AS25" s="447"/>
      <c r="AT25" s="447"/>
      <c r="AU25" s="447"/>
      <c r="AV25" s="447"/>
      <c r="AW25" s="39"/>
      <c r="AX25" s="356"/>
      <c r="AY25" s="39"/>
      <c r="AZ25" s="39"/>
      <c r="BA25" s="354"/>
      <c r="BB25" s="354"/>
      <c r="BC25" s="354"/>
      <c r="BD25" s="354"/>
      <c r="BE25" s="39"/>
      <c r="BF25" s="339"/>
      <c r="BG25" s="39"/>
      <c r="BH25" s="39"/>
      <c r="BI25" s="337"/>
      <c r="BJ25" s="337"/>
      <c r="BK25" s="337"/>
      <c r="BL25" s="337"/>
      <c r="BM25" s="44"/>
      <c r="BN25" s="44"/>
      <c r="BO25" s="44"/>
      <c r="BP25" s="44"/>
      <c r="BQ25" s="39"/>
      <c r="BR25" s="46"/>
      <c r="BS25" s="39"/>
      <c r="BT25" s="39"/>
    </row>
    <row r="26" spans="1:150" x14ac:dyDescent="0.15">
      <c r="B26" s="106" t="s">
        <v>91</v>
      </c>
      <c r="C26" s="107"/>
      <c r="D26" s="107"/>
      <c r="E26" s="107"/>
      <c r="F26" s="107"/>
      <c r="G26" s="107"/>
      <c r="H26" s="108"/>
      <c r="I26" s="109"/>
      <c r="J26" s="148"/>
      <c r="K26" s="184"/>
      <c r="AO26" s="13"/>
      <c r="AP26" s="13"/>
      <c r="AQ26" s="13"/>
      <c r="AW26" s="13"/>
      <c r="AX26" s="13"/>
      <c r="AY26" s="13"/>
      <c r="BE26" s="13"/>
      <c r="BF26" s="13"/>
      <c r="BG26" s="13"/>
    </row>
    <row r="27" spans="1:150" x14ac:dyDescent="0.15">
      <c r="B27" s="40" t="s">
        <v>58</v>
      </c>
      <c r="I27" s="35"/>
      <c r="J27" s="35"/>
    </row>
    <row r="28" spans="1:150" x14ac:dyDescent="0.15">
      <c r="A28" s="379"/>
      <c r="B28" s="390" t="s">
        <v>89</v>
      </c>
      <c r="C28" s="391"/>
      <c r="D28" s="391"/>
      <c r="E28" s="391"/>
      <c r="F28" s="392"/>
      <c r="G28" s="391"/>
      <c r="H28" s="393"/>
      <c r="I28" s="391"/>
      <c r="J28" s="391"/>
      <c r="K28" s="394"/>
      <c r="L28" s="395"/>
      <c r="M28" s="396"/>
      <c r="N28" s="379"/>
      <c r="O28" s="443"/>
      <c r="P28" s="443"/>
      <c r="Q28" s="443"/>
      <c r="R28" s="443"/>
      <c r="S28" s="443"/>
      <c r="T28" s="443"/>
      <c r="U28" s="443"/>
      <c r="V28" s="443"/>
      <c r="W28" s="443"/>
      <c r="X28" s="443"/>
      <c r="Y28" s="443"/>
      <c r="Z28" s="443"/>
      <c r="AA28" s="443"/>
      <c r="AB28" s="443"/>
      <c r="AC28" s="443"/>
      <c r="AD28" s="443"/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127"/>
      <c r="AP28" s="439"/>
      <c r="AQ28" s="127"/>
      <c r="AR28" s="127"/>
      <c r="AS28" s="127"/>
      <c r="AT28" s="127"/>
      <c r="AU28" s="127"/>
      <c r="AV28" s="127"/>
      <c r="AW28" s="127"/>
      <c r="AX28" s="127"/>
      <c r="AY28" s="381"/>
      <c r="AZ28" s="127"/>
      <c r="BA28" s="127"/>
      <c r="BB28" s="127"/>
      <c r="BC28" s="127"/>
      <c r="BD28" s="127"/>
      <c r="BE28" s="127"/>
      <c r="BF28" s="381"/>
      <c r="BG28" s="127"/>
      <c r="BH28" s="127"/>
      <c r="BI28" s="127"/>
      <c r="BJ28" s="127"/>
      <c r="BK28" s="127"/>
      <c r="BL28" s="127"/>
      <c r="BM28" s="381"/>
      <c r="BN28" s="127"/>
      <c r="BO28" s="127"/>
      <c r="BP28" s="127"/>
      <c r="BQ28" s="127"/>
      <c r="BR28" s="127"/>
      <c r="BS28" s="127"/>
      <c r="BT28" s="381"/>
      <c r="BU28" s="127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0"/>
      <c r="CR28" s="150"/>
      <c r="CS28" s="150"/>
      <c r="CT28" s="150"/>
      <c r="CU28" s="150"/>
      <c r="CV28" s="150"/>
      <c r="CW28" s="150"/>
      <c r="CX28" s="150"/>
      <c r="CY28" s="150"/>
      <c r="CZ28" s="150"/>
      <c r="DA28" s="150"/>
      <c r="DB28" s="150"/>
      <c r="DC28" s="150"/>
      <c r="DD28" s="150"/>
      <c r="DE28" s="150"/>
      <c r="DF28" s="150"/>
      <c r="DG28" s="150"/>
      <c r="DH28" s="150"/>
      <c r="DI28" s="150"/>
      <c r="DJ28" s="150"/>
      <c r="DK28" s="150"/>
      <c r="DL28" s="150"/>
      <c r="DM28" s="150"/>
      <c r="DN28" s="150"/>
      <c r="DO28" s="150"/>
      <c r="DP28" s="150"/>
      <c r="DQ28" s="150"/>
      <c r="DR28" s="150"/>
      <c r="DS28" s="150"/>
      <c r="DT28" s="150"/>
      <c r="DU28" s="150"/>
      <c r="DV28" s="150"/>
      <c r="DW28" s="150"/>
      <c r="DX28" s="150"/>
      <c r="DY28" s="150"/>
      <c r="DZ28" s="150"/>
      <c r="EA28" s="150"/>
      <c r="EB28" s="150"/>
      <c r="EC28" s="150"/>
      <c r="ED28" s="150"/>
      <c r="EE28" s="150"/>
      <c r="EF28" s="150"/>
      <c r="EG28" s="150"/>
      <c r="EH28" s="150"/>
      <c r="EI28" s="150"/>
      <c r="EJ28" s="150"/>
      <c r="EK28" s="150"/>
      <c r="EL28" s="150"/>
      <c r="EM28" s="150"/>
      <c r="EN28" s="150"/>
      <c r="EO28" s="150"/>
      <c r="EP28" s="150"/>
      <c r="EQ28" s="150"/>
      <c r="ER28" s="150"/>
      <c r="ES28" s="150"/>
      <c r="ET28" s="150"/>
    </row>
    <row r="29" spans="1:150" x14ac:dyDescent="0.15">
      <c r="B29" s="40" t="s">
        <v>56</v>
      </c>
      <c r="I29" s="35"/>
      <c r="J29" s="35"/>
    </row>
  </sheetData>
  <sortState ref="A7:ET14">
    <sortCondition descending="1" ref="F7:F14"/>
    <sortCondition descending="1" ref="H7:H14"/>
    <sortCondition descending="1" ref="E7:E14"/>
  </sortState>
  <mergeCells count="35">
    <mergeCell ref="AW1:AZ1"/>
    <mergeCell ref="AW2:AZ2"/>
    <mergeCell ref="AO3:AR3"/>
    <mergeCell ref="BE2:BH2"/>
    <mergeCell ref="BE3:BH3"/>
    <mergeCell ref="AW3:AZ3"/>
    <mergeCell ref="AO1:AR1"/>
    <mergeCell ref="BE1:BH1"/>
    <mergeCell ref="K2:M2"/>
    <mergeCell ref="K1:M1"/>
    <mergeCell ref="AO2:AR2"/>
    <mergeCell ref="AS2:AV2"/>
    <mergeCell ref="W1:AD1"/>
    <mergeCell ref="AE1:AL1"/>
    <mergeCell ref="W2:AD2"/>
    <mergeCell ref="AE2:AL2"/>
    <mergeCell ref="AS1:AV1"/>
    <mergeCell ref="O1:V1"/>
    <mergeCell ref="O2:V2"/>
    <mergeCell ref="BU3:BX3"/>
    <mergeCell ref="BU1:BX1"/>
    <mergeCell ref="BU2:BX2"/>
    <mergeCell ref="BA3:BD3"/>
    <mergeCell ref="AS3:AV3"/>
    <mergeCell ref="BI3:BL3"/>
    <mergeCell ref="BQ1:BT1"/>
    <mergeCell ref="BQ2:BT2"/>
    <mergeCell ref="BA1:BD1"/>
    <mergeCell ref="BA2:BD2"/>
    <mergeCell ref="BI1:BL1"/>
    <mergeCell ref="BQ3:BT3"/>
    <mergeCell ref="BM1:BP1"/>
    <mergeCell ref="BM2:BP2"/>
    <mergeCell ref="BM3:BP3"/>
    <mergeCell ref="BI2:BL2"/>
  </mergeCells>
  <phoneticPr fontId="0" type="noConversion"/>
  <pageMargins left="0.66929133858267698" right="0.66929133858267698" top="0.98425196850393704" bottom="0.78740157480314998" header="0.511811023622047" footer="0.511811023622047"/>
  <pageSetup scale="44" orientation="landscape" r:id="rId1"/>
  <headerFooter alignWithMargins="0">
    <oddHeader>&amp;L&amp;A&amp;R&amp;F</oddHeader>
    <oddFooter>&amp;CPage &amp;P</oddFooter>
  </headerFooter>
  <colBreaks count="2" manualBreakCount="2">
    <brk id="22" max="29" man="1"/>
    <brk id="48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TRA-M</vt:lpstr>
      <vt:lpstr>TRA-W</vt:lpstr>
      <vt:lpstr>SYN-M</vt:lpstr>
      <vt:lpstr>SYN-W</vt:lpstr>
      <vt:lpstr>TUM-M</vt:lpstr>
      <vt:lpstr>TUM-W</vt:lpstr>
      <vt:lpstr>DMT-M</vt:lpstr>
      <vt:lpstr>DMT-W</vt:lpstr>
      <vt:lpstr>'DMT-M'!Print_Area</vt:lpstr>
      <vt:lpstr>'DMT-W'!Print_Area</vt:lpstr>
      <vt:lpstr>'SYN-M'!Print_Area</vt:lpstr>
      <vt:lpstr>'SYN-W'!Print_Area</vt:lpstr>
      <vt:lpstr>'TRA-M'!Print_Area</vt:lpstr>
      <vt:lpstr>'TRA-W'!Print_Area</vt:lpstr>
      <vt:lpstr>'TUM-M'!Print_Area</vt:lpstr>
      <vt:lpstr>'TUM-W'!Print_Area</vt:lpstr>
    </vt:vector>
  </TitlesOfParts>
  <Company>Technologies Azur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w-rd-010</dc:creator>
  <cp:lastModifiedBy>Trevor Stirling</cp:lastModifiedBy>
  <cp:lastPrinted>2007-09-20T21:14:12Z</cp:lastPrinted>
  <dcterms:created xsi:type="dcterms:W3CDTF">2004-04-14T14:55:58Z</dcterms:created>
  <dcterms:modified xsi:type="dcterms:W3CDTF">2018-06-02T15:31:17Z</dcterms:modified>
</cp:coreProperties>
</file>