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9f5859131044115/Documents/2. Training/Coursera/Excel in BA/"/>
    </mc:Choice>
  </mc:AlternateContent>
  <xr:revisionPtr revIDLastSave="3564" documentId="8_{089B95A4-E822-4FA9-AAD8-FBC7F09E1EFB}" xr6:coauthVersionLast="47" xr6:coauthVersionMax="47" xr10:uidLastSave="{4F25B8AE-4CDD-452E-A27E-C866F82748A1}"/>
  <bookViews>
    <workbookView xWindow="-120" yWindow="-120" windowWidth="29040" windowHeight="15720" xr2:uid="{B448B522-4F51-4C69-86F0-015372A50C66}"/>
  </bookViews>
  <sheets>
    <sheet name="How to read" sheetId="3" r:id="rId1"/>
    <sheet name="1. Basic Budgeting" sheetId="1" r:id="rId2"/>
    <sheet name="2. Modeling Profit &amp; Break-Even" sheetId="2" r:id="rId3"/>
    <sheet name="3. Decision Analysis (Reg. NPV)" sheetId="4" r:id="rId4"/>
    <sheet name="4. Biz Optimization (Lin. Prg.)" sheetId="5" r:id="rId5"/>
    <sheet name="LP template" sheetId="6" state="hidden" r:id="rId6"/>
  </sheets>
  <definedNames>
    <definedName name="solver_adj" localSheetId="4" hidden="1">'4. Biz Optimization (Lin. Prg.)'!$H$54:$V$54</definedName>
    <definedName name="solver_cvg" localSheetId="4" hidden="1">0.0001</definedName>
    <definedName name="solver_drv" localSheetId="4" hidden="1">1</definedName>
    <definedName name="solver_eng" localSheetId="4" hidden="1">2</definedName>
    <definedName name="solver_est" localSheetId="4" hidden="1">1</definedName>
    <definedName name="solver_itr" localSheetId="4" hidden="1">2147483647</definedName>
    <definedName name="solver_lhs1" localSheetId="4" hidden="1">'4. Biz Optimization (Lin. Prg.)'!$W$61:$W$63</definedName>
    <definedName name="solver_lhs2" localSheetId="4" hidden="1">'4. Biz Optimization (Lin. Prg.)'!$W$64:$W$68</definedName>
    <definedName name="solver_lhs3" localSheetId="4" hidden="1">'4. Biz Optimization (Lin. Prg.)'!$M$45</definedName>
    <definedName name="solver_lhs4" localSheetId="4" hidden="1">'4. Biz Optimization (Lin. Prg.)'!$M$45</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1</definedName>
    <definedName name="solver_nod" localSheetId="4" hidden="1">2147483647</definedName>
    <definedName name="solver_num" localSheetId="4" hidden="1">2</definedName>
    <definedName name="solver_nwt" localSheetId="4" hidden="1">1</definedName>
    <definedName name="solver_opt" localSheetId="4" hidden="1">'4. Biz Optimization (Lin. Prg.)'!$H$58</definedName>
    <definedName name="solver_pre" localSheetId="4" hidden="1">0.000001</definedName>
    <definedName name="solver_rbv" localSheetId="4" hidden="1">1</definedName>
    <definedName name="solver_rel1" localSheetId="4" hidden="1">1</definedName>
    <definedName name="solver_rel2" localSheetId="4" hidden="1">2</definedName>
    <definedName name="solver_rel3" localSheetId="4" hidden="1">1</definedName>
    <definedName name="solver_rel4" localSheetId="4" hidden="1">1</definedName>
    <definedName name="solver_rhs1" localSheetId="4" hidden="1">'4. Biz Optimization (Lin. Prg.)'!$Y$61:$Y$63</definedName>
    <definedName name="solver_rhs2" localSheetId="4" hidden="1">'4. Biz Optimization (Lin. Prg.)'!$Y$64:$Y$68</definedName>
    <definedName name="solver_rhs3" localSheetId="4" hidden="1">'4. Biz Optimization (Lin. Prg.)'!$O$45</definedName>
    <definedName name="solver_rhs4" localSheetId="4" hidden="1">'4. Biz Optimization (Lin. Prg.)'!$O$45</definedName>
    <definedName name="solver_rlx" localSheetId="4" hidden="1">2</definedName>
    <definedName name="solver_rsd" localSheetId="4" hidden="1">0</definedName>
    <definedName name="solver_scl" localSheetId="4" hidden="1">1</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2</definedName>
    <definedName name="solver_val" localSheetId="4" hidden="1">0</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8" i="5" l="1"/>
  <c r="W68" i="5"/>
  <c r="W62" i="5"/>
  <c r="W63" i="5"/>
  <c r="W64" i="5"/>
  <c r="W65" i="5"/>
  <c r="W66" i="5"/>
  <c r="W67" i="5"/>
  <c r="W61" i="5"/>
  <c r="M43" i="5"/>
  <c r="M44" i="5"/>
  <c r="O43" i="5"/>
  <c r="M42" i="5"/>
  <c r="O42" i="5"/>
  <c r="M45" i="5"/>
  <c r="H39" i="5"/>
  <c r="J26" i="5" l="1"/>
  <c r="J25" i="5"/>
  <c r="J13" i="5"/>
  <c r="J12" i="5"/>
  <c r="J11" i="5"/>
  <c r="J9" i="5"/>
  <c r="J24" i="5"/>
  <c r="J23" i="5"/>
  <c r="J13" i="6"/>
  <c r="J12" i="6"/>
  <c r="H7" i="6"/>
  <c r="J10" i="5" l="1"/>
  <c r="J19" i="5" s="1"/>
  <c r="O56" i="4"/>
  <c r="U8" i="4"/>
  <c r="O57" i="4" l="1"/>
  <c r="O58" i="4" s="1"/>
  <c r="O59" i="4" s="1"/>
  <c r="O60" i="4" s="1"/>
  <c r="O61" i="4" s="1"/>
  <c r="O62" i="4" s="1"/>
  <c r="O63" i="4" s="1"/>
  <c r="O64" i="4" s="1"/>
  <c r="O65" i="4" s="1"/>
  <c r="O66" i="4" s="1"/>
  <c r="O67" i="4" s="1"/>
  <c r="O68" i="4" s="1"/>
  <c r="O69" i="4" s="1"/>
  <c r="O70" i="4" s="1"/>
  <c r="O71" i="4" s="1"/>
  <c r="O72" i="4" s="1"/>
  <c r="O73" i="4" s="1"/>
  <c r="O74" i="4" s="1"/>
  <c r="U9" i="4"/>
  <c r="M29" i="4"/>
  <c r="Q29" i="4" s="1"/>
  <c r="M30" i="4"/>
  <c r="Q30" i="4" s="1"/>
  <c r="M31" i="4"/>
  <c r="Q31" i="4" s="1"/>
  <c r="M32" i="4"/>
  <c r="Q32" i="4" s="1"/>
  <c r="M33" i="4"/>
  <c r="Q33" i="4" s="1"/>
  <c r="M34" i="4"/>
  <c r="Q34" i="4" s="1"/>
  <c r="M35" i="4"/>
  <c r="Q35" i="4" s="1"/>
  <c r="M36" i="4"/>
  <c r="Q36" i="4" s="1"/>
  <c r="M37" i="4"/>
  <c r="Q37" i="4" s="1"/>
  <c r="M38" i="4"/>
  <c r="Q38" i="4" s="1"/>
  <c r="M39" i="4"/>
  <c r="Q39" i="4" s="1"/>
  <c r="M28" i="4"/>
  <c r="Q28" i="4" s="1"/>
  <c r="L29" i="4"/>
  <c r="P29" i="4" s="1"/>
  <c r="L30" i="4"/>
  <c r="P30" i="4" s="1"/>
  <c r="L31" i="4"/>
  <c r="P31" i="4" s="1"/>
  <c r="L32" i="4"/>
  <c r="P32" i="4" s="1"/>
  <c r="L33" i="4"/>
  <c r="P33" i="4" s="1"/>
  <c r="L34" i="4"/>
  <c r="P34" i="4" s="1"/>
  <c r="L35" i="4"/>
  <c r="P35" i="4" s="1"/>
  <c r="L36" i="4"/>
  <c r="P36" i="4" s="1"/>
  <c r="L37" i="4"/>
  <c r="P37" i="4" s="1"/>
  <c r="L38" i="4"/>
  <c r="P38" i="4" s="1"/>
  <c r="L39" i="4"/>
  <c r="P39" i="4" s="1"/>
  <c r="L28" i="4"/>
  <c r="P28" i="4" s="1"/>
  <c r="K29" i="4"/>
  <c r="O29" i="4" s="1"/>
  <c r="K30" i="4"/>
  <c r="O30" i="4" s="1"/>
  <c r="K31" i="4"/>
  <c r="O31" i="4" s="1"/>
  <c r="K32" i="4"/>
  <c r="O32" i="4" s="1"/>
  <c r="K33" i="4"/>
  <c r="O33" i="4" s="1"/>
  <c r="K34" i="4"/>
  <c r="O34" i="4" s="1"/>
  <c r="K35" i="4"/>
  <c r="O35" i="4" s="1"/>
  <c r="K36" i="4"/>
  <c r="O36" i="4" s="1"/>
  <c r="K37" i="4"/>
  <c r="O37" i="4" s="1"/>
  <c r="K38" i="4"/>
  <c r="O38" i="4" s="1"/>
  <c r="K39" i="4"/>
  <c r="O39" i="4" s="1"/>
  <c r="K28" i="4"/>
  <c r="O28" i="4" s="1"/>
  <c r="F41" i="2"/>
  <c r="F38" i="2"/>
  <c r="F43" i="2" s="1"/>
  <c r="F16" i="2"/>
  <c r="F18" i="2" s="1"/>
  <c r="H33" i="1"/>
  <c r="G33" i="1"/>
  <c r="H29" i="1"/>
  <c r="H40" i="1" s="1"/>
  <c r="H41" i="1" s="1"/>
  <c r="G29" i="1"/>
  <c r="G40" i="1" s="1"/>
  <c r="L5" i="1"/>
  <c r="M5" i="1"/>
  <c r="U11" i="4" l="1"/>
  <c r="U12" i="4"/>
  <c r="K62" i="4"/>
  <c r="K63" i="4" s="1"/>
  <c r="P40" i="4"/>
  <c r="O40" i="4"/>
  <c r="Q40" i="4"/>
  <c r="F45" i="2"/>
  <c r="L33" i="2" s="1"/>
  <c r="F11" i="2"/>
  <c r="G35" i="1"/>
  <c r="I40" i="1"/>
  <c r="I41" i="1" s="1"/>
  <c r="I42" i="1" s="1"/>
  <c r="I43" i="1" s="1"/>
  <c r="I44" i="1" s="1"/>
  <c r="I45" i="1" s="1"/>
  <c r="H35" i="1"/>
  <c r="H42" i="1"/>
  <c r="G41" i="1"/>
  <c r="J40" i="1"/>
  <c r="K40" i="1"/>
  <c r="L9" i="1"/>
  <c r="M9" i="1"/>
  <c r="U13" i="4" l="1"/>
  <c r="F19" i="2"/>
  <c r="L5" i="2" s="1"/>
  <c r="M5" i="2"/>
  <c r="K41" i="1"/>
  <c r="G42" i="1"/>
  <c r="J41" i="1"/>
  <c r="H43" i="1"/>
  <c r="K42" i="1"/>
  <c r="L12" i="1"/>
  <c r="G14" i="1"/>
  <c r="H14" i="1"/>
  <c r="AJ5" i="4" l="1"/>
  <c r="AA5" i="4"/>
  <c r="H44" i="1"/>
  <c r="K43" i="1"/>
  <c r="G43" i="1"/>
  <c r="J42" i="1"/>
  <c r="G15" i="1"/>
  <c r="G20" i="1" s="1"/>
  <c r="G19" i="1"/>
  <c r="L21" i="1"/>
  <c r="H21" i="1"/>
  <c r="H20" i="1"/>
  <c r="H15" i="1"/>
  <c r="H19" i="1"/>
  <c r="G21" i="1" l="1"/>
  <c r="J43" i="1"/>
  <c r="G44" i="1"/>
  <c r="K44" i="1"/>
  <c r="H45" i="1"/>
  <c r="K45" i="1" s="1"/>
  <c r="J44" i="1" l="1"/>
  <c r="G45" i="1"/>
  <c r="J4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tc={7B714519-B88D-4E3A-91FA-46255E1A51AC}</author>
  </authors>
  <commentList>
    <comment ref="G13" authorId="0" shapeId="0" xr:uid="{940398B7-82A7-4B86-B08D-A9AA9B669BE1}">
      <text>
        <r>
          <rPr>
            <b/>
            <sz val="9"/>
            <color indexed="81"/>
            <rFont val="Tahoma"/>
            <family val="2"/>
            <charset val="163"/>
          </rPr>
          <t>Admin:</t>
        </r>
        <r>
          <rPr>
            <sz val="9"/>
            <color indexed="81"/>
            <rFont val="Tahoma"/>
            <family val="2"/>
            <charset val="163"/>
          </rPr>
          <t xml:space="preserve">
revenue and profit will be reflected whenever a change in the demand is captured</t>
        </r>
      </text>
    </comment>
    <comment ref="H15" authorId="1" shapeId="0" xr:uid="{7B714519-B88D-4E3A-91FA-46255E1A51AC}">
      <text>
        <t>[Threaded comment]
Your version of Excel allows you to read this threaded comment; however, any edits to it will get removed if the file is opened in a newer version of Excel. Learn more: https://go.microsoft.com/fwlink/?linkid=870924
Comment:
    the largest value in the range and the value 0 =&gt; always positive number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tc={D60FD11F-2D03-4253-BF84-79692CC1A2CB}</author>
  </authors>
  <commentList>
    <comment ref="L6" authorId="0" shapeId="0" xr:uid="{D60FD11F-2D03-4253-BF84-79692CC1A2CB}">
      <text>
        <t>[Threaded comment]
Your version of Excel allows you to read this threaded comment; however, any edits to it will get removed if the file is opened in a newer version of Excel. Learn more: https://go.microsoft.com/fwlink/?linkid=870924
Comment:
    Response rate (manual) =&gt; select table =&gt; data</t>
      </text>
    </comment>
  </commentList>
</comments>
</file>

<file path=xl/sharedStrings.xml><?xml version="1.0" encoding="utf-8"?>
<sst xmlns="http://schemas.openxmlformats.org/spreadsheetml/2006/main" count="372" uniqueCount="284">
  <si>
    <t>Anticipated Annual Cost Increase</t>
  </si>
  <si>
    <t>Current Unit Cost</t>
  </si>
  <si>
    <t>Labor</t>
  </si>
  <si>
    <t>Oak</t>
  </si>
  <si>
    <t>Cherry</t>
  </si>
  <si>
    <t>Woodworks Bookshelf Co.</t>
  </si>
  <si>
    <t>Total Expenses</t>
  </si>
  <si>
    <t>Total profit</t>
  </si>
  <si>
    <t>Loans</t>
  </si>
  <si>
    <t>Total revenue</t>
  </si>
  <si>
    <t>Savings</t>
  </si>
  <si>
    <t>Total costs</t>
  </si>
  <si>
    <t>Gifts</t>
  </si>
  <si>
    <t>Pet</t>
  </si>
  <si>
    <t>Apt Items</t>
  </si>
  <si>
    <t>Travel</t>
  </si>
  <si>
    <t>No of shirts sold (RP)</t>
  </si>
  <si>
    <t>Car</t>
  </si>
  <si>
    <t>No of shirts sold (FP)</t>
  </si>
  <si>
    <t>Food</t>
  </si>
  <si>
    <t>Demand</t>
  </si>
  <si>
    <t>Rent</t>
  </si>
  <si>
    <t>No of shirts ordered</t>
  </si>
  <si>
    <t>Expenses</t>
  </si>
  <si>
    <t>per shirt</t>
  </si>
  <si>
    <t>Net Income</t>
  </si>
  <si>
    <t>Retirement</t>
  </si>
  <si>
    <t>Costs</t>
  </si>
  <si>
    <t>Dental</t>
  </si>
  <si>
    <t>Medical</t>
  </si>
  <si>
    <t>Taxes (22%)</t>
  </si>
  <si>
    <t>Salary</t>
  </si>
  <si>
    <t>Revenues</t>
  </si>
  <si>
    <t>Income</t>
  </si>
  <si>
    <t>Budget</t>
  </si>
  <si>
    <t>Board Feet</t>
  </si>
  <si>
    <t>Material Cost</t>
  </si>
  <si>
    <t>Labor Rate</t>
  </si>
  <si>
    <t>Labor Required</t>
  </si>
  <si>
    <t>Labor Cost</t>
  </si>
  <si>
    <t>Total Cost</t>
  </si>
  <si>
    <t>Year</t>
  </si>
  <si>
    <t>Total Cherry</t>
  </si>
  <si>
    <t>Total Oak</t>
  </si>
  <si>
    <t>Quality Sweater Co.</t>
  </si>
  <si>
    <t>Printing</t>
  </si>
  <si>
    <t>per catalog</t>
  </si>
  <si>
    <t>Mailing</t>
  </si>
  <si>
    <t>Revenue</t>
  </si>
  <si>
    <t>per order</t>
  </si>
  <si>
    <t>Number of catalogs</t>
  </si>
  <si>
    <t>Average size of an order</t>
  </si>
  <si>
    <t>Variable</t>
  </si>
  <si>
    <t>Labor and material</t>
  </si>
  <si>
    <t>EXCEL IN BUSINESS ANALYTICS</t>
  </si>
  <si>
    <t>1. Purpose</t>
  </si>
  <si>
    <t>2. Structure</t>
  </si>
  <si>
    <t>Purpose</t>
  </si>
  <si>
    <t>1. Introduction to building spreadsheet models</t>
  </si>
  <si>
    <t>Scenario</t>
  </si>
  <si>
    <t>Randy is a t-shirt vendor who plans to order t-shirts with the names of the NCAA final four teams from a manufacturer and then sell them to fans.  The fixed cost of any order is $750, the variable cost per T-shirt to Randy is $8, and Randy’s selling price is $18.  However, this price will be charged only until a week after the tournament. After that time, Randy figures that the interest in the t-shirts will be low, so he plans to sell all remaining t-shirts, if any, at $6 each.  His best guess is that the demand for the t-shirts during the full price period will be 1500.  He is thinking about ordering 1450 t-shirts, but he wants to build a spreadsheet model that will let him experiment with the uncertain demand and his order quantity.  How should he proceed?</t>
  </si>
  <si>
    <t>Fixed cost</t>
  </si>
  <si>
    <t>Variable cost</t>
  </si>
  <si>
    <t>Full price</t>
  </si>
  <si>
    <t>Reduced price</t>
  </si>
  <si>
    <t>1.1. Create a Budget in Excel</t>
  </si>
  <si>
    <t>1.2. Create Tables and Charts</t>
  </si>
  <si>
    <t xml:space="preserve">The Woodworks Company produces a variety of custom-designed wood furniture, made from either cherry or oak. The company knows that wood prices and labor costs are likely to increase in the future. The table below shows the number of board-feet and labor hours required for a bookshelf, the current costs per board-foot and labor hour, and the anticipated annual increases in these costs.
Build a spreadsheet model that enables the company to experiment with the growth rates in wood and labor costs so that a manager can see, both numerically and graphically, how the costs of bookshelves vary in the next few years.
</t>
  </si>
  <si>
    <t>Required per Bookshelf</t>
  </si>
  <si>
    <t>Resources</t>
  </si>
  <si>
    <t>2. What-If Analysis</t>
  </si>
  <si>
    <t xml:space="preserve">The Quality Sweater Company sells hand-knitted sweaters.  The company is planning to print a catalog of its products and undertake a direct mail campaign.  The cost of printing the catalog is $20,000 plus $.10 per catalog.  The cost of mailing each catalog (including postage, order forms, and buying names from a mail-order database) is $0.15. In addition, the company plans to include direct reply envelopes in its mailing and incurs a $.20 in extra costs for each direct mail envelope used by a respondent.  The average size of a customer order is $40, and the company’s variable cost per order (primarily due to labor and material costs) averages about 80% of the order’s value – that is $32.  The company plans to mail 100,000 catalogs.  It wants to develop a spreadsheet model to answer the following questions:
a. How does a change in the response rate affect profit?
b. For what response rate does the company break even?
c. If the company estimates a response rate of 3%, should it proceed with the mailing?
d. How does the presence of uncertainty affect the usefulness of the model?  </t>
  </si>
  <si>
    <t>Reply envelop</t>
  </si>
  <si>
    <t>Response rate</t>
  </si>
  <si>
    <t>Total orders</t>
  </si>
  <si>
    <t>(Number of catalogs * Response rate)</t>
  </si>
  <si>
    <t>Total Revenue</t>
  </si>
  <si>
    <t>(Total orders * Average size of an order)</t>
  </si>
  <si>
    <t>Profit</t>
  </si>
  <si>
    <t>Total Profit</t>
  </si>
  <si>
    <t>Response Rate</t>
  </si>
  <si>
    <t>2.1. Modeling Profit and Breakeven Point</t>
  </si>
  <si>
    <t>2.2. Modeling Uncertain Demand</t>
  </si>
  <si>
    <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How many copies of this hardback novel should B&amp;N order from the publisher?</t>
  </si>
  <si>
    <t>B&amp;N Bookstore</t>
  </si>
  <si>
    <t>Cost</t>
  </si>
  <si>
    <t>Regular price</t>
  </si>
  <si>
    <t>Order</t>
  </si>
  <si>
    <t>Ordered</t>
  </si>
  <si>
    <t>Unit cost</t>
  </si>
  <si>
    <t>at least</t>
  </si>
  <si>
    <t>(500 - 4500)</t>
  </si>
  <si>
    <t>Sale price</t>
  </si>
  <si>
    <t>Surplus</t>
  </si>
  <si>
    <t>(min btw demand vs order * reg. price + surplus * sale price)</t>
  </si>
  <si>
    <t>Below is a summary of all the cases and Excel functions used:</t>
  </si>
  <si>
    <t>C</t>
  </si>
  <si>
    <r>
      <t xml:space="preserve">Using the </t>
    </r>
    <r>
      <rPr>
        <i/>
        <sz val="11"/>
        <color theme="1"/>
        <rFont val="Arial"/>
        <family val="2"/>
        <charset val="163"/>
        <scheme val="minor"/>
      </rPr>
      <t xml:space="preserve">Data Table </t>
    </r>
    <r>
      <rPr>
        <sz val="11"/>
        <color theme="1"/>
        <rFont val="Arial"/>
        <family val="2"/>
        <charset val="163"/>
        <scheme val="minor"/>
      </rPr>
      <t>function</t>
    </r>
    <r>
      <rPr>
        <i/>
        <sz val="11"/>
        <color theme="1"/>
        <rFont val="Arial"/>
        <family val="2"/>
        <charset val="163"/>
        <scheme val="minor"/>
      </rPr>
      <t xml:space="preserve"> </t>
    </r>
    <r>
      <rPr>
        <sz val="11"/>
        <color theme="1"/>
        <rFont val="Arial"/>
        <family val="2"/>
        <charset val="163"/>
        <scheme val="minor"/>
      </rPr>
      <t xml:space="preserve">in </t>
    </r>
    <r>
      <rPr>
        <i/>
        <sz val="11"/>
        <color theme="1"/>
        <rFont val="Arial"/>
        <family val="2"/>
        <charset val="163"/>
        <scheme val="minor"/>
      </rPr>
      <t>What-If</t>
    </r>
    <r>
      <rPr>
        <sz val="11"/>
        <color theme="1"/>
        <rFont val="Arial"/>
        <family val="2"/>
        <scheme val="minor"/>
      </rPr>
      <t xml:space="preserve"> </t>
    </r>
    <r>
      <rPr>
        <i/>
        <sz val="11"/>
        <color theme="1"/>
        <rFont val="Arial"/>
        <family val="2"/>
        <charset val="163"/>
        <scheme val="minor"/>
      </rPr>
      <t>Analysis (Data)</t>
    </r>
    <r>
      <rPr>
        <sz val="11"/>
        <color theme="1"/>
        <rFont val="Arial"/>
        <family val="2"/>
        <scheme val="minor"/>
      </rPr>
      <t>, the profits are automatically calculated in respective with different response rates. A column chart is also drawn to visualize the changes in profits. Be noted that the response rates are uncertain inputs.</t>
    </r>
  </si>
  <si>
    <t>3. Decision Analysis through Regression and NPV</t>
  </si>
  <si>
    <t>3.1. Modeling Demand and Price</t>
  </si>
  <si>
    <t>The 19th Hole sells golf clubs at its golf outlet stores throughout the US.  The company knows that the demand for its club varies considerably with price.  In the last year, the demand at each price level was recorded in the table below.</t>
  </si>
  <si>
    <t>Demand (00s)</t>
  </si>
  <si>
    <t>Month</t>
  </si>
  <si>
    <t>The company wants to estimate the relationship between demand and price and then use this estimated relationship to answer the following questions: </t>
  </si>
  <si>
    <t>Price ($)</t>
  </si>
  <si>
    <t>Intercept (b)</t>
  </si>
  <si>
    <t>Slope (m)</t>
  </si>
  <si>
    <t>Exponential: y = a e^(bx)</t>
  </si>
  <si>
    <t>Exponent (b)</t>
  </si>
  <si>
    <t>Constant (a)</t>
  </si>
  <si>
    <t>Linear</t>
  </si>
  <si>
    <t>Power</t>
  </si>
  <si>
    <t>Exponential</t>
  </si>
  <si>
    <t>Linear: y = mx + b</t>
  </si>
  <si>
    <t>Power: y = ax^b</t>
  </si>
  <si>
    <t>Absolute Percent Error</t>
  </si>
  <si>
    <t>Demand prediction based on models</t>
  </si>
  <si>
    <t>Model the business:</t>
  </si>
  <si>
    <t>per set of clubs</t>
  </si>
  <si>
    <t>(multiple of 10)</t>
  </si>
  <si>
    <t>(input from Power model)</t>
  </si>
  <si>
    <t>Actual demand</t>
  </si>
  <si>
    <t xml:space="preserve">- Explore changes in a business's profits by using what-if analysis tools in Excel including Data Tables and Goal Seek </t>
  </si>
  <si>
    <t>Modeling Profit and Breakeven points</t>
  </si>
  <si>
    <t>19th Hole</t>
  </si>
  <si>
    <t>Average (MAPE)</t>
  </si>
  <si>
    <t>We compute the Absolute Percent Error for three models in each price, then decide which model is the best fit based on the Mean Absolute Percent Error (MAPE). Based on MAPE, it seems that Power model is the best fit prediction model for Demand, with the lowest MAPE rate at 5.85%.</t>
  </si>
  <si>
    <t>It can be observed from the calculation and the visualization that the profit increases when the sale price rises below approximately $600, otherwise, the profit steadily decreases.</t>
  </si>
  <si>
    <t>a. Build a Data table to experiment how response rates will affect profits:</t>
  </si>
  <si>
    <r>
      <t xml:space="preserve">b. Using the </t>
    </r>
    <r>
      <rPr>
        <i/>
        <sz val="11"/>
        <color theme="1"/>
        <rFont val="Arial"/>
        <family val="2"/>
        <charset val="163"/>
        <scheme val="minor"/>
      </rPr>
      <t xml:space="preserve">Goal Seek </t>
    </r>
    <r>
      <rPr>
        <sz val="11"/>
        <color theme="1"/>
        <rFont val="Arial"/>
        <family val="2"/>
        <charset val="163"/>
        <scheme val="minor"/>
      </rPr>
      <t xml:space="preserve">function in </t>
    </r>
    <r>
      <rPr>
        <i/>
        <sz val="11"/>
        <color theme="1"/>
        <rFont val="Arial"/>
        <family val="2"/>
        <charset val="163"/>
        <scheme val="minor"/>
      </rPr>
      <t>What-If Analysis (Data), the company will have a breakeven point (zero profit) at the response rate of 5.77%.</t>
    </r>
  </si>
  <si>
    <t>c. The company should not proceed with the mailing at a response rate of 4% as the results show expectedly significant negative profits.</t>
  </si>
  <si>
    <t>d. The model supports decision making regarding mailing when there is an uncertainty in the response rate by presenting the possible profits for all expected response rates.</t>
  </si>
  <si>
    <t>a. Assuming the unit cost of producing a set of clubs is $250, and the price must be a multiple of $10, what price should the company charge to maximize its profit?</t>
  </si>
  <si>
    <t>b. How does the optimal price depend on the unit cost of producing a set of clubs?</t>
  </si>
  <si>
    <t>c. Is the model an accurate representation of reality?</t>
  </si>
  <si>
    <t>a. In the Sale price - Profit table, we can see that at the price of $530, the profit will be maximized at $ 1,042,213 (green cell).</t>
  </si>
  <si>
    <r>
      <t xml:space="preserve">Now we model the cost and sale price to see how they will affect the business profit by using </t>
    </r>
    <r>
      <rPr>
        <i/>
        <sz val="11"/>
        <color theme="1"/>
        <rFont val="Arial"/>
        <family val="2"/>
        <charset val="163"/>
        <scheme val="minor"/>
      </rPr>
      <t>What-if analysis</t>
    </r>
    <r>
      <rPr>
        <sz val="11"/>
        <color theme="1"/>
        <rFont val="Arial"/>
        <family val="2"/>
        <scheme val="minor"/>
      </rPr>
      <t>.</t>
    </r>
  </si>
  <si>
    <t>b. The relationship between price and unit cost is presented in the table Sale price - Unit cost. Maximum profit is highligted in green for each pair of sale price and unit cost. For example, the optimal price is $ 530 if the unit cost is $ 250. In that scenario, the profit will be maximized at $ 1,042,213.</t>
  </si>
  <si>
    <t>c. The model seems to be reasonable as the company has large stores throughout the US. Price can be adjusted to resonate to cities with more expensive/cheaper cost of living. Data for price and demand can be easily gathered and updated.</t>
  </si>
  <si>
    <t>3.2. Modeling Net Present Value (NPV)</t>
  </si>
  <si>
    <t>Relevant function values are drawn from the mathematical formulas of each prediction type so that we can build the prediction model.</t>
  </si>
  <si>
    <t>First,  we assess the relationship between Price and Demand based on historical data. A scatter plot with three different trendline functions (Linear, Power, and Exponential) is developed. Then, we predict the demand based on these three models, and compare with actual demand to see which model seems to be the best fit.</t>
  </si>
  <si>
    <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end of the respective years.  Using an annual discount rate of 12% for purposes of calculating net present value (NPV), the drug company wants to answer the following questions: 
a. Is the drug worth pursuing, or should Gopher Drugs abandon it now and not incur the $9.3M development cost?
b. How do changes in the model change the answer to the prior question?</t>
  </si>
  <si>
    <t>Gopher Drugs</t>
  </si>
  <si>
    <t>Development cost</t>
  </si>
  <si>
    <t>Life time</t>
  </si>
  <si>
    <t>years</t>
  </si>
  <si>
    <t>Year 1 margin</t>
  </si>
  <si>
    <t>Inc through year</t>
  </si>
  <si>
    <t>Rate of increase</t>
  </si>
  <si>
    <t>Rate of decrease</t>
  </si>
  <si>
    <t>Discount rate</t>
  </si>
  <si>
    <t>Cash flows:</t>
  </si>
  <si>
    <t>End of Year</t>
  </si>
  <si>
    <t>Gross Margin</t>
  </si>
  <si>
    <t>Net Present Value</t>
  </si>
  <si>
    <t>Present Value</t>
  </si>
  <si>
    <t>b. The model is also built with automated formulas so the user can flexibly adjust the rate of increase/decrease to see profit changes in different scenario.</t>
  </si>
  <si>
    <t>a. In order to decide whether this is a worth-pursuing product, we need to calculate the gross margin and net present value (NPV) of the product over 20-year lifetime. Based on given data, NPV is calculated at around 3.3 million USD, meaning the management level should proceed with the product as it will contribute a value of 3.3 million to the business.</t>
  </si>
  <si>
    <t>Decision Analysis with Regression and Net Present Value (NPV)</t>
  </si>
  <si>
    <t>Business Optimization with Linear Programming</t>
  </si>
  <si>
    <t>Typical Functions Used</t>
  </si>
  <si>
    <t>Tab</t>
  </si>
  <si>
    <t>Basic Budgeting</t>
  </si>
  <si>
    <t>The purpose of this file is to learn and apply Excel in solving different business problems. Various management science methods and models would be used, such as modeling profit, finding breakeven points, modeling to find optimal price/NPV, etc.</t>
  </si>
  <si>
    <t>#</t>
  </si>
  <si>
    <t>- Trendlines
- Mean Absolute Percentage Error (MAPE - to evaluate model fit)
- EXP, ABS
- IF, SUMIF, SUMPRODUCT
- Data visualization
- Visual charts</t>
  </si>
  <si>
    <t>- What-If analysis (Data table, Goal seek)
- IF
- VLOOKUP
- Conditional formatting
- Visual charts</t>
  </si>
  <si>
    <t>4. Business Optimization with Linear Programming (LP)</t>
  </si>
  <si>
    <t>A candidate for mayor has allocated $40,000 for last minute advertising in the days preceding the election.  Two types of ads will be used: radio and television.  Each radio ad costs $200 and reaches an estimated 3000 people.  Each television ad costs $500 and reaches an estimated 7000 people.  The campaigning mayor would like to reach as many people as possible, but she has stipulated that at least 10 ads of each type be used.  Also, the number of radio ads must be at least as great as the number of television ads. 
a. How many ads of each type should be used?
b. How many people will be reached?</t>
  </si>
  <si>
    <t>Variables:</t>
  </si>
  <si>
    <t>Constraint table:</t>
  </si>
  <si>
    <t>Objectives: (max)</t>
  </si>
  <si>
    <t>coefficient for objective</t>
  </si>
  <si>
    <t>&gt;=</t>
  </si>
  <si>
    <t>&lt;=</t>
  </si>
  <si>
    <t>always formula</t>
  </si>
  <si>
    <t>Sign</t>
  </si>
  <si>
    <t>RHS</t>
  </si>
  <si>
    <t>LHS</t>
  </si>
  <si>
    <t>Summary:</t>
  </si>
  <si>
    <t>Purchase 175 radio ads and 10 TV ads to reach a maximum of 595,000 people</t>
  </si>
  <si>
    <t>X</t>
  </si>
  <si>
    <t>Y</t>
  </si>
  <si>
    <t>4.1. LP and Net Profit</t>
  </si>
  <si>
    <t xml:space="preserve">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 </t>
  </si>
  <si>
    <t>Variables</t>
  </si>
  <si>
    <t>Constraints</t>
  </si>
  <si>
    <t>PC Tech</t>
  </si>
  <si>
    <t>No. of XPs</t>
  </si>
  <si>
    <t>No. of Basics</t>
  </si>
  <si>
    <t>at most 600 Basics</t>
  </si>
  <si>
    <t>at most 1200 XPs</t>
  </si>
  <si>
    <t>Objective (Max):</t>
  </si>
  <si>
    <t>Total:</t>
  </si>
  <si>
    <t>Parts</t>
  </si>
  <si>
    <t>at most 10000 assembly hours</t>
  </si>
  <si>
    <t>at most 3000 testing hours</t>
  </si>
  <si>
    <t>Labor/Assembling</t>
  </si>
  <si>
    <t>Labor/Testing</t>
  </si>
  <si>
    <t>Labor/Assembling (hours)</t>
  </si>
  <si>
    <t>Labor/Testing (hours)</t>
  </si>
  <si>
    <t>Cost per hour</t>
  </si>
  <si>
    <t>Produce 560 Basic Computers and 1200 XP Computers for maximum net profit at $ 199,600.</t>
  </si>
  <si>
    <t>Coefficients</t>
  </si>
  <si>
    <t>Equations</t>
  </si>
  <si>
    <t>4.2. LP and Investment Allocation</t>
  </si>
  <si>
    <t>A brokerage firm has been instructed by a client to invest $250,000. The client requests the firm select whatever stocks and bonds they believe are well-rated, but with the following guidelines:
- Municipal bonds constitute at least 20% of investment.
- At least 40% of the investment is placed in tech stocks.
- No more than 50% of the amount invested in municipal bonds should be high risk.
The table below lists the rate of return for five different investment options.</t>
  </si>
  <si>
    <t>Investment</t>
  </si>
  <si>
    <t>Rate of Return (%)</t>
  </si>
  <si>
    <t>Municipal bonds constitute at least 20% of investment.</t>
  </si>
  <si>
    <t>X1</t>
  </si>
  <si>
    <t>X2</t>
  </si>
  <si>
    <t>X3</t>
  </si>
  <si>
    <t>X4</t>
  </si>
  <si>
    <t>X5</t>
  </si>
  <si>
    <t>No more than 50% of the amount invested in municipal bonds should be high risk.</t>
  </si>
  <si>
    <t>Objective (max):</t>
  </si>
  <si>
    <t>Actual return</t>
  </si>
  <si>
    <t>Rate of return</t>
  </si>
  <si>
    <t>L.A. Municipal Bond (X1)</t>
  </si>
  <si>
    <t>Thompson Electronics, Inc. (X2)</t>
  </si>
  <si>
    <t>United Aerospace Corp. (X3)</t>
  </si>
  <si>
    <t>Palmer Technologies (X4)</t>
  </si>
  <si>
    <t>HDN Stock (high risk) (X5)</t>
  </si>
  <si>
    <t>At least 40% of the investment in tech stocks</t>
  </si>
  <si>
    <t>tech</t>
  </si>
  <si>
    <t>Based on given information, we built the equation with variables, objectives and constraints. Then use Solver to solve the equation.</t>
  </si>
  <si>
    <t>- Don't invest in Thompson Electronics, Inc. and United Aerospace Corp.</t>
  </si>
  <si>
    <t>- Invest $ 50,000 in L.A. Municipal Bond, $ 175,000 in Palmer Technologies, and $ 25,000 in HDN Stock.</t>
  </si>
  <si>
    <t>This will maximize the portfolio return at $ 20,300 and satisfy all given conditions.</t>
  </si>
  <si>
    <t>4.3. LP and Transportation</t>
  </si>
  <si>
    <t xml:space="preserve">Johns Hopkins is setting up three Charter schools in Baltimore City: Kyoko HS, Devon HS, and Manny HS. Each high school has a capacity of 900 students. The Mayor hires your company to assign accepted students to these three new high schools.  Busses will be provided to students who live more than walking distance (defined as 1.5 miles) to the schools. Baltimore City has been partitioned into five neighborhoods: A, B, C, D and E.  Kyoko HS is in sector B, Devon HS is in sector C, and Manny HS is in sector E. If a student lives in a sector and is assigned to the high school in that sector, the student can walk to school and does not get a bus. All students must be assigned a school. The table below shows the distance (in miles) from each sector to each school. Minimize the total student miles travelled by bus. </t>
  </si>
  <si>
    <t>Sector</t>
  </si>
  <si>
    <t>Distance to Kyoko HS (in Sector B)</t>
  </si>
  <si>
    <t>Distance to Devon HS (in Sector C)</t>
  </si>
  <si>
    <t>Distance to Manny HS (in Sector E)</t>
  </si>
  <si>
    <t>Number of Students</t>
  </si>
  <si>
    <t>A</t>
  </si>
  <si>
    <t>B</t>
  </si>
  <si>
    <t>D</t>
  </si>
  <si>
    <t>E</t>
  </si>
  <si>
    <t>Objective (Min):</t>
  </si>
  <si>
    <t>AB</t>
  </si>
  <si>
    <t>AC</t>
  </si>
  <si>
    <t>AE</t>
  </si>
  <si>
    <t>BB</t>
  </si>
  <si>
    <t>BC</t>
  </si>
  <si>
    <t>BE</t>
  </si>
  <si>
    <t>CB</t>
  </si>
  <si>
    <t>CC</t>
  </si>
  <si>
    <t>CE</t>
  </si>
  <si>
    <t>DB</t>
  </si>
  <si>
    <t>DC</t>
  </si>
  <si>
    <t>DE</t>
  </si>
  <si>
    <t>EB</t>
  </si>
  <si>
    <t>EC</t>
  </si>
  <si>
    <t>EE</t>
  </si>
  <si>
    <t>No. of students to assign from A to HS in B, C, E</t>
  </si>
  <si>
    <t>Student bus miles:</t>
  </si>
  <si>
    <t>No. of miles</t>
  </si>
  <si>
    <t>max 900 in school B</t>
  </si>
  <si>
    <t>max 900 in school C</t>
  </si>
  <si>
    <t>max 900 in school E</t>
  </si>
  <si>
    <t>No. of students to assign from B to HS in B, C, E</t>
  </si>
  <si>
    <t>No. of students to assign from C to HS in B, D, E</t>
  </si>
  <si>
    <t>No. of students to assign from D to HS in B, D, E</t>
  </si>
  <si>
    <t>No. of students to assign from E to HS in B, D, E</t>
  </si>
  <si>
    <t>700 in sector A</t>
  </si>
  <si>
    <t>500 in sector B</t>
  </si>
  <si>
    <t>100 in sector C</t>
  </si>
  <si>
    <t>800 in sector D</t>
  </si>
  <si>
    <t>400 in sector E</t>
  </si>
  <si>
    <t>=</t>
  </si>
  <si>
    <t>Equation/Inequalities</t>
  </si>
  <si>
    <t>- Sector A: 400 students to school B and 300 students to school E.</t>
  </si>
  <si>
    <t>- Sector D: 800 students to school C.</t>
  </si>
  <si>
    <t>- Sector B, C, and E: all students in these sectors should be assigned to the respective sectors they are living: 500 students in B to school B, 100 students in C to school C, and 400 students in E to school E.</t>
  </si>
  <si>
    <t>To minimize the student bus miles at 5,400 miles, we should assign the students as follows:</t>
  </si>
  <si>
    <t>- Excel Solver</t>
  </si>
  <si>
    <t>- Discover modeling concept of estimating relationships between variables by curve fitting, or regression analysis to solve realistic business problems. 
- Different regression curves are introduced and a mathematical analysis of which curve is best to help defend the model is presented</t>
  </si>
  <si>
    <t>- Explore optimization problems, where managers must decide how to allocate resources for the best (optimal) solution.
- Find the optimal solution means maximizing or minimizing some quantity, e.g. maximizing profit or minimizing cost.
Case studies: Net Profit, Investment Allocation, and Transportation Optimization</t>
  </si>
  <si>
    <t>- Learn the basics of spreadsheet design
- Use order quantity, sales volume and surplus to model total cost and revenue
- Given the demand for a product, model sales and surplus based on order quantity
- Given a business’ costs and revenue, create a formula to model the profit.</t>
  </si>
  <si>
    <t>- Basic spreadsheet design and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</si>
</sst>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
    <numFmt numFmtId="166" formatCode="&quot;$&quot;#,##0.0_);[Red]\(&quot;$&quot;#,##0.0\)"/>
    <numFmt numFmtId="167" formatCode="_(&quot;$&quot;* #,##0.0_);_(&quot;$&quot;* \(#,##0.0\);_(&quot;$&quot;* &quot;-&quot;??_);_(@_)"/>
    <numFmt numFmtId="168" formatCode="_(&quot;$&quot;* #,##0.0_);_(&quot;$&quot;* \(#,##0.0\);_(&quot;$&quot;* &quot;-&quot;?_);_(@_)"/>
    <numFmt numFmtId="169" formatCode="_(* #,##0_);_(* \(#,##0\);_(* &quot;-&quot;??_);_(@_)"/>
    <numFmt numFmtId="176" formatCode="0.0%"/>
  </numFmts>
  <fonts count="23">
    <font>
      <sz val="11"/>
      <color theme="1"/>
      <name val="Arial"/>
      <family val="2"/>
      <scheme val="minor"/>
    </font>
    <font>
      <sz val="11"/>
      <color theme="1"/>
      <name val="Arial"/>
      <family val="2"/>
      <scheme val="minor"/>
    </font>
    <font>
      <b/>
      <sz val="15"/>
      <color theme="3"/>
      <name val="Arial"/>
      <family val="2"/>
      <scheme val="minor"/>
    </font>
    <font>
      <sz val="11"/>
      <color rgb="FF1F1F1F"/>
      <name val="Var(--cds-font-family-source-sa"/>
    </font>
    <font>
      <b/>
      <sz val="11"/>
      <color rgb="FF1F1F1F"/>
      <name val="Var(--cds-font-family-source-sa"/>
    </font>
    <font>
      <b/>
      <sz val="11"/>
      <color theme="1"/>
      <name val="Arial"/>
      <family val="2"/>
      <charset val="163"/>
      <scheme val="minor"/>
    </font>
    <font>
      <sz val="11"/>
      <color theme="1"/>
      <name val="Arial"/>
      <family val="2"/>
      <charset val="163"/>
      <scheme val="minor"/>
    </font>
    <font>
      <i/>
      <sz val="11"/>
      <color theme="1"/>
      <name val="Arial"/>
      <family val="2"/>
      <charset val="163"/>
      <scheme val="minor"/>
    </font>
    <font>
      <b/>
      <sz val="13"/>
      <color theme="3"/>
      <name val="Arial"/>
      <family val="2"/>
      <scheme val="minor"/>
    </font>
    <font>
      <b/>
      <sz val="11"/>
      <color theme="0"/>
      <name val="Arial"/>
      <family val="2"/>
      <scheme val="minor"/>
    </font>
    <font>
      <b/>
      <sz val="11"/>
      <color theme="1"/>
      <name val="Arial"/>
      <family val="2"/>
      <scheme val="minor"/>
    </font>
    <font>
      <sz val="11"/>
      <color theme="0"/>
      <name val="Arial"/>
      <family val="2"/>
      <scheme val="minor"/>
    </font>
    <font>
      <b/>
      <sz val="11"/>
      <color theme="0"/>
      <name val="Arial"/>
      <family val="2"/>
      <charset val="163"/>
      <scheme val="minor"/>
    </font>
    <font>
      <b/>
      <i/>
      <sz val="11"/>
      <color theme="1"/>
      <name val="Arial"/>
      <family val="2"/>
      <charset val="163"/>
      <scheme val="minor"/>
    </font>
    <font>
      <sz val="9"/>
      <color indexed="81"/>
      <name val="Tahoma"/>
      <family val="2"/>
      <charset val="163"/>
    </font>
    <font>
      <b/>
      <sz val="11"/>
      <name val="Arial"/>
      <family val="2"/>
      <scheme val="minor"/>
    </font>
    <font>
      <sz val="11"/>
      <name val="Arial"/>
      <family val="2"/>
      <scheme val="minor"/>
    </font>
    <font>
      <b/>
      <sz val="9"/>
      <color indexed="81"/>
      <name val="Tahoma"/>
      <family val="2"/>
      <charset val="163"/>
    </font>
    <font>
      <sz val="11"/>
      <color theme="2" tint="-9.9978637043366805E-2"/>
      <name val="Arial"/>
      <family val="2"/>
      <scheme val="minor"/>
    </font>
    <font>
      <i/>
      <sz val="9"/>
      <color theme="1"/>
      <name val="Arial"/>
      <family val="2"/>
      <charset val="163"/>
      <scheme val="minor"/>
    </font>
    <font>
      <b/>
      <sz val="11"/>
      <color theme="0"/>
      <name val="Var(--cds-font-family-source-sa"/>
    </font>
    <font>
      <sz val="11"/>
      <color theme="2"/>
      <name val="Arial"/>
      <family val="2"/>
      <scheme val="minor"/>
    </font>
    <font>
      <sz val="8"/>
      <name val="Arial"/>
      <family val="2"/>
      <scheme val="minor"/>
    </font>
  </fonts>
  <fills count="14">
    <fill>
      <patternFill patternType="none"/>
    </fill>
    <fill>
      <patternFill patternType="gray125"/>
    </fill>
    <fill>
      <patternFill patternType="solid">
        <fgColor rgb="FFFFFFFF"/>
        <bgColor indexed="64"/>
      </patternFill>
    </fill>
    <fill>
      <patternFill patternType="solid">
        <fgColor theme="6"/>
        <bgColor indexed="64"/>
      </patternFill>
    </fill>
    <fill>
      <patternFill patternType="solid">
        <fgColor theme="9"/>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67C96"/>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s>
  <borders count="31">
    <border>
      <left/>
      <right/>
      <top/>
      <bottom/>
      <diagonal/>
    </border>
    <border>
      <left/>
      <right/>
      <top/>
      <bottom style="thick">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right/>
      <top style="thick">
        <color theme="4" tint="0.499984740745262"/>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style="thin">
        <color indexed="64"/>
      </top>
      <bottom style="thin">
        <color indexed="64"/>
      </bottom>
      <diagonal/>
    </border>
    <border>
      <left/>
      <right/>
      <top/>
      <bottom style="thick">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44" fontId="1" fillId="0" borderId="0" applyFont="0" applyFill="0" applyBorder="0" applyAlignment="0" applyProtection="0"/>
    <xf numFmtId="0" fontId="2" fillId="0" borderId="1" applyNumberFormat="0" applyFill="0" applyAlignment="0" applyProtection="0"/>
    <xf numFmtId="9" fontId="1" fillId="0" borderId="0" applyFont="0" applyFill="0" applyBorder="0" applyAlignment="0" applyProtection="0"/>
    <xf numFmtId="0" fontId="8" fillId="0" borderId="4" applyNumberFormat="0" applyFill="0" applyAlignment="0" applyProtection="0"/>
    <xf numFmtId="43" fontId="1" fillId="0" borderId="0" applyFont="0" applyFill="0" applyBorder="0" applyAlignment="0" applyProtection="0"/>
  </cellStyleXfs>
  <cellXfs count="214">
    <xf numFmtId="0" fontId="0" fillId="0" borderId="0" xfId="0"/>
    <xf numFmtId="10" fontId="3" fillId="2" borderId="0" xfId="0" applyNumberFormat="1" applyFont="1" applyFill="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5" fillId="0" borderId="0" xfId="0" applyFont="1"/>
    <xf numFmtId="0" fontId="0" fillId="2" borderId="0" xfId="0" applyFill="1"/>
    <xf numFmtId="164" fontId="5" fillId="0" borderId="0" xfId="0" applyNumberFormat="1" applyFont="1"/>
    <xf numFmtId="165" fontId="5" fillId="0" borderId="0" xfId="0" applyNumberFormat="1" applyFont="1"/>
    <xf numFmtId="164" fontId="0" fillId="0" borderId="0" xfId="1" applyNumberFormat="1" applyFont="1"/>
    <xf numFmtId="0" fontId="7" fillId="0" borderId="0" xfId="0" applyFont="1"/>
    <xf numFmtId="1" fontId="0" fillId="3" borderId="0" xfId="1" applyNumberFormat="1" applyFont="1" applyFill="1"/>
    <xf numFmtId="0" fontId="0" fillId="4" borderId="0" xfId="1" applyNumberFormat="1" applyFont="1" applyFill="1"/>
    <xf numFmtId="1" fontId="0" fillId="5" borderId="0" xfId="1" applyNumberFormat="1" applyFont="1" applyFill="1"/>
    <xf numFmtId="0" fontId="2" fillId="0" borderId="1" xfId="2"/>
    <xf numFmtId="166" fontId="3" fillId="2" borderId="0" xfId="0" applyNumberFormat="1" applyFont="1" applyFill="1" applyAlignment="1">
      <alignment horizontal="left" vertical="center" wrapText="1"/>
    </xf>
    <xf numFmtId="167" fontId="0" fillId="0" borderId="0" xfId="1" applyNumberFormat="1" applyFont="1"/>
    <xf numFmtId="168" fontId="5" fillId="0" borderId="0" xfId="0" applyNumberFormat="1" applyFont="1"/>
    <xf numFmtId="6" fontId="4" fillId="2" borderId="0" xfId="0" applyNumberFormat="1" applyFont="1" applyFill="1" applyAlignment="1">
      <alignment horizontal="left" vertical="center" wrapText="1"/>
    </xf>
    <xf numFmtId="0" fontId="0" fillId="0" borderId="3" xfId="0" applyBorder="1" applyAlignment="1">
      <alignment horizontal="center" vertical="center"/>
    </xf>
    <xf numFmtId="8" fontId="0" fillId="0" borderId="3" xfId="0" applyNumberFormat="1" applyBorder="1" applyAlignment="1">
      <alignment vertical="center"/>
    </xf>
    <xf numFmtId="44" fontId="0" fillId="0" borderId="3" xfId="0" applyNumberFormat="1" applyBorder="1" applyAlignment="1">
      <alignment vertical="center"/>
    </xf>
    <xf numFmtId="0" fontId="8" fillId="0" borderId="4" xfId="4"/>
    <xf numFmtId="0" fontId="2" fillId="0" borderId="1" xfId="2" applyAlignment="1">
      <alignment vertical="top"/>
    </xf>
    <xf numFmtId="0" fontId="0" fillId="0" borderId="0" xfId="0" applyAlignment="1">
      <alignment vertical="top"/>
    </xf>
    <xf numFmtId="0" fontId="8" fillId="0" borderId="4" xfId="4" applyAlignment="1">
      <alignment vertical="top"/>
    </xf>
    <xf numFmtId="0" fontId="5" fillId="0" borderId="0" xfId="0" applyFont="1" applyAlignment="1">
      <alignment vertical="top"/>
    </xf>
    <xf numFmtId="0" fontId="12" fillId="7" borderId="0" xfId="0" applyFont="1" applyFill="1" applyAlignment="1">
      <alignment horizontal="center" vertical="top"/>
    </xf>
    <xf numFmtId="0" fontId="5" fillId="0" borderId="0" xfId="0" applyFont="1" applyAlignment="1">
      <alignment horizontal="center" vertical="top"/>
    </xf>
    <xf numFmtId="0" fontId="8" fillId="0" borderId="0" xfId="4" applyBorder="1" applyAlignment="1">
      <alignment vertical="top"/>
    </xf>
    <xf numFmtId="0" fontId="13" fillId="0" borderId="0" xfId="0" applyFont="1"/>
    <xf numFmtId="0" fontId="11" fillId="0" borderId="0" xfId="0" applyFont="1"/>
    <xf numFmtId="0" fontId="9" fillId="0" borderId="0" xfId="0" applyFont="1"/>
    <xf numFmtId="164" fontId="11" fillId="0" borderId="0" xfId="1" applyNumberFormat="1" applyFont="1"/>
    <xf numFmtId="164" fontId="11" fillId="0" borderId="0" xfId="0" applyNumberFormat="1" applyFont="1"/>
    <xf numFmtId="165" fontId="11" fillId="0" borderId="0" xfId="0" applyNumberFormat="1" applyFont="1"/>
    <xf numFmtId="164" fontId="9" fillId="0" borderId="0" xfId="0" applyNumberFormat="1" applyFont="1"/>
    <xf numFmtId="0" fontId="15" fillId="0" borderId="0" xfId="0" applyFont="1"/>
    <xf numFmtId="0" fontId="16" fillId="0" borderId="0" xfId="0" applyFont="1"/>
    <xf numFmtId="0" fontId="0" fillId="0" borderId="0" xfId="0" applyAlignment="1">
      <alignment vertical="top" wrapText="1"/>
    </xf>
    <xf numFmtId="0" fontId="3" fillId="2" borderId="3" xfId="0" applyFont="1" applyFill="1" applyBorder="1" applyAlignment="1">
      <alignment horizontal="left" vertical="center" wrapText="1"/>
    </xf>
    <xf numFmtId="8" fontId="3" fillId="2" borderId="3" xfId="0" applyNumberFormat="1" applyFont="1" applyFill="1" applyBorder="1" applyAlignment="1">
      <alignment horizontal="left" vertical="center" wrapText="1"/>
    </xf>
    <xf numFmtId="10" fontId="3" fillId="2" borderId="3" xfId="0" applyNumberFormat="1" applyFont="1" applyFill="1" applyBorder="1" applyAlignment="1">
      <alignment horizontal="left" vertical="center" wrapText="1"/>
    </xf>
    <xf numFmtId="0" fontId="3" fillId="2" borderId="7" xfId="0" applyFont="1" applyFill="1" applyBorder="1" applyAlignment="1">
      <alignment horizontal="left" vertical="center" wrapText="1"/>
    </xf>
    <xf numFmtId="8" fontId="3" fillId="2" borderId="7" xfId="0" applyNumberFormat="1" applyFont="1" applyFill="1" applyBorder="1" applyAlignment="1">
      <alignment horizontal="left" vertical="center" wrapText="1"/>
    </xf>
    <xf numFmtId="10" fontId="3" fillId="2" borderId="7" xfId="0" applyNumberFormat="1" applyFont="1" applyFill="1" applyBorder="1" applyAlignment="1">
      <alignment horizontal="left" vertical="center" wrapText="1"/>
    </xf>
    <xf numFmtId="0" fontId="0" fillId="0" borderId="8" xfId="0" applyBorder="1"/>
    <xf numFmtId="0" fontId="4" fillId="2" borderId="7" xfId="0" applyFont="1" applyFill="1" applyBorder="1" applyAlignment="1">
      <alignment vertical="center" wrapText="1"/>
    </xf>
    <xf numFmtId="0" fontId="4" fillId="2" borderId="0" xfId="0" applyFont="1" applyFill="1" applyAlignment="1">
      <alignment horizontal="left" vertical="top" wrapText="1"/>
    </xf>
    <xf numFmtId="0" fontId="10" fillId="0" borderId="0" xfId="0" applyFont="1" applyAlignment="1">
      <alignment vertical="top"/>
    </xf>
    <xf numFmtId="0" fontId="3" fillId="0" borderId="0" xfId="0" applyFont="1" applyAlignment="1">
      <alignment horizontal="left" vertical="top"/>
    </xf>
    <xf numFmtId="0" fontId="2" fillId="0" borderId="1" xfId="2" applyAlignment="1">
      <alignment horizontal="left" vertical="top"/>
    </xf>
    <xf numFmtId="0" fontId="0" fillId="0" borderId="0" xfId="0" applyAlignment="1">
      <alignment horizontal="left" vertical="top"/>
    </xf>
    <xf numFmtId="0" fontId="8" fillId="0" borderId="4" xfId="4" applyAlignment="1">
      <alignment horizontal="left" vertical="top"/>
    </xf>
    <xf numFmtId="0" fontId="5" fillId="0" borderId="0" xfId="0" applyFont="1" applyAlignment="1">
      <alignment horizontal="left" vertical="top"/>
    </xf>
    <xf numFmtId="44" fontId="0" fillId="0" borderId="0" xfId="1" applyFont="1" applyAlignment="1">
      <alignment horizontal="left" vertical="top"/>
    </xf>
    <xf numFmtId="0" fontId="0" fillId="0" borderId="3" xfId="0" applyBorder="1" applyAlignment="1">
      <alignment vertical="top"/>
    </xf>
    <xf numFmtId="3" fontId="0" fillId="0" borderId="0" xfId="0" applyNumberFormat="1" applyAlignment="1">
      <alignment horizontal="left" vertical="top"/>
    </xf>
    <xf numFmtId="0" fontId="0" fillId="0" borderId="0" xfId="0" applyAlignment="1">
      <alignment horizontal="left" vertical="top" indent="1"/>
    </xf>
    <xf numFmtId="164" fontId="0" fillId="0" borderId="0" xfId="1" applyNumberFormat="1" applyFont="1" applyAlignment="1">
      <alignment horizontal="left" vertical="top"/>
    </xf>
    <xf numFmtId="164" fontId="5" fillId="0" borderId="0" xfId="1" applyNumberFormat="1" applyFont="1" applyAlignment="1">
      <alignment horizontal="left" vertical="top"/>
    </xf>
    <xf numFmtId="164" fontId="5" fillId="0" borderId="0" xfId="0" applyNumberFormat="1" applyFont="1" applyAlignment="1">
      <alignment horizontal="left" vertical="top"/>
    </xf>
    <xf numFmtId="9" fontId="0" fillId="0" borderId="0" xfId="3" applyFont="1" applyAlignment="1">
      <alignment horizontal="left" vertical="top"/>
    </xf>
    <xf numFmtId="10" fontId="0" fillId="0" borderId="0" xfId="0" applyNumberFormat="1" applyAlignment="1">
      <alignment horizontal="left" vertical="top"/>
    </xf>
    <xf numFmtId="164" fontId="16" fillId="0" borderId="0" xfId="0" applyNumberFormat="1" applyFont="1" applyAlignment="1">
      <alignment horizontal="left" vertical="top"/>
    </xf>
    <xf numFmtId="164" fontId="11" fillId="0" borderId="0" xfId="0" applyNumberFormat="1" applyFont="1" applyAlignment="1">
      <alignment horizontal="left" vertical="top"/>
    </xf>
    <xf numFmtId="164" fontId="18" fillId="0" borderId="0" xfId="0" applyNumberFormat="1" applyFont="1" applyAlignment="1">
      <alignment horizontal="left" vertical="top"/>
    </xf>
    <xf numFmtId="10" fontId="0" fillId="4" borderId="0" xfId="0" applyNumberFormat="1" applyFill="1" applyAlignment="1">
      <alignment horizontal="left" vertical="top"/>
    </xf>
    <xf numFmtId="0" fontId="13" fillId="0" borderId="0" xfId="0" applyFont="1" applyAlignment="1">
      <alignment horizontal="left" vertical="top"/>
    </xf>
    <xf numFmtId="0" fontId="13" fillId="0" borderId="0" xfId="0" applyFont="1" applyAlignment="1">
      <alignment vertical="top"/>
    </xf>
    <xf numFmtId="0" fontId="0" fillId="0" borderId="3" xfId="0" applyBorder="1" applyAlignment="1">
      <alignment horizontal="left" vertical="top"/>
    </xf>
    <xf numFmtId="0" fontId="0" fillId="0" borderId="3" xfId="0" applyBorder="1" applyAlignment="1">
      <alignment horizontal="center" vertical="top"/>
    </xf>
    <xf numFmtId="44" fontId="0" fillId="0" borderId="3" xfId="1" applyFont="1" applyBorder="1" applyAlignment="1">
      <alignment horizontal="center" vertical="top"/>
    </xf>
    <xf numFmtId="0" fontId="0" fillId="8" borderId="0" xfId="0" applyFill="1" applyAlignment="1">
      <alignment horizontal="left" vertical="top"/>
    </xf>
    <xf numFmtId="44" fontId="5" fillId="0" borderId="0" xfId="0" applyNumberFormat="1" applyFont="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19" fillId="0" borderId="0" xfId="0" applyFont="1" applyAlignment="1">
      <alignment horizontal="left" vertical="top"/>
    </xf>
    <xf numFmtId="44" fontId="18" fillId="0" borderId="9" xfId="0" applyNumberFormat="1" applyFont="1" applyBorder="1" applyAlignment="1">
      <alignment horizontal="left" vertical="top"/>
    </xf>
    <xf numFmtId="164" fontId="0" fillId="0" borderId="3" xfId="1" applyNumberFormat="1" applyFont="1" applyBorder="1" applyAlignment="1">
      <alignment horizontal="left" vertical="top"/>
    </xf>
    <xf numFmtId="0" fontId="11" fillId="0" borderId="0" xfId="0" applyFont="1" applyAlignment="1">
      <alignment horizontal="left" vertical="top"/>
    </xf>
    <xf numFmtId="9" fontId="0" fillId="0" borderId="0" xfId="0" applyNumberFormat="1" applyAlignment="1">
      <alignment horizontal="left" vertical="top"/>
    </xf>
    <xf numFmtId="0" fontId="3" fillId="0" borderId="0" xfId="0" applyFont="1" applyAlignment="1">
      <alignment vertical="top" wrapText="1"/>
    </xf>
    <xf numFmtId="2" fontId="0" fillId="0" borderId="3" xfId="0" applyNumberFormat="1" applyBorder="1" applyAlignment="1">
      <alignment vertical="top"/>
    </xf>
    <xf numFmtId="0" fontId="4" fillId="2" borderId="11" xfId="0" applyFont="1" applyFill="1" applyBorder="1" applyAlignment="1">
      <alignment horizontal="left" vertical="top" wrapText="1"/>
    </xf>
    <xf numFmtId="0" fontId="3" fillId="2" borderId="11" xfId="0" applyFont="1" applyFill="1" applyBorder="1" applyAlignment="1">
      <alignment horizontal="left" vertical="top" wrapText="1"/>
    </xf>
    <xf numFmtId="0" fontId="5" fillId="0" borderId="13" xfId="0" applyFont="1" applyBorder="1" applyAlignment="1">
      <alignment vertical="top"/>
    </xf>
    <xf numFmtId="0" fontId="5" fillId="0" borderId="14" xfId="0" applyFont="1" applyBorder="1" applyAlignment="1">
      <alignment vertical="top"/>
    </xf>
    <xf numFmtId="0" fontId="5" fillId="0" borderId="15" xfId="0" applyFont="1" applyBorder="1" applyAlignment="1">
      <alignment vertical="top"/>
    </xf>
    <xf numFmtId="0" fontId="0" fillId="0" borderId="16" xfId="0" applyBorder="1" applyAlignment="1">
      <alignment vertical="top"/>
    </xf>
    <xf numFmtId="2" fontId="0" fillId="0" borderId="17" xfId="0" applyNumberFormat="1" applyBorder="1" applyAlignment="1">
      <alignment vertical="top"/>
    </xf>
    <xf numFmtId="0" fontId="0" fillId="0" borderId="18" xfId="0" applyBorder="1" applyAlignment="1">
      <alignment vertical="top"/>
    </xf>
    <xf numFmtId="2" fontId="0" fillId="0" borderId="19" xfId="0" applyNumberFormat="1" applyBorder="1" applyAlignment="1">
      <alignment vertical="top"/>
    </xf>
    <xf numFmtId="2" fontId="0" fillId="0" borderId="20" xfId="0" applyNumberFormat="1" applyBorder="1" applyAlignment="1">
      <alignment vertical="top"/>
    </xf>
    <xf numFmtId="0" fontId="4" fillId="2" borderId="21" xfId="0" applyFont="1" applyFill="1" applyBorder="1" applyAlignment="1">
      <alignment horizontal="left" vertical="top" wrapText="1"/>
    </xf>
    <xf numFmtId="0" fontId="3" fillId="2" borderId="21" xfId="0" applyFont="1" applyFill="1" applyBorder="1" applyAlignment="1">
      <alignment horizontal="left" vertical="top" wrapText="1"/>
    </xf>
    <xf numFmtId="10" fontId="0" fillId="0" borderId="16" xfId="3" applyNumberFormat="1" applyFont="1" applyBorder="1" applyAlignment="1">
      <alignment vertical="top"/>
    </xf>
    <xf numFmtId="10" fontId="0" fillId="0" borderId="3" xfId="3" applyNumberFormat="1" applyFont="1" applyBorder="1" applyAlignment="1">
      <alignment vertical="top"/>
    </xf>
    <xf numFmtId="10" fontId="0" fillId="0" borderId="17" xfId="3" applyNumberFormat="1" applyFont="1" applyBorder="1" applyAlignment="1">
      <alignment vertical="top"/>
    </xf>
    <xf numFmtId="10" fontId="0" fillId="0" borderId="18" xfId="3" applyNumberFormat="1" applyFont="1" applyBorder="1" applyAlignment="1">
      <alignment vertical="top"/>
    </xf>
    <xf numFmtId="10" fontId="0" fillId="0" borderId="19" xfId="3" applyNumberFormat="1" applyFont="1" applyBorder="1" applyAlignment="1">
      <alignment vertical="top"/>
    </xf>
    <xf numFmtId="10" fontId="0" fillId="0" borderId="20" xfId="3" applyNumberFormat="1" applyFont="1" applyBorder="1" applyAlignment="1">
      <alignment vertical="top"/>
    </xf>
    <xf numFmtId="10" fontId="0" fillId="0" borderId="0" xfId="0" applyNumberFormat="1" applyAlignment="1">
      <alignment vertical="top"/>
    </xf>
    <xf numFmtId="10" fontId="0" fillId="9" borderId="0" xfId="0" applyNumberFormat="1" applyFill="1" applyAlignment="1">
      <alignment vertical="top"/>
    </xf>
    <xf numFmtId="164" fontId="0" fillId="0" borderId="0" xfId="0" applyNumberFormat="1" applyAlignment="1">
      <alignment vertical="top"/>
    </xf>
    <xf numFmtId="1" fontId="0" fillId="0" borderId="0" xfId="0" applyNumberFormat="1" applyAlignment="1">
      <alignment vertical="top"/>
    </xf>
    <xf numFmtId="9" fontId="5" fillId="0" borderId="13" xfId="3" applyFont="1" applyBorder="1" applyAlignment="1">
      <alignment vertical="top"/>
    </xf>
    <xf numFmtId="0" fontId="19" fillId="0" borderId="0" xfId="0" applyFont="1" applyAlignment="1">
      <alignment vertical="top"/>
    </xf>
    <xf numFmtId="164" fontId="0" fillId="8" borderId="0" xfId="1" applyNumberFormat="1" applyFont="1" applyFill="1" applyAlignment="1">
      <alignment vertical="top"/>
    </xf>
    <xf numFmtId="164" fontId="18" fillId="0" borderId="3" xfId="1" applyNumberFormat="1" applyFont="1" applyBorder="1" applyAlignment="1">
      <alignment vertical="top"/>
    </xf>
    <xf numFmtId="164" fontId="0" fillId="0" borderId="3" xfId="1" applyNumberFormat="1" applyFont="1" applyBorder="1" applyAlignment="1">
      <alignment vertical="top"/>
    </xf>
    <xf numFmtId="0" fontId="0" fillId="0" borderId="8" xfId="0" applyBorder="1" applyAlignment="1">
      <alignment vertical="top" wrapText="1"/>
    </xf>
    <xf numFmtId="164" fontId="0" fillId="0" borderId="3" xfId="1" applyNumberFormat="1" applyFont="1" applyBorder="1" applyAlignment="1">
      <alignment vertical="top" wrapText="1"/>
    </xf>
    <xf numFmtId="164" fontId="18" fillId="0" borderId="9" xfId="1" applyNumberFormat="1" applyFont="1" applyBorder="1" applyAlignment="1">
      <alignment vertical="top"/>
    </xf>
    <xf numFmtId="0" fontId="12" fillId="7" borderId="3" xfId="0" applyFont="1" applyFill="1" applyBorder="1" applyAlignment="1">
      <alignment horizontal="center" vertical="top"/>
    </xf>
    <xf numFmtId="0" fontId="20" fillId="7" borderId="3" xfId="0" applyFont="1" applyFill="1" applyBorder="1" applyAlignment="1">
      <alignment horizontal="center" vertical="top" wrapText="1"/>
    </xf>
    <xf numFmtId="0" fontId="3" fillId="2" borderId="3" xfId="0" applyFont="1" applyFill="1" applyBorder="1" applyAlignment="1">
      <alignment horizontal="center" vertical="top" wrapText="1"/>
    </xf>
    <xf numFmtId="0" fontId="12" fillId="7" borderId="3" xfId="0" applyFont="1" applyFill="1" applyBorder="1" applyAlignment="1">
      <alignment horizontal="left" vertical="center" wrapText="1"/>
    </xf>
    <xf numFmtId="0" fontId="20" fillId="7" borderId="3" xfId="0" applyFont="1" applyFill="1" applyBorder="1" applyAlignment="1">
      <alignment horizontal="left" vertical="center" wrapText="1"/>
    </xf>
    <xf numFmtId="0" fontId="20" fillId="7" borderId="3" xfId="0" applyFont="1" applyFill="1" applyBorder="1" applyAlignment="1">
      <alignment vertical="center" wrapText="1"/>
    </xf>
    <xf numFmtId="0" fontId="12" fillId="7" borderId="3" xfId="0" applyFont="1" applyFill="1" applyBorder="1" applyAlignment="1">
      <alignment horizontal="center" vertical="center"/>
    </xf>
    <xf numFmtId="0" fontId="0" fillId="0" borderId="0" xfId="0" applyAlignment="1">
      <alignment horizontal="left" vertical="top" wrapText="1"/>
    </xf>
    <xf numFmtId="164" fontId="0" fillId="0" borderId="0" xfId="1" applyNumberFormat="1" applyFont="1" applyAlignment="1">
      <alignment vertical="top"/>
    </xf>
    <xf numFmtId="44" fontId="0" fillId="0" borderId="0" xfId="0" applyNumberFormat="1" applyAlignment="1">
      <alignment vertical="top"/>
    </xf>
    <xf numFmtId="9" fontId="0" fillId="0" borderId="0" xfId="0" applyNumberFormat="1" applyAlignment="1">
      <alignment vertical="top"/>
    </xf>
    <xf numFmtId="164" fontId="0" fillId="0" borderId="3" xfId="0" applyNumberFormat="1" applyBorder="1" applyAlignment="1">
      <alignment vertical="top"/>
    </xf>
    <xf numFmtId="9" fontId="0" fillId="8" borderId="0" xfId="0" applyNumberFormat="1" applyFill="1" applyAlignment="1">
      <alignment vertical="top"/>
    </xf>
    <xf numFmtId="6" fontId="0" fillId="0" borderId="0" xfId="0" applyNumberFormat="1" applyAlignment="1">
      <alignment vertical="top"/>
    </xf>
    <xf numFmtId="0" fontId="0" fillId="0" borderId="8" xfId="0" applyBorder="1" applyAlignment="1">
      <alignment vertical="top"/>
    </xf>
    <xf numFmtId="9" fontId="0" fillId="10" borderId="0" xfId="0" applyNumberFormat="1" applyFill="1" applyAlignment="1">
      <alignment vertical="top"/>
    </xf>
    <xf numFmtId="2" fontId="0" fillId="0" borderId="0" xfId="0" applyNumberFormat="1" applyAlignment="1">
      <alignment vertical="top"/>
    </xf>
    <xf numFmtId="164" fontId="0" fillId="0" borderId="0" xfId="1" applyNumberFormat="1" applyFont="1" applyFill="1" applyBorder="1" applyAlignment="1">
      <alignment vertical="top"/>
    </xf>
    <xf numFmtId="0" fontId="21" fillId="0" borderId="0" xfId="0" applyFont="1"/>
    <xf numFmtId="0" fontId="0" fillId="0" borderId="3" xfId="0" applyBorder="1" applyAlignment="1">
      <alignment vertical="top" wrapText="1"/>
    </xf>
    <xf numFmtId="0" fontId="0" fillId="8" borderId="0" xfId="0" applyFill="1" applyAlignment="1">
      <alignment horizontal="center"/>
    </xf>
    <xf numFmtId="0" fontId="0" fillId="0" borderId="3" xfId="0" applyBorder="1"/>
    <xf numFmtId="0" fontId="0" fillId="0" borderId="3" xfId="1" applyNumberFormat="1" applyFont="1" applyBorder="1"/>
    <xf numFmtId="169" fontId="0" fillId="11" borderId="0" xfId="5" applyNumberFormat="1" applyFont="1" applyFill="1"/>
    <xf numFmtId="0" fontId="8" fillId="0" borderId="4" xfId="4" applyAlignment="1">
      <alignment horizontal="left"/>
    </xf>
    <xf numFmtId="0" fontId="8" fillId="6" borderId="4" xfId="4" applyFill="1" applyAlignment="1">
      <alignment horizontal="left" wrapText="1"/>
    </xf>
    <xf numFmtId="0" fontId="8" fillId="0" borderId="4" xfId="4"/>
    <xf numFmtId="0" fontId="0" fillId="0" borderId="5" xfId="0" applyBorder="1" applyAlignment="1">
      <alignment vertical="top" wrapText="1"/>
    </xf>
    <xf numFmtId="0" fontId="0" fillId="0" borderId="0" xfId="0" applyAlignment="1">
      <alignment vertical="top" wrapText="1"/>
    </xf>
    <xf numFmtId="0" fontId="13" fillId="6" borderId="0" xfId="0" applyFont="1" applyFill="1" applyAlignment="1">
      <alignment horizontal="left"/>
    </xf>
    <xf numFmtId="0" fontId="5" fillId="6" borderId="0" xfId="0" applyFont="1" applyFill="1" applyAlignment="1">
      <alignment horizontal="left"/>
    </xf>
    <xf numFmtId="0" fontId="0" fillId="0" borderId="0" xfId="0" applyAlignment="1">
      <alignment horizontal="left" vertical="top" wrapText="1"/>
    </xf>
    <xf numFmtId="0" fontId="0" fillId="0" borderId="5" xfId="0" applyBorder="1" applyAlignment="1">
      <alignment horizontal="left" vertical="top" wrapText="1"/>
    </xf>
    <xf numFmtId="0" fontId="12" fillId="7" borderId="3" xfId="0" applyFont="1" applyFill="1" applyBorder="1" applyAlignment="1">
      <alignment horizontal="center" vertical="top"/>
    </xf>
    <xf numFmtId="0" fontId="12" fillId="7" borderId="6" xfId="0" applyFont="1" applyFill="1" applyBorder="1" applyAlignment="1">
      <alignment horizontal="center" vertical="center" textRotation="90"/>
    </xf>
    <xf numFmtId="0" fontId="12" fillId="7" borderId="7" xfId="0" applyFont="1" applyFill="1" applyBorder="1" applyAlignment="1">
      <alignment horizontal="center" vertical="center" textRotation="90"/>
    </xf>
    <xf numFmtId="0" fontId="12" fillId="7" borderId="10" xfId="0" applyFont="1" applyFill="1" applyBorder="1" applyAlignment="1">
      <alignment horizontal="center" vertical="center" textRotation="90"/>
    </xf>
    <xf numFmtId="0" fontId="12" fillId="0" borderId="0" xfId="0" applyFont="1" applyAlignment="1">
      <alignment horizontal="center" vertical="top"/>
    </xf>
    <xf numFmtId="0" fontId="12" fillId="0" borderId="0" xfId="0" applyFont="1" applyAlignment="1">
      <alignment horizontal="center" vertical="center" textRotation="90"/>
    </xf>
    <xf numFmtId="0" fontId="12" fillId="7" borderId="2" xfId="0" applyFont="1" applyFill="1" applyBorder="1" applyAlignment="1">
      <alignment horizontal="center" vertical="top"/>
    </xf>
    <xf numFmtId="0" fontId="12" fillId="7" borderId="8" xfId="0" applyFont="1" applyFill="1" applyBorder="1" applyAlignment="1">
      <alignment horizontal="center" vertical="center" textRotation="90"/>
    </xf>
    <xf numFmtId="0" fontId="3" fillId="0" borderId="0" xfId="0" applyFont="1" applyAlignment="1">
      <alignment vertical="top" wrapText="1"/>
    </xf>
    <xf numFmtId="0" fontId="3" fillId="0" borderId="0" xfId="0" applyFont="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xf>
    <xf numFmtId="0" fontId="5" fillId="0" borderId="22" xfId="0" applyFont="1" applyBorder="1" applyAlignment="1">
      <alignment horizontal="center" vertical="top"/>
    </xf>
    <xf numFmtId="0" fontId="0" fillId="9" borderId="0" xfId="0" applyFill="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0" xfId="0" applyAlignment="1">
      <alignment horizontal="left" vertical="top" wrapText="1" indent="1"/>
    </xf>
    <xf numFmtId="164" fontId="0" fillId="0" borderId="0" xfId="0" applyNumberFormat="1" applyAlignment="1">
      <alignment horizontal="center"/>
    </xf>
    <xf numFmtId="164" fontId="0" fillId="0" borderId="0" xfId="1" applyNumberFormat="1" applyFont="1" applyAlignment="1">
      <alignment horizontal="center"/>
    </xf>
    <xf numFmtId="164" fontId="0" fillId="12" borderId="0" xfId="0" applyNumberFormat="1" applyFill="1" applyAlignment="1">
      <alignment horizontal="center"/>
    </xf>
    <xf numFmtId="0" fontId="5" fillId="0" borderId="11" xfId="0" applyFont="1" applyBorder="1" applyAlignment="1">
      <alignment horizontal="center" wrapText="1"/>
    </xf>
    <xf numFmtId="0" fontId="5" fillId="0" borderId="21" xfId="0" applyFont="1" applyBorder="1" applyAlignment="1">
      <alignment horizontal="center" wrapText="1"/>
    </xf>
    <xf numFmtId="0" fontId="5" fillId="0" borderId="12" xfId="0" applyFont="1" applyBorder="1" applyAlignment="1">
      <alignment horizontal="center" wrapText="1"/>
    </xf>
    <xf numFmtId="0" fontId="5" fillId="0" borderId="3" xfId="0" applyFont="1" applyBorder="1" applyAlignment="1">
      <alignment horizontal="center" vertical="top" wrapText="1"/>
    </xf>
    <xf numFmtId="0" fontId="5" fillId="0" borderId="3" xfId="0" applyFont="1" applyBorder="1" applyAlignment="1">
      <alignment horizontal="center"/>
    </xf>
    <xf numFmtId="0" fontId="0" fillId="0" borderId="0" xfId="0" applyBorder="1" applyAlignment="1">
      <alignment vertical="top" wrapText="1"/>
    </xf>
    <xf numFmtId="0" fontId="4"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0" borderId="0" xfId="0" applyFont="1" applyAlignment="1">
      <alignment horizontal="center"/>
    </xf>
    <xf numFmtId="0" fontId="5" fillId="0" borderId="3" xfId="0" applyFont="1" applyBorder="1" applyAlignment="1">
      <alignment horizontal="center" vertical="center" wrapText="1"/>
    </xf>
    <xf numFmtId="0" fontId="5" fillId="0" borderId="3" xfId="0" applyFont="1" applyBorder="1" applyAlignment="1">
      <alignment horizontal="center" vertical="center"/>
    </xf>
    <xf numFmtId="0" fontId="5" fillId="0" borderId="11"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3" xfId="0" applyBorder="1" applyAlignment="1">
      <alignment vertical="center" wrapText="1"/>
    </xf>
    <xf numFmtId="0" fontId="0" fillId="0" borderId="0" xfId="0" applyAlignment="1">
      <alignment vertical="center"/>
    </xf>
    <xf numFmtId="164" fontId="0" fillId="9" borderId="0" xfId="1" applyNumberFormat="1" applyFont="1" applyFill="1" applyAlignment="1"/>
    <xf numFmtId="176" fontId="0" fillId="0" borderId="0" xfId="0" applyNumberFormat="1" applyAlignment="1"/>
    <xf numFmtId="9" fontId="0" fillId="0" borderId="3" xfId="0" applyNumberFormat="1" applyBorder="1" applyAlignment="1">
      <alignment horizontal="center" vertical="center"/>
    </xf>
    <xf numFmtId="164" fontId="0" fillId="12" borderId="0" xfId="1" applyNumberFormat="1" applyFont="1" applyFill="1"/>
    <xf numFmtId="0" fontId="0" fillId="0" borderId="0" xfId="0" quotePrefix="1"/>
    <xf numFmtId="0" fontId="12" fillId="7" borderId="23" xfId="0" applyFont="1" applyFill="1" applyBorder="1" applyAlignment="1">
      <alignment horizontal="center" wrapText="1"/>
    </xf>
    <xf numFmtId="0" fontId="12" fillId="7" borderId="24" xfId="0" applyFont="1" applyFill="1" applyBorder="1" applyAlignment="1">
      <alignment horizontal="center" wrapText="1"/>
    </xf>
    <xf numFmtId="0" fontId="12" fillId="7" borderId="25" xfId="0" applyFont="1" applyFill="1" applyBorder="1" applyAlignment="1">
      <alignment horizontal="center" wrapText="1"/>
    </xf>
    <xf numFmtId="0" fontId="0" fillId="0" borderId="26" xfId="0" applyBorder="1" applyAlignment="1">
      <alignment horizontal="center"/>
    </xf>
    <xf numFmtId="0" fontId="0" fillId="0" borderId="0" xfId="0" applyBorder="1" applyAlignment="1">
      <alignment horizontal="center"/>
    </xf>
    <xf numFmtId="0" fontId="0" fillId="0" borderId="27" xfId="0" applyBorder="1" applyAlignment="1">
      <alignment horizontal="center"/>
    </xf>
    <xf numFmtId="0" fontId="0" fillId="9" borderId="26" xfId="0" applyFill="1" applyBorder="1" applyAlignment="1">
      <alignment horizontal="center"/>
    </xf>
    <xf numFmtId="0" fontId="0" fillId="9" borderId="0" xfId="0" applyFill="1" applyBorder="1" applyAlignment="1">
      <alignment horizontal="center"/>
    </xf>
    <xf numFmtId="0" fontId="0" fillId="9" borderId="27" xfId="0" applyFill="1"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3" xfId="0" applyBorder="1" applyAlignment="1">
      <alignment vertical="center"/>
    </xf>
    <xf numFmtId="0" fontId="5" fillId="0" borderId="11" xfId="0" applyFont="1" applyBorder="1" applyAlignment="1">
      <alignment horizontal="center" vertical="center"/>
    </xf>
    <xf numFmtId="0" fontId="5" fillId="0" borderId="21" xfId="0" applyFont="1" applyBorder="1" applyAlignment="1">
      <alignment horizontal="center" vertical="center"/>
    </xf>
    <xf numFmtId="0" fontId="5" fillId="0" borderId="12" xfId="0" applyFont="1" applyBorder="1" applyAlignment="1">
      <alignment horizontal="center" vertical="center"/>
    </xf>
    <xf numFmtId="0" fontId="0" fillId="0" borderId="3" xfId="0" applyFill="1" applyBorder="1" applyAlignment="1">
      <alignment vertical="center"/>
    </xf>
    <xf numFmtId="0" fontId="0" fillId="0" borderId="0" xfId="0" applyFill="1" applyBorder="1" applyAlignment="1">
      <alignment vertical="center"/>
    </xf>
    <xf numFmtId="0" fontId="5" fillId="0" borderId="0" xfId="0" applyFont="1" applyFill="1" applyBorder="1" applyAlignment="1">
      <alignment vertical="center"/>
    </xf>
    <xf numFmtId="0" fontId="0" fillId="0" borderId="0" xfId="0" quotePrefix="1" applyFill="1" applyBorder="1" applyAlignment="1">
      <alignment vertical="center"/>
    </xf>
    <xf numFmtId="169" fontId="0" fillId="13" borderId="0" xfId="5" applyNumberFormat="1" applyFont="1" applyFill="1" applyAlignment="1">
      <alignment horizontal="center"/>
    </xf>
    <xf numFmtId="0" fontId="12" fillId="7" borderId="0" xfId="0" applyFont="1" applyFill="1" applyAlignment="1">
      <alignment horizontal="center" vertical="center"/>
    </xf>
    <xf numFmtId="0" fontId="6" fillId="0" borderId="3" xfId="0" applyFont="1" applyBorder="1" applyAlignment="1">
      <alignment horizontal="center" vertical="center"/>
    </xf>
    <xf numFmtId="0" fontId="6" fillId="0" borderId="3" xfId="0" quotePrefix="1" applyFont="1" applyBorder="1" applyAlignment="1">
      <alignment vertical="center" wrapText="1"/>
    </xf>
    <xf numFmtId="0" fontId="0" fillId="0" borderId="3" xfId="0" quotePrefix="1" applyBorder="1" applyAlignment="1">
      <alignment vertical="center" wrapText="1"/>
    </xf>
    <xf numFmtId="0" fontId="0" fillId="0" borderId="3" xfId="0" quotePrefix="1" applyBorder="1" applyAlignment="1">
      <alignment vertical="center"/>
    </xf>
  </cellXfs>
  <cellStyles count="6">
    <cellStyle name="Comma" xfId="5" builtinId="3"/>
    <cellStyle name="Currency" xfId="1" builtinId="4"/>
    <cellStyle name="Heading 1" xfId="2" builtinId="16"/>
    <cellStyle name="Heading 2" xfId="4" builtinId="17"/>
    <cellStyle name="Normal" xfId="0" builtinId="0"/>
    <cellStyle name="Percent" xfId="3" builtinId="5"/>
  </cellStyles>
  <dxfs count="10">
    <dxf>
      <font>
        <color rgb="FF006100"/>
      </font>
      <fill>
        <patternFill>
          <bgColor rgb="FFC6EFCE"/>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9C0006"/>
      </font>
      <fill>
        <patternFill>
          <bgColor rgb="FFFFC7CE"/>
        </patternFill>
      </fill>
    </dxf>
    <dxf>
      <fill>
        <patternFill>
          <bgColor theme="9" tint="0.59996337778862885"/>
        </patternFill>
      </fill>
    </dxf>
  </dxfs>
  <tableStyles count="0" defaultTableStyle="TableStyleMedium2" defaultPivotStyle="PivotStyleLight16"/>
  <colors>
    <mruColors>
      <color rgb="FFD67C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Woodworks</a:t>
            </a:r>
            <a:r>
              <a:rPr lang="en-US" baseline="0"/>
              <a:t> Bookshelf Co. Cost Projection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lotArea>
      <c:layout/>
      <c:lineChart>
        <c:grouping val="standard"/>
        <c:varyColors val="0"/>
        <c:ser>
          <c:idx val="3"/>
          <c:order val="0"/>
          <c:tx>
            <c:strRef>
              <c:f>'1. Basic Budgeting'!$J$39</c:f>
              <c:strCache>
                <c:ptCount val="1"/>
                <c:pt idx="0">
                  <c:v>Total Cherry</c:v>
                </c:pt>
              </c:strCache>
            </c:strRef>
          </c:tx>
          <c:spPr>
            <a:ln w="28575" cap="rnd">
              <a:solidFill>
                <a:schemeClr val="accent4"/>
              </a:solidFill>
              <a:round/>
            </a:ln>
            <a:effectLst/>
          </c:spPr>
          <c:marker>
            <c:symbol val="none"/>
          </c:marker>
          <c:cat>
            <c:numRef>
              <c:f>'1. Basic Budgeting'!$F$40:$F$45</c:f>
              <c:numCache>
                <c:formatCode>General</c:formatCode>
                <c:ptCount val="6"/>
                <c:pt idx="0">
                  <c:v>0</c:v>
                </c:pt>
                <c:pt idx="1">
                  <c:v>1</c:v>
                </c:pt>
                <c:pt idx="2">
                  <c:v>2</c:v>
                </c:pt>
                <c:pt idx="3">
                  <c:v>3</c:v>
                </c:pt>
                <c:pt idx="4">
                  <c:v>4</c:v>
                </c:pt>
                <c:pt idx="5">
                  <c:v>5</c:v>
                </c:pt>
              </c:numCache>
            </c:numRef>
          </c:cat>
          <c:val>
            <c:numRef>
              <c:f>'1. Basic Budgeting'!$J$40:$J$45</c:f>
              <c:numCache>
                <c:formatCode>"$"#,##0.00_);[Red]\("$"#,##0.00\)</c:formatCode>
                <c:ptCount val="6"/>
                <c:pt idx="0">
                  <c:v>461</c:v>
                </c:pt>
                <c:pt idx="1">
                  <c:v>469.4</c:v>
                </c:pt>
                <c:pt idx="2">
                  <c:v>477.96163999999999</c:v>
                </c:pt>
                <c:pt idx="3">
                  <c:v>486.68819995999996</c:v>
                </c:pt>
                <c:pt idx="4">
                  <c:v>495.58302956803993</c:v>
                </c:pt>
                <c:pt idx="5">
                  <c:v>504.64954977880785</c:v>
                </c:pt>
              </c:numCache>
            </c:numRef>
          </c:val>
          <c:smooth val="0"/>
          <c:extLst>
            <c:ext xmlns:c16="http://schemas.microsoft.com/office/drawing/2014/chart" uri="{C3380CC4-5D6E-409C-BE32-E72D297353CC}">
              <c16:uniqueId val="{00000003-B1FE-419E-8DB2-ACF0A72BDB15}"/>
            </c:ext>
          </c:extLst>
        </c:ser>
        <c:ser>
          <c:idx val="4"/>
          <c:order val="1"/>
          <c:tx>
            <c:strRef>
              <c:f>'1. Basic Budgeting'!$K$39</c:f>
              <c:strCache>
                <c:ptCount val="1"/>
                <c:pt idx="0">
                  <c:v>Total Oak</c:v>
                </c:pt>
              </c:strCache>
            </c:strRef>
          </c:tx>
          <c:spPr>
            <a:ln w="28575" cap="rnd">
              <a:solidFill>
                <a:schemeClr val="accent5"/>
              </a:solidFill>
              <a:round/>
            </a:ln>
            <a:effectLst/>
          </c:spPr>
          <c:marker>
            <c:symbol val="none"/>
          </c:marker>
          <c:cat>
            <c:numRef>
              <c:f>'1. Basic Budgeting'!$F$40:$F$45</c:f>
              <c:numCache>
                <c:formatCode>General</c:formatCode>
                <c:ptCount val="6"/>
                <c:pt idx="0">
                  <c:v>0</c:v>
                </c:pt>
                <c:pt idx="1">
                  <c:v>1</c:v>
                </c:pt>
                <c:pt idx="2">
                  <c:v>2</c:v>
                </c:pt>
                <c:pt idx="3">
                  <c:v>3</c:v>
                </c:pt>
                <c:pt idx="4">
                  <c:v>4</c:v>
                </c:pt>
                <c:pt idx="5">
                  <c:v>5</c:v>
                </c:pt>
              </c:numCache>
            </c:numRef>
          </c:cat>
          <c:val>
            <c:numRef>
              <c:f>'1. Basic Budgeting'!$K$40:$K$45</c:f>
              <c:numCache>
                <c:formatCode>"$"#,##0.00_);[Red]\("$"#,##0.00\)</c:formatCode>
                <c:ptCount val="6"/>
                <c:pt idx="0">
                  <c:v>425</c:v>
                </c:pt>
                <c:pt idx="1">
                  <c:v>431.63299999999998</c:v>
                </c:pt>
                <c:pt idx="2">
                  <c:v>438.36988099999996</c:v>
                </c:pt>
                <c:pt idx="3">
                  <c:v>445.21227577699995</c:v>
                </c:pt>
                <c:pt idx="4">
                  <c:v>452.16184286720886</c:v>
                </c:pt>
                <c:pt idx="5">
                  <c:v>459.22026697398138</c:v>
                </c:pt>
              </c:numCache>
            </c:numRef>
          </c:val>
          <c:smooth val="0"/>
          <c:extLst>
            <c:ext xmlns:c16="http://schemas.microsoft.com/office/drawing/2014/chart" uri="{C3380CC4-5D6E-409C-BE32-E72D297353CC}">
              <c16:uniqueId val="{00000004-B1FE-419E-8DB2-ACF0A72BDB15}"/>
            </c:ext>
          </c:extLst>
        </c:ser>
        <c:dLbls>
          <c:showLegendKey val="0"/>
          <c:showVal val="0"/>
          <c:showCatName val="0"/>
          <c:showSerName val="0"/>
          <c:showPercent val="0"/>
          <c:showBubbleSize val="0"/>
        </c:dLbls>
        <c:smooth val="0"/>
        <c:axId val="1775454160"/>
        <c:axId val="1905583008"/>
      </c:lineChart>
      <c:catAx>
        <c:axId val="1775454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905583008"/>
        <c:crosses val="autoZero"/>
        <c:auto val="1"/>
        <c:lblAlgn val="ctr"/>
        <c:lblOffset val="100"/>
        <c:noMultiLvlLbl val="0"/>
      </c:catAx>
      <c:valAx>
        <c:axId val="1905583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Cost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775454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Change vs</a:t>
            </a:r>
            <a:r>
              <a:rPr lang="en-US" baseline="0"/>
              <a:t> Response Rate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lotArea>
      <c:layout/>
      <c:barChart>
        <c:barDir val="col"/>
        <c:grouping val="clustered"/>
        <c:varyColors val="0"/>
        <c:ser>
          <c:idx val="0"/>
          <c:order val="0"/>
          <c:spPr>
            <a:solidFill>
              <a:schemeClr val="accent1"/>
            </a:solidFill>
            <a:ln>
              <a:noFill/>
            </a:ln>
            <a:effectLst/>
          </c:spPr>
          <c:invertIfNegative val="0"/>
          <c:cat>
            <c:numRef>
              <c:f>'2. Modeling Profit &amp; Break-Even'!$K$6:$K$19</c:f>
              <c:numCache>
                <c:formatCode>0.00%</c:formatCode>
                <c:ptCount val="14"/>
                <c:pt idx="0" formatCode="0%">
                  <c:v>0.03</c:v>
                </c:pt>
                <c:pt idx="1">
                  <c:v>3.5000000000000003E-2</c:v>
                </c:pt>
                <c:pt idx="2" formatCode="0%">
                  <c:v>0.04</c:v>
                </c:pt>
                <c:pt idx="3">
                  <c:v>4.4999999999999998E-2</c:v>
                </c:pt>
                <c:pt idx="4" formatCode="0%">
                  <c:v>0.05</c:v>
                </c:pt>
                <c:pt idx="5">
                  <c:v>5.5E-2</c:v>
                </c:pt>
                <c:pt idx="6" formatCode="0%">
                  <c:v>0.06</c:v>
                </c:pt>
                <c:pt idx="7">
                  <c:v>6.5000000000000002E-2</c:v>
                </c:pt>
                <c:pt idx="8" formatCode="0%">
                  <c:v>7.0000000000000007E-2</c:v>
                </c:pt>
                <c:pt idx="9">
                  <c:v>7.4999999999999997E-2</c:v>
                </c:pt>
                <c:pt idx="10" formatCode="0%">
                  <c:v>0.08</c:v>
                </c:pt>
                <c:pt idx="11">
                  <c:v>8.5000000000000006E-2</c:v>
                </c:pt>
                <c:pt idx="12" formatCode="0%">
                  <c:v>9.0000000000000094E-2</c:v>
                </c:pt>
                <c:pt idx="13">
                  <c:v>9.5000000000000098E-2</c:v>
                </c:pt>
              </c:numCache>
            </c:numRef>
          </c:cat>
          <c:val>
            <c:numRef>
              <c:f>'2. Modeling Profit &amp; Break-Even'!$L$6:$L$19</c:f>
              <c:numCache>
                <c:formatCode>_("$"* #,##0_);_("$"* \(#,##0\);_("$"* "-"??_);_(@_)</c:formatCode>
                <c:ptCount val="14"/>
                <c:pt idx="0">
                  <c:v>-21600</c:v>
                </c:pt>
                <c:pt idx="1">
                  <c:v>-17699.999999999971</c:v>
                </c:pt>
                <c:pt idx="2">
                  <c:v>-13800</c:v>
                </c:pt>
                <c:pt idx="3">
                  <c:v>-9900</c:v>
                </c:pt>
                <c:pt idx="4">
                  <c:v>-6000</c:v>
                </c:pt>
                <c:pt idx="5">
                  <c:v>-2100</c:v>
                </c:pt>
                <c:pt idx="6">
                  <c:v>1800</c:v>
                </c:pt>
                <c:pt idx="7">
                  <c:v>5700</c:v>
                </c:pt>
                <c:pt idx="8">
                  <c:v>9600.0000000000582</c:v>
                </c:pt>
                <c:pt idx="9">
                  <c:v>13500</c:v>
                </c:pt>
                <c:pt idx="10">
                  <c:v>17400</c:v>
                </c:pt>
                <c:pt idx="11">
                  <c:v>21300</c:v>
                </c:pt>
                <c:pt idx="12">
                  <c:v>25200.000000000058</c:v>
                </c:pt>
                <c:pt idx="13">
                  <c:v>29100.000000000058</c:v>
                </c:pt>
              </c:numCache>
            </c:numRef>
          </c:val>
          <c:extLst>
            <c:ext xmlns:c16="http://schemas.microsoft.com/office/drawing/2014/chart" uri="{C3380CC4-5D6E-409C-BE32-E72D297353CC}">
              <c16:uniqueId val="{00000000-F7D1-43DD-A608-7C9914914E80}"/>
            </c:ext>
          </c:extLst>
        </c:ser>
        <c:dLbls>
          <c:showLegendKey val="0"/>
          <c:showVal val="0"/>
          <c:showCatName val="0"/>
          <c:showSerName val="0"/>
          <c:showPercent val="0"/>
          <c:showBubbleSize val="0"/>
        </c:dLbls>
        <c:gapWidth val="219"/>
        <c:overlap val="-27"/>
        <c:axId val="1159074303"/>
        <c:axId val="1013261760"/>
      </c:barChart>
      <c:catAx>
        <c:axId val="1159074303"/>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013261760"/>
        <c:crosses val="autoZero"/>
        <c:auto val="1"/>
        <c:lblAlgn val="ctr"/>
        <c:lblOffset val="100"/>
        <c:noMultiLvlLbl val="0"/>
      </c:catAx>
      <c:valAx>
        <c:axId val="10132617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159074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Demand (Monthly)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lotArea>
      <c:layout/>
      <c:scatterChart>
        <c:scatterStyle val="lineMarker"/>
        <c:varyColors val="0"/>
        <c:ser>
          <c:idx val="0"/>
          <c:order val="0"/>
          <c:tx>
            <c:strRef>
              <c:f>'3. Decision Analysis (Reg. NPV)'!$C$8</c:f>
              <c:strCache>
                <c:ptCount val="1"/>
                <c:pt idx="0">
                  <c:v>Demand (00s)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9.4341352112035329E-2"/>
                  <c:y val="-0.6269978652668416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trendlineLbl>
          </c:trendline>
          <c:trendline>
            <c:spPr>
              <a:ln w="19050" cap="rnd">
                <a:solidFill>
                  <a:schemeClr val="accent1"/>
                </a:solidFill>
                <a:prstDash val="sysDot"/>
              </a:ln>
              <a:effectLst/>
            </c:spPr>
            <c:trendlineType val="power"/>
            <c:dispRSqr val="0"/>
            <c:dispEq val="1"/>
            <c:trendlineLbl>
              <c:layout>
                <c:manualLayout>
                  <c:x val="5.565049579549506E-2"/>
                  <c:y val="-0.52400606322098375"/>
                </c:manualLayout>
              </c:layout>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trendlineLbl>
          </c:trendline>
          <c:trendline>
            <c:spPr>
              <a:ln w="19050" cap="rnd">
                <a:solidFill>
                  <a:schemeClr val="accent1"/>
                </a:solidFill>
                <a:prstDash val="sysDot"/>
              </a:ln>
              <a:effectLst/>
            </c:spPr>
            <c:trendlineType val="exp"/>
            <c:dispRSqr val="0"/>
            <c:dispEq val="1"/>
            <c:trendlineLbl>
              <c:layout>
                <c:manualLayout>
                  <c:x val="6.1239607739471048E-2"/>
                  <c:y val="-0.483249038076501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trendlineLbl>
          </c:trendline>
          <c:xVal>
            <c:numRef>
              <c:f>'3. Decision Analysis (Reg. NPV)'!$B$9:$B$20</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'3. Decision Analysis (Reg. NPV)'!$C$9:$C$20</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C8A9-47F1-B029-B0F4AEEDA985}"/>
            </c:ext>
          </c:extLst>
        </c:ser>
        <c:dLbls>
          <c:showLegendKey val="0"/>
          <c:showVal val="0"/>
          <c:showCatName val="0"/>
          <c:showSerName val="0"/>
          <c:showPercent val="0"/>
          <c:showBubbleSize val="0"/>
        </c:dLbls>
        <c:axId val="809904831"/>
        <c:axId val="978560688"/>
      </c:scatterChart>
      <c:valAx>
        <c:axId val="8099048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78560688"/>
        <c:crosses val="autoZero"/>
        <c:crossBetween val="midCat"/>
      </c:valAx>
      <c:valAx>
        <c:axId val="978560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8099048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lotArea>
      <c:layout/>
      <c:scatterChart>
        <c:scatterStyle val="lineMarker"/>
        <c:varyColors val="0"/>
        <c:ser>
          <c:idx val="0"/>
          <c:order val="0"/>
          <c:tx>
            <c:strRef>
              <c:f>'3. Decision Analysis (Reg. NPV)'!$AJ$4</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'3. Decision Analysis (Reg. NPV)'!$AI$5:$AI$49</c:f>
              <c:numCache>
                <c:formatCode>_("$"* #,##0_);_("$"* \(#,##0\);_("$"* "-"??_);_(@_)</c:formatCode>
                <c:ptCount val="45"/>
                <c:pt idx="1">
                  <c:v>260</c:v>
                </c:pt>
                <c:pt idx="2">
                  <c:v>270</c:v>
                </c:pt>
                <c:pt idx="3">
                  <c:v>280</c:v>
                </c:pt>
                <c:pt idx="4">
                  <c:v>290</c:v>
                </c:pt>
                <c:pt idx="5">
                  <c:v>300</c:v>
                </c:pt>
                <c:pt idx="6">
                  <c:v>310</c:v>
                </c:pt>
                <c:pt idx="7">
                  <c:v>320</c:v>
                </c:pt>
                <c:pt idx="8">
                  <c:v>330</c:v>
                </c:pt>
                <c:pt idx="9">
                  <c:v>340</c:v>
                </c:pt>
                <c:pt idx="10">
                  <c:v>350</c:v>
                </c:pt>
                <c:pt idx="11">
                  <c:v>360</c:v>
                </c:pt>
                <c:pt idx="12">
                  <c:v>370</c:v>
                </c:pt>
                <c:pt idx="13">
                  <c:v>380</c:v>
                </c:pt>
                <c:pt idx="14">
                  <c:v>390</c:v>
                </c:pt>
                <c:pt idx="15">
                  <c:v>400</c:v>
                </c:pt>
                <c:pt idx="16">
                  <c:v>410</c:v>
                </c:pt>
                <c:pt idx="17">
                  <c:v>420</c:v>
                </c:pt>
                <c:pt idx="18">
                  <c:v>430</c:v>
                </c:pt>
                <c:pt idx="19">
                  <c:v>440</c:v>
                </c:pt>
                <c:pt idx="20">
                  <c:v>450</c:v>
                </c:pt>
                <c:pt idx="21">
                  <c:v>460</c:v>
                </c:pt>
                <c:pt idx="22">
                  <c:v>470</c:v>
                </c:pt>
                <c:pt idx="23">
                  <c:v>480</c:v>
                </c:pt>
                <c:pt idx="24">
                  <c:v>490</c:v>
                </c:pt>
                <c:pt idx="25">
                  <c:v>500</c:v>
                </c:pt>
                <c:pt idx="26">
                  <c:v>510</c:v>
                </c:pt>
                <c:pt idx="27">
                  <c:v>520</c:v>
                </c:pt>
                <c:pt idx="28">
                  <c:v>530</c:v>
                </c:pt>
                <c:pt idx="29">
                  <c:v>540</c:v>
                </c:pt>
                <c:pt idx="30">
                  <c:v>550</c:v>
                </c:pt>
                <c:pt idx="31">
                  <c:v>560</c:v>
                </c:pt>
                <c:pt idx="32">
                  <c:v>570</c:v>
                </c:pt>
                <c:pt idx="33">
                  <c:v>580</c:v>
                </c:pt>
                <c:pt idx="34">
                  <c:v>590</c:v>
                </c:pt>
                <c:pt idx="35">
                  <c:v>600</c:v>
                </c:pt>
                <c:pt idx="36">
                  <c:v>800</c:v>
                </c:pt>
                <c:pt idx="37">
                  <c:v>1000</c:v>
                </c:pt>
                <c:pt idx="38">
                  <c:v>1100</c:v>
                </c:pt>
                <c:pt idx="39">
                  <c:v>1200</c:v>
                </c:pt>
                <c:pt idx="40">
                  <c:v>1300</c:v>
                </c:pt>
                <c:pt idx="41">
                  <c:v>1400</c:v>
                </c:pt>
                <c:pt idx="42">
                  <c:v>1500</c:v>
                </c:pt>
                <c:pt idx="43">
                  <c:v>1600</c:v>
                </c:pt>
                <c:pt idx="44">
                  <c:v>1700</c:v>
                </c:pt>
              </c:numCache>
            </c:numRef>
          </c:xVal>
          <c:yVal>
            <c:numRef>
              <c:f>'3. Decision Analysis (Reg. NPV)'!$AJ$5:$AJ$49</c:f>
              <c:numCache>
                <c:formatCode>_("$"* #,##0_);_("$"* \(#,##0\);_("$"* "-"??_);_(@_)</c:formatCode>
                <c:ptCount val="45"/>
                <c:pt idx="0">
                  <c:v>933219.50848926988</c:v>
                </c:pt>
                <c:pt idx="1">
                  <c:v>144859.72842847556</c:v>
                </c:pt>
                <c:pt idx="2">
                  <c:v>269590.60184817808</c:v>
                </c:pt>
                <c:pt idx="3">
                  <c:v>377277.18719872413</c:v>
                </c:pt>
                <c:pt idx="4">
                  <c:v>470458.61526328744</c:v>
                </c:pt>
                <c:pt idx="5">
                  <c:v>551238.40185229108</c:v>
                </c:pt>
                <c:pt idx="6">
                  <c:v>621369.53021456813</c:v>
                </c:pt>
                <c:pt idx="7">
                  <c:v>682320.93416212313</c:v>
                </c:pt>
                <c:pt idx="8">
                  <c:v>735329.86392835062</c:v>
                </c:pt>
                <c:pt idx="9">
                  <c:v>781443.44106265297</c:v>
                </c:pt>
                <c:pt idx="10">
                  <c:v>821551.86522268457</c:v>
                </c:pt>
                <c:pt idx="11">
                  <c:v>856415.12424477958</c:v>
                </c:pt>
                <c:pt idx="12">
                  <c:v>886684.61116254725</c:v>
                </c:pt>
                <c:pt idx="13">
                  <c:v>912920.72098907013</c:v>
                </c:pt>
                <c:pt idx="14">
                  <c:v>935607.253438466</c:v>
                </c:pt>
                <c:pt idx="15">
                  <c:v>955163.26238462282</c:v>
                </c:pt>
                <c:pt idx="16">
                  <c:v>971952.85243747453</c:v>
                </c:pt>
                <c:pt idx="17">
                  <c:v>986293.31587235699</c:v>
                </c:pt>
                <c:pt idx="18">
                  <c:v>998461.92082203622</c:v>
                </c:pt>
                <c:pt idx="19">
                  <c:v>1008701.5979665397</c:v>
                </c:pt>
                <c:pt idx="20">
                  <c:v>1017225.7233983984</c:v>
                </c:pt>
                <c:pt idx="21">
                  <c:v>1024222.1565401531</c:v>
                </c:pt>
                <c:pt idx="22">
                  <c:v>1029856.6614397548</c:v>
                </c:pt>
                <c:pt idx="23">
                  <c:v>1034275.8155834542</c:v>
                </c:pt>
                <c:pt idx="24">
                  <c:v>1037609.4911199291</c:v>
                </c:pt>
                <c:pt idx="25">
                  <c:v>1039972.9779989794</c:v>
                </c:pt>
                <c:pt idx="26">
                  <c:v>1041468.8061629091</c:v>
                </c:pt>
                <c:pt idx="27">
                  <c:v>1042188.3139489595</c:v>
                </c:pt>
                <c:pt idx="28">
                  <c:v>1042213.0017719698</c:v>
                </c:pt>
                <c:pt idx="29">
                  <c:v>1041615.7035724644</c:v>
                </c:pt>
                <c:pt idx="30">
                  <c:v>1040461.6031350964</c:v>
                </c:pt>
                <c:pt idx="31">
                  <c:v>1038809.1179690239</c:v>
                </c:pt>
                <c:pt idx="32">
                  <c:v>1036710.669808225</c:v>
                </c:pt>
                <c:pt idx="33">
                  <c:v>1034213.3577876764</c:v>
                </c:pt>
                <c:pt idx="34">
                  <c:v>1031359.5478624469</c:v>
                </c:pt>
                <c:pt idx="35">
                  <c:v>1028187.3899667513</c:v>
                </c:pt>
                <c:pt idx="36">
                  <c:v>933219.50848926988</c:v>
                </c:pt>
                <c:pt idx="37">
                  <c:v>831338.85314930137</c:v>
                </c:pt>
                <c:pt idx="38">
                  <c:v>785522.26095810602</c:v>
                </c:pt>
                <c:pt idx="39">
                  <c:v>743639.76069940359</c:v>
                </c:pt>
                <c:pt idx="40">
                  <c:v>705508.4138351829</c:v>
                </c:pt>
                <c:pt idx="41">
                  <c:v>670814.37853000883</c:v>
                </c:pt>
                <c:pt idx="42">
                  <c:v>639211.68487958203</c:v>
                </c:pt>
                <c:pt idx="43">
                  <c:v>610365.04802890634</c:v>
                </c:pt>
                <c:pt idx="44">
                  <c:v>583966.95838628535</c:v>
                </c:pt>
              </c:numCache>
            </c:numRef>
          </c:yVal>
          <c:smooth val="0"/>
          <c:extLst>
            <c:ext xmlns:c16="http://schemas.microsoft.com/office/drawing/2014/chart" uri="{C3380CC4-5D6E-409C-BE32-E72D297353CC}">
              <c16:uniqueId val="{00000000-5248-4533-9604-AD39E8166DA3}"/>
            </c:ext>
          </c:extLst>
        </c:ser>
        <c:dLbls>
          <c:showLegendKey val="0"/>
          <c:showVal val="0"/>
          <c:showCatName val="0"/>
          <c:showSerName val="0"/>
          <c:showPercent val="0"/>
          <c:showBubbleSize val="0"/>
        </c:dLbls>
        <c:axId val="809927391"/>
        <c:axId val="1062640176"/>
      </c:scatterChart>
      <c:valAx>
        <c:axId val="8099273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r>
                  <a:rPr lang="en-US" baseline="0"/>
                  <a:t> price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062640176"/>
        <c:crosses val="autoZero"/>
        <c:crossBetween val="midCat"/>
      </c:valAx>
      <c:valAx>
        <c:axId val="106264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80992739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338137</xdr:colOff>
      <xdr:row>31</xdr:row>
      <xdr:rowOff>9525</xdr:rowOff>
    </xdr:from>
    <xdr:to>
      <xdr:col>18</xdr:col>
      <xdr:colOff>109537</xdr:colOff>
      <xdr:row>45</xdr:row>
      <xdr:rowOff>9525</xdr:rowOff>
    </xdr:to>
    <xdr:graphicFrame macro="">
      <xdr:nvGraphicFramePr>
        <xdr:cNvPr id="2" name="Chart 1">
          <a:extLst>
            <a:ext uri="{FF2B5EF4-FFF2-40B4-BE49-F238E27FC236}">
              <a16:creationId xmlns:a16="http://schemas.microsoft.com/office/drawing/2014/main" id="{B3BBF33E-65A0-0C66-B526-53A2D0CE7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324036</xdr:colOff>
      <xdr:row>3</xdr:row>
      <xdr:rowOff>141195</xdr:rowOff>
    </xdr:from>
    <xdr:to>
      <xdr:col>19</xdr:col>
      <xdr:colOff>124198</xdr:colOff>
      <xdr:row>18</xdr:row>
      <xdr:rowOff>166969</xdr:rowOff>
    </xdr:to>
    <xdr:graphicFrame macro="">
      <xdr:nvGraphicFramePr>
        <xdr:cNvPr id="3" name="Chart 2">
          <a:extLst>
            <a:ext uri="{FF2B5EF4-FFF2-40B4-BE49-F238E27FC236}">
              <a16:creationId xmlns:a16="http://schemas.microsoft.com/office/drawing/2014/main" id="{8AFE92A4-87A1-8F64-747E-9B515DBE77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285750</xdr:colOff>
      <xdr:row>12</xdr:row>
      <xdr:rowOff>63500</xdr:rowOff>
    </xdr:from>
    <xdr:to>
      <xdr:col>7</xdr:col>
      <xdr:colOff>406605</xdr:colOff>
      <xdr:row>14</xdr:row>
      <xdr:rowOff>104126</xdr:rowOff>
    </xdr:to>
    <xdr:sp macro="" textlink="">
      <xdr:nvSpPr>
        <xdr:cNvPr id="2" name="Speech Bubble: Rectangle 1">
          <a:extLst>
            <a:ext uri="{FF2B5EF4-FFF2-40B4-BE49-F238E27FC236}">
              <a16:creationId xmlns:a16="http://schemas.microsoft.com/office/drawing/2014/main" id="{D1551E3F-88FF-4903-96C2-A7455B344BF5}"/>
            </a:ext>
          </a:extLst>
        </xdr:cNvPr>
        <xdr:cNvSpPr/>
      </xdr:nvSpPr>
      <xdr:spPr>
        <a:xfrm>
          <a:off x="7133167" y="2391833"/>
          <a:ext cx="1041605" cy="411043"/>
        </a:xfrm>
        <a:prstGeom prst="wedgeRectCallout">
          <a:avLst>
            <a:gd name="adj1" fmla="val -76985"/>
            <a:gd name="adj2" fmla="val 35580"/>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latin typeface="Arial" panose="020B0604020202020204" pitchFamily="34" charset="0"/>
              <a:cs typeface="Arial" panose="020B0604020202020204" pitchFamily="34" charset="0"/>
            </a:rPr>
            <a:t>Insert</a:t>
          </a:r>
          <a:r>
            <a:rPr lang="en-US" sz="900" i="1" baseline="0">
              <a:latin typeface="Arial" panose="020B0604020202020204" pitchFamily="34" charset="0"/>
              <a:cs typeface="Arial" panose="020B0604020202020204" pitchFamily="34" charset="0"/>
            </a:rPr>
            <a:t> rates here</a:t>
          </a:r>
          <a:endParaRPr lang="vi-VN" sz="900" i="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686363</xdr:colOff>
      <xdr:row>6</xdr:row>
      <xdr:rowOff>48697</xdr:rowOff>
    </xdr:from>
    <xdr:to>
      <xdr:col>15</xdr:col>
      <xdr:colOff>18642</xdr:colOff>
      <xdr:row>19</xdr:row>
      <xdr:rowOff>133539</xdr:rowOff>
    </xdr:to>
    <xdr:graphicFrame macro="">
      <xdr:nvGraphicFramePr>
        <xdr:cNvPr id="2" name="Chart 1">
          <a:extLst>
            <a:ext uri="{FF2B5EF4-FFF2-40B4-BE49-F238E27FC236}">
              <a16:creationId xmlns:a16="http://schemas.microsoft.com/office/drawing/2014/main" id="{3F8BAF77-0655-DB69-3159-DA382B13C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36</xdr:col>
      <xdr:colOff>245929</xdr:colOff>
      <xdr:row>3</xdr:row>
      <xdr:rowOff>1</xdr:rowOff>
    </xdr:from>
    <xdr:to>
      <xdr:col>43</xdr:col>
      <xdr:colOff>6331</xdr:colOff>
      <xdr:row>17</xdr:row>
      <xdr:rowOff>52634</xdr:rowOff>
    </xdr:to>
    <xdr:graphicFrame macro="">
      <xdr:nvGraphicFramePr>
        <xdr:cNvPr id="4" name="Chart 3">
          <a:extLst>
            <a:ext uri="{FF2B5EF4-FFF2-40B4-BE49-F238E27FC236}">
              <a16:creationId xmlns:a16="http://schemas.microsoft.com/office/drawing/2014/main" id="{42DB325D-69DD-4638-8845-9A9E0D352D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600075</xdr:colOff>
      <xdr:row>2</xdr:row>
      <xdr:rowOff>76200</xdr:rowOff>
    </xdr:from>
    <xdr:to>
      <xdr:col>17</xdr:col>
      <xdr:colOff>631379</xdr:colOff>
      <xdr:row>43</xdr:row>
      <xdr:rowOff>42334</xdr:rowOff>
    </xdr:to>
    <xdr:cxnSp macro="">
      <xdr:nvCxnSpPr>
        <xdr:cNvPr id="6" name="Straight Connector 5">
          <a:extLst>
            <a:ext uri="{FF2B5EF4-FFF2-40B4-BE49-F238E27FC236}">
              <a16:creationId xmlns:a16="http://schemas.microsoft.com/office/drawing/2014/main" id="{E001C79F-74DE-775E-CF35-2836FC68ED4B}"/>
            </a:ext>
          </a:extLst>
        </xdr:cNvPr>
        <xdr:cNvCxnSpPr/>
      </xdr:nvCxnSpPr>
      <xdr:spPr>
        <a:xfrm>
          <a:off x="16602075" y="520700"/>
          <a:ext cx="31304" cy="8326967"/>
        </a:xfrm>
        <a:prstGeom prst="line">
          <a:avLst/>
        </a:prstGeom>
        <a:ln w="12700">
          <a:solidFill>
            <a:sysClr val="windowText" lastClr="000000"/>
          </a:solidFill>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492125</xdr:colOff>
      <xdr:row>42</xdr:row>
      <xdr:rowOff>157691</xdr:rowOff>
    </xdr:from>
    <xdr:to>
      <xdr:col>17</xdr:col>
      <xdr:colOff>475191</xdr:colOff>
      <xdr:row>42</xdr:row>
      <xdr:rowOff>167216</xdr:rowOff>
    </xdr:to>
    <xdr:cxnSp macro="">
      <xdr:nvCxnSpPr>
        <xdr:cNvPr id="10" name="Straight Arrow Connector 9">
          <a:extLst>
            <a:ext uri="{FF2B5EF4-FFF2-40B4-BE49-F238E27FC236}">
              <a16:creationId xmlns:a16="http://schemas.microsoft.com/office/drawing/2014/main" id="{D6018C8B-4756-C3AE-AFFF-B47ED0C9103F}"/>
            </a:ext>
          </a:extLst>
        </xdr:cNvPr>
        <xdr:cNvCxnSpPr/>
      </xdr:nvCxnSpPr>
      <xdr:spPr>
        <a:xfrm flipV="1">
          <a:off x="14620875" y="8783108"/>
          <a:ext cx="861483" cy="9525"/>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328083</xdr:colOff>
      <xdr:row>56</xdr:row>
      <xdr:rowOff>21167</xdr:rowOff>
    </xdr:from>
    <xdr:to>
      <xdr:col>12</xdr:col>
      <xdr:colOff>232834</xdr:colOff>
      <xdr:row>58</xdr:row>
      <xdr:rowOff>63500</xdr:rowOff>
    </xdr:to>
    <xdr:sp macro="" textlink="">
      <xdr:nvSpPr>
        <xdr:cNvPr id="5" name="Speech Bubble: Rectangle 4">
          <a:extLst>
            <a:ext uri="{FF2B5EF4-FFF2-40B4-BE49-F238E27FC236}">
              <a16:creationId xmlns:a16="http://schemas.microsoft.com/office/drawing/2014/main" id="{D7520DB8-9539-86EE-2E89-40B128414DBA}"/>
            </a:ext>
          </a:extLst>
        </xdr:cNvPr>
        <xdr:cNvSpPr/>
      </xdr:nvSpPr>
      <xdr:spPr>
        <a:xfrm>
          <a:off x="9112250" y="11239500"/>
          <a:ext cx="1037167" cy="402167"/>
        </a:xfrm>
        <a:prstGeom prst="wedgeRectCallout">
          <a:avLst>
            <a:gd name="adj1" fmla="val -63777"/>
            <a:gd name="adj2" fmla="val -5616"/>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latin typeface="Arial" panose="020B0604020202020204" pitchFamily="34" charset="0"/>
              <a:cs typeface="Arial" panose="020B0604020202020204" pitchFamily="34" charset="0"/>
            </a:rPr>
            <a:t>Insert</a:t>
          </a:r>
          <a:r>
            <a:rPr lang="en-US" sz="900" i="1" baseline="0">
              <a:latin typeface="Arial" panose="020B0604020202020204" pitchFamily="34" charset="0"/>
              <a:cs typeface="Arial" panose="020B0604020202020204" pitchFamily="34" charset="0"/>
            </a:rPr>
            <a:t> rates here</a:t>
          </a:r>
          <a:endParaRPr lang="vi-VN" sz="900" i="1">
            <a:latin typeface="Arial" panose="020B0604020202020204" pitchFamily="34" charset="0"/>
            <a:cs typeface="Arial" panose="020B0604020202020204" pitchFamily="34" charset="0"/>
          </a:endParaRPr>
        </a:p>
      </xdr:txBody>
    </xdr:sp>
    <xdr:clientData/>
  </xdr:twoCellAnchor>
  <xdr:twoCellAnchor>
    <xdr:from>
      <xdr:col>23</xdr:col>
      <xdr:colOff>0</xdr:colOff>
      <xdr:row>4</xdr:row>
      <xdr:rowOff>0</xdr:rowOff>
    </xdr:from>
    <xdr:to>
      <xdr:col>24</xdr:col>
      <xdr:colOff>613833</xdr:colOff>
      <xdr:row>6</xdr:row>
      <xdr:rowOff>31750</xdr:rowOff>
    </xdr:to>
    <xdr:sp macro="" textlink="">
      <xdr:nvSpPr>
        <xdr:cNvPr id="7" name="Speech Bubble: Rectangle 6">
          <a:extLst>
            <a:ext uri="{FF2B5EF4-FFF2-40B4-BE49-F238E27FC236}">
              <a16:creationId xmlns:a16="http://schemas.microsoft.com/office/drawing/2014/main" id="{ED686B79-129D-4A78-9570-11F05546FBF8}"/>
            </a:ext>
          </a:extLst>
        </xdr:cNvPr>
        <xdr:cNvSpPr/>
      </xdr:nvSpPr>
      <xdr:spPr>
        <a:xfrm>
          <a:off x="21473583" y="857250"/>
          <a:ext cx="1301750" cy="402167"/>
        </a:xfrm>
        <a:prstGeom prst="wedgeRectCallout">
          <a:avLst>
            <a:gd name="adj1" fmla="val -146704"/>
            <a:gd name="adj2" fmla="val -2984"/>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i="1">
              <a:latin typeface="Arial" panose="020B0604020202020204" pitchFamily="34" charset="0"/>
              <a:cs typeface="Arial" panose="020B0604020202020204" pitchFamily="34" charset="0"/>
            </a:rPr>
            <a:t>Insert</a:t>
          </a:r>
          <a:r>
            <a:rPr lang="en-US" sz="900" i="1" baseline="0">
              <a:latin typeface="Arial" panose="020B0604020202020204" pitchFamily="34" charset="0"/>
              <a:cs typeface="Arial" panose="020B0604020202020204" pitchFamily="34" charset="0"/>
            </a:rPr>
            <a:t> cost or price here</a:t>
          </a:r>
          <a:endParaRPr lang="vi-VN" sz="900" i="1">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Quynh Trang Nguyen" id="{CFBA7E08-1BC0-4527-A455-B242FC5E0321}" userId="39f585913104411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5" dT="2024-01-08T19:20:09.96" personId="{CFBA7E08-1BC0-4527-A455-B242FC5E0321}" id="{7B714519-B88D-4E3A-91FA-46255E1A51AC}">
    <text>the largest value in the range and the value 0 =&gt; always positive number</text>
  </threadedComment>
</ThreadedComments>
</file>

<file path=xl/threadedComments/threadedComment2.xml><?xml version="1.0" encoding="utf-8"?>
<ThreadedComments xmlns="http://schemas.microsoft.com/office/spreadsheetml/2018/threadedcomments" xmlns:x="http://schemas.openxmlformats.org/spreadsheetml/2006/main">
  <threadedComment ref="L6" dT="2024-01-09T14:32:48.46" personId="{CFBA7E08-1BC0-4527-A455-B242FC5E0321}" id="{D60FD11F-2D03-4253-BF84-79692CC1A2CB}">
    <text>Response rate (manual) =&gt; select table =&gt; data</text>
  </threadedComment>
</ThreadedComments>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 dockstate="right" visibility="0" width="350" row="8">
    <wetp:webextensionref xmlns:r="http://schemas.openxmlformats.org/officeDocument/2006/relationships" r:id="rId2"/>
  </wetp:taskpane>
  <wetp:taskpane dockstate="right" visibility="0" width="350" row="6">
    <wetp:webextensionref xmlns:r="http://schemas.openxmlformats.org/officeDocument/2006/relationships" r:id="rId3"/>
  </wetp:taskpane>
  <wetp:taskpane dockstate="right" visibility="0" width="350" row="9">
    <wetp:webextensionref xmlns:r="http://schemas.openxmlformats.org/officeDocument/2006/relationships" r:id="rId4"/>
  </wetp:taskpane>
</wetp:taskpanes>
</file>

<file path=xl/webextensions/webextension1.xml><?xml version="1.0" encoding="utf-8"?>
<we:webextension xmlns:we="http://schemas.microsoft.com/office/webextensions/webextension/2010/11" id="{3571403F-AE91-4322-B7D7-22CC98C336D1}">
  <we:reference id="wa104100404" version="3.0.0.1" store="en-US" storeType="OMEX"/>
  <we:alternateReferences>
    <we:reference id="WA104100404" version="3.0.0.1" store="WA104100404" storeType="OMEX"/>
  </we:alternateReferences>
  <we:properties>
    <we:property name="Iyg1A1QVcDAGM1kaLEZ/Egg=" value="&quot;&quot;"/>
    <we:property name="Iyg1A1QVcDAGM1kaLEZ9ERoLLxo=" value="&quot;Uw==&quot;"/>
    <we:property name="Iyg1A1QVcDAGM1kaLEZDHw4wIwZuADES" value="&quot;Umh2RAFXYFM=&quot;"/>
    <we:property name="Iyg1A1QVcDAGM1kaLEZDHw4wIwZuATUD" value="&quot;Umh2RAFXYFM=&quot;"/>
    <we:property name="Iyg1A1QVcDAGM1kaLEZDHw4wIwZuAj4F" value="&quot;JRQB&quot;"/>
    <we:property name="Iyg1A1QVcDAGM1kaLEZDHw4wIwZuBCYF" value="&quot;Umh2RAFW&quot;"/>
    <we:property name="Iyg1A1QVcDAGM1kaLEZDHw4wIwZuBiIR" value="&quot;Uw==&quot;"/>
    <we:property name="Iyg1A1QVcDAGM1kaLEZDHw4wIwZuBjMB" value="&quot;Umh2RAA=&quot;"/>
    <we:property name="Iyg1A1QVcDAGM1kaLEZDHw4wIwZuCSQQ" value="&quot;UA==&quot;"/>
    <we:property name="Iyg1A1QVcDAGM1kaLEZDHw4wIwZuCTUF" value="&quot;Uw==&quot;"/>
    <we:property name="Iyg1A1QVcDAGM1kaLEZDHw4wIwZuCiIW" value="&quot;Umh2QwQ=&quot;"/>
    <we:property name="Iyg1A1QVcDAGM1kaLEZDHw4wIwZuCiMO" value="&quot;Ug==&quot;"/>
    <we:property name="Iyg1A1QVcDAGM1kaLEZDHw4wIwZuCj4L" value="&quot;UXY=&quot;"/>
    <we:property name="Iyg1A1QVcDAGM1kaLEZDHw4wIwZuCjUW" value="&quot;UA==&quot;"/>
    <we:property name="Iyg1A1QVcDAGM1kaLEZDHw4wIwZuCyAS" value="&quot;Ug==&quot;"/>
    <we:property name="Iyg1A1QVcDAGM1kaLEZDHw4wIwZuCyAW" value="&quot;Ug==&quot;"/>
    <we:property name="Iyg1A1QVcDAGM1kaLEZDHw4wIwZuDiAG" value="&quot;UQ==&quot;"/>
    <we:property name="Iyg1A1QVcDAGM1kaLEZDHw4wIwZuDiAL" value="&quot;Uw==&quot;"/>
    <we:property name="Iyg1A1QVcDAGM1kaLEZDHw4wIwZuDiAR" value="&quot;Umh/TQ==&quot;"/>
    <we:property name="Iyg1A1QVcDAGM1kaLEZDHw4wIwZuEz8O" value="&quot;Umh2RQ==&quot;"/>
    <we:property name="Iyg1A1QVcDAGM1kaLEZDHw4wIwZuFCMY" value="&quot;U3Z2&quot;"/>
    <we:property name="Iyg1A1QVcDAGM1kaLEZDHw4wIwZuFCQD" value="&quot;Ug==&quot;"/>
    <we:property name="Iyg1A1QVcDAGM1kaLEZDHw4wIwZuFD8B" value="&quot;Ug==&quot;"/>
    <we:property name="Iyg1A1QVcDAGM1kaLEZDHw4wIwZuFDMO" value="&quot;Uw==&quot;"/>
    <we:property name="Iyg1A1QVcDAGM1kaLEZDHw4wIwZuFSMG" value="&quot;Ug==&quot;"/>
    <we:property name="Iyg1A1QVcDAGM1kaLEZDHw4wIwZuFTIU" value="&quot;Uw==&quot;"/>
    <we:property name="Iyg1A1QVcDAGM1kaLEZDHw4wIwZuFTUR" value="&quot;Vw==&quot;"/>
    <we:property name="Iyg1A1QVcDAGM1kaLEZDHw4wIwZuFTwa" value="&quot;Ug==&quot;"/>
    <we:property name="Iyg1A1QVcDAGM1kaLEZDHw4wIwZuFyIH" value="&quot;Umh2RAFXYFM=&quot;"/>
    <we:property name="UniqueID" value="&quot;20240111704989775777&quot;"/>
    <we:property name="VmhmO0ETOQ8KOVccMQheUEoKLxpUBiJCMzFRRnFGQx8OMCMGbg4gBg==" value="&quot;UQ==&quot;"/>
    <we:property name="VmhmO0ETOQ8KOVccMQheUEoKLxpUBiJCMzFRRnFGQx8OMCMGbg4gCw==" value="&quot;Uw==&quot;"/>
    <we:property name="VmhmO0ETOQ8KOVccMQheUEoKLxpUBiJCMzFRRnFGQx8OMCMGbg4gEQ==" value="&quot;Umh/TQ==&quot;"/>
    <we:property name="VmhmO0ETOQ8KOVccMQheUEoKLxpUBiJCMzFRRnFGQx8OMCMGbgAxEg==" value="&quot;Umh2RAFXYFM=&quot;"/>
    <we:property name="VmhmO0ETOQ8KOVccMQheUEoKLxpUBiJCMzFRRnFGQx8OMCMGbgE1Aw==" value="&quot;Umh2RAFXYFM=&quot;"/>
    <we:property name="VmhmO0ETOQ8KOVccMQheUEoKLxpUBiJCMzFRRnFGQx8OMCMGbgI+BQ==" value="&quot;LhY=&quot;"/>
    <we:property name="VmhmO0ETOQ8KOVccMQheUEoKLxpUBiJCMzFRRnFGQx8OMCMGbgQmBQ==" value="&quot;Umh2RAFW&quot;"/>
    <we:property name="VmhmO0ETOQ8KOVccMQheUEoKLxpUBiJCMzFRRnFGQx8OMCMGbgYiEQ==" value="&quot;Uw==&quot;"/>
    <we:property name="VmhmO0ETOQ8KOVccMQheUEoKLxpUBiJCMzFRRnFGQx8OMCMGbgYzAQ==" value="&quot;Umh2RAA=&quot;"/>
    <we:property name="VmhmO0ETOQ8KOVccMQheUEoKLxpUBiJCMzFRRnFGQx8OMCMGbgk1BQ==" value="&quot;Uw==&quot;"/>
    <we:property name="VmhmO0ETOQ8KOVccMQheUEoKLxpUBiJCMzFRRnFGQx8OMCMGbgkkEA==" value="&quot;UA==&quot;"/>
    <we:property name="VmhmO0ETOQ8KOVccMQheUEoKLxpUBiJCMzFRRnFGQx8OMCMGbgklDw==" value="&quot;Vw==&quot;"/>
    <we:property name="VmhmO0ETOQ8KOVccMQheUEoKLxpUBiJCMzFRRnFGQx8OMCMGbgo+Cw==" value="&quot;UXY=&quot;"/>
    <we:property name="VmhmO0ETOQ8KOVccMQheUEoKLxpUBiJCMzFRRnFGQx8OMCMGbgo1Fg==" value="&quot;UA==&quot;"/>
    <we:property name="VmhmO0ETOQ8KOVccMQheUEoKLxpUBiJCMzFRRnFGQx8OMCMGbgoiFg==" value="&quot;Umh2QwQ=&quot;"/>
    <we:property name="VmhmO0ETOQ8KOVccMQheUEoKLxpUBiJCMzFRRnFGQx8OMCMGbgojDg==" value="&quot;Ug==&quot;"/>
    <we:property name="VmhmO0ETOQ8KOVccMQheUEoKLxpUBiJCMzFRRnFGQx8OMCMGbgs4EVA=" value="&quot;RgpiRQQ=&quot;"/>
    <we:property name="VmhmO0ETOQ8KOVccMQheUEoKLxpUBiJCMzFRRnFGQx8OMCMGbgs4EVE=" value="&quot;RgpiRQU=&quot;"/>
    <we:property name="VmhmO0ETOQ8KOVccMQheUEoKLxpUBiJCMzFRRnFGQx8OMCMGbgs4EVI=" value="&quot;RgpiRQI=&quot;"/>
    <we:property name="VmhmO0ETOQ8KOVccMQheUEoKLxpUBiJCMzFRRnFGQx8OMCMGbgs4EVY=" value="&quot;&quot;"/>
    <we:property name="VmhmO0ETOQ8KOVccMQheUEoKLxpUBiJCMzFRRnFGQx8OMCMGbgs4EVc=" value="&quot;RgpiRQc=&quot;"/>
    <we:property name="VmhmO0ETOQ8KOVccMQheUEoKLxpUBiJCMzFRRnFGQx8OMCMGbgsgEg==" value="&quot;Ug==&quot;"/>
    <we:property name="VmhmO0ETOQ8KOVccMQheUEoKLxpUBiJCMzFRRnFGQx8OMCMGbgsgFg==" value="&quot;Ug==&quot;"/>
    <we:property name="VmhmO0ETOQ8KOVccMQheUEoKLxpUBiJCMzFRRnFGQx8OMCMGbhM/Dg==" value="&quot;Umh2RQ==&quot;"/>
    <we:property name="VmhmO0ETOQ8KOVccMQheUEoKLxpUBiJCMzFRRnFGQx8OMCMGbhQ/AQ==" value="&quot;Ug==&quot;"/>
    <we:property name="VmhmO0ETOQ8KOVccMQheUEoKLxpUBiJCMzFRRnFGQx8OMCMGbhQjGA==" value="&quot;U3Z2&quot;"/>
    <we:property name="VmhmO0ETOQ8KOVccMQheUEoKLxpUBiJCMzFRRnFGQx8OMCMGbhQkAw==" value="&quot;Ug==&quot;"/>
    <we:property name="VmhmO0ETOQ8KOVccMQheUEoKLxpUBiJCMzFRRnFGQx8OMCMGbhQzDg==" value="&quot;Uw==&quot;"/>
    <we:property name="VmhmO0ETOQ8KOVccMQheUEoKLxpUBiJCMzFRRnFGQx8OMCMGbhU1DlA=" value="&quot;Qnh7VA==&quot;"/>
    <we:property name="VmhmO0ETOQ8KOVccMQheUEoKLxpUBiJCMzFRRnFGQx8OMCMGbhU1DlE=" value="&quot;Qnh7VA==&quot;"/>
    <we:property name="VmhmO0ETOQ8KOVccMQheUEoKLxpUBiJCMzFRRnFGQx8OMCMGbhU1DlI=" value="&quot;Qnp7VA==&quot;"/>
    <we:property name="VmhmO0ETOQ8KOVccMQheUEoKLxpUBiJCMzFRRnFGQx8OMCMGbhU1DlY=" value="&quot;Qnp7VA==&quot;"/>
    <we:property name="VmhmO0ETOQ8KOVccMQheUEoKLxpUBiJCMzFRRnFGQx8OMCMGbhU1Dlc=" value="&quot;Qnh7VA==&quot;"/>
    <we:property name="VmhmO0ETOQ8KOVccMQheUEoKLxpUBiJCMzFRRnFGQx8OMCMGbhU1EQ==" value="&quot;Vw==&quot;"/>
    <we:property name="VmhmO0ETOQ8KOVccMQheUEoKLxpUBiJCMzFRRnFGQx8OMCMGbhU4EVA=" value="&quot;RghiRQQ=&quot;"/>
    <we:property name="VmhmO0ETOQ8KOVccMQheUEoKLxpUBiJCMzFRRnFGQx8OMCMGbhU4EVE=" value="&quot;RghiRQU=&quot;"/>
    <we:property name="VmhmO0ETOQ8KOVccMQheUEoKLxpUBiJCMzFRRnFGQx8OMCMGbhU4EVI=" value="&quot;RghiRQI=&quot;"/>
    <we:property name="VmhmO0ETOQ8KOVccMQheUEoKLxpUBiJCMzFRRnFGQx8OMCMGbhU4EVY=" value="&quot;&quot;"/>
    <we:property name="VmhmO0ETOQ8KOVccMQheUEoKLxpUBiJCMzFRRnFGQx8OMCMGbhU4EVc=" value="&quot;RghiRQc=&quot;"/>
    <we:property name="VmhmO0ETOQ8KOVccMQheUEoKLxpUBiJCMzFRRnFGQx8OMCMGbhU8Gg==" value="&quot;Ug==&quot;"/>
    <we:property name="VmhmO0ETOQ8KOVccMQheUEoKLxpUBiJCMzFRRnFGQx8OMCMGbhUjBg==" value="&quot;Ug==&quot;"/>
    <we:property name="VmhmO0ETOQ8KOVccMQheUEoKLxpUBiJCMzFRRnFGQx8OMCMGbhUyFA==" value="&quot;Uw==&quot;"/>
    <we:property name="VmhmO0ETOQ8KOVccMQheUEoKLxpUBiJCMzFRRnFGQx8OMCMGbhciBw==" value="&quot;Umh2RAFXYFM=&quot;"/>
    <we:property name="VmhmO0ETOQ8KOVccMQheUEoKLxpUBiJCMzFRRnFGZhEQLycWXQIj" value="&quot;RgxiQQtDG0ZW&quot;"/>
    <we:property name="VmhmO0ETOQ8KOVccMQheUEoKLxpUBiJCMzFRRnFGfREaCy8a" value="&quot;Uw==&quot;"/>
    <we:property name="VmhmO0ETOQ8KOVccMQheUEoKLxpUBiJCMzFRRnFGfxII" value="&quot;RgxiTA==&quot;"/>
  </we:properties>
  <we:bindings>
    <we:binding id="4. Optimization (Linear Prg.)refEdit" type="matrix" appref="{49F15552-878A-48F7-AAE8-A3AAF6FA7E15}"/>
    <we:binding id="4. Optimization (Linear Prg.)Worker" type="matrix" appref="{C3428D60-327A-4CB3-B579-EC8CC7EEF58B}"/>
    <we:binding id="Answer ReportrefEdit" type="matrix" appref="{5F2D72E1-3A99-49AF-89AA-42349CA26C01}"/>
    <we:binding id="Answer ReportWorker" type="matrix" appref="{21572350-7223-4CB5-A2E7-1E61468E245F}"/>
    <we:binding id="refEdit" type="matrix" appref="{9375CD2D-3952-4C82-A9E6-0A6DCF8EB488}"/>
    <we:binding id="Worker" type="matrix" appref="{BAAF54CA-B7EE-4ACC-BE09-2C590142A1EB}"/>
    <we:binding id="Var0" type="matrix" appref="{A7E982D9-A771-434D-95AC-61CFAD21CFDF}"/>
    <we:binding id="Obj" type="matrix" appref="{7F73C38E-0D7E-48C0-A77E-7971BC97B09F}"/>
  </we:bindings>
  <we:snapshot xmlns:r="http://schemas.openxmlformats.org/officeDocument/2006/relationships"/>
</we:webextension>
</file>

<file path=xl/webextensions/webextension2.xml><?xml version="1.0" encoding="utf-8"?>
<we:webextension xmlns:we="http://schemas.microsoft.com/office/webextensions/webextension/2010/11" id="{C855EA51-45B6-4C8D-8440-C238A78B758E}">
  <we:reference id="wa200000018" version="23.3.0.0" store="en-US" storeType="OMEX"/>
  <we:alternateReferences>
    <we:reference id="wa200000018" version="23.3.0.0" store="WA200000018"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PsiVary</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PsiSixSigma</we:customFunctionIds>
        <we:customFunctionIds>PsiTSSync</we:customFunctionIds>
        <we:customFunctionIds>PsiConvergence</we:customFunctionIds>
        <we:customFunctionIds>PsiIsDate</we:customFunctionIds>
        <we:customFunctionIds>PsiIsDiscrete</we:customFunctionIds>
        <we:customFunctionIds>PsiLibrary</we:customFunctionIds>
        <we:customFunctionIds>PsiFitInfo</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s>PsiModelDesc</we:customFunctionIds>
        <we:customFunctionIds>PsiCorrectCorrmat</we:customFunctionIds>
        <we:customFunctionIds>PsiStatic</we:customFunctionIds>
        <we:customFunctionIds>PsiMakeInput</we:customFunctionIds>
        <we:customFunctionIds>PsiSimulationInfo</we:customFunctionIds>
      </we:customFunctionIdList>
    </a:ext>
  </we:extLst>
</we:webextension>
</file>

<file path=xl/webextensions/webextension3.xml><?xml version="1.0" encoding="utf-8"?>
<we:webextension xmlns:we="http://schemas.microsoft.com/office/webextensions/webextension/2010/11" id="{ED74C68F-94A3-4AEA-901E-8C8545EA780A}">
  <we:reference id="wa104376997" version="1.0.0.0" store="en-US" storeType="OMEX"/>
  <we:alternateReferences>
    <we:reference id="WA104376997" version="1.0.0.0" store="WA104376997" storeType="OMEX"/>
  </we:alternateReferences>
  <we:properties>
    <we:property name="RandomGenerator" value="&quot;CMRG&quot;"/>
    <we:property name="RandomSeed" value="0"/>
    <we:property name="RandomStreams" value="&quot;Single&quot;"/>
    <we:property name="SamplingMethod" value="&quot;LatinHyperCube&quot;"/>
    <we:property name="Trials" value="1000"/>
    <we:property name="UniqueID" value="&quot;20240111705010140154&quot;"/>
  </we:properties>
  <we:bindings>
    <we:binding id="SolverID" type="matrix" appref="{424FCC44-A235-4724-9FD8-B000A03481DC}"/>
    <we:binding id="cellSelection" type="matrix" appref="{6832E5CF-44BB-4D76-AC6E-D9A0BB4D0735}"/>
    <we:binding id="Worker" type="matrix" appref="{050409B8-6362-40A2-8589-27C8D4C32F30}"/>
  </we:bindings>
  <we:snapshot xmlns:r="http://schemas.openxmlformats.org/officeDocument/2006/relationships"/>
</we:webextension>
</file>

<file path=xl/webextensions/webextension4.xml><?xml version="1.0" encoding="utf-8"?>
<we:webextension xmlns:we="http://schemas.microsoft.com/office/webextensions/webextension/2010/11" id="{1F423C4B-9E8A-4B1D-88AC-028F68217B64}">
  <we:reference id="wa200005502" version="1.0.0.11" store="en-US" storeType="OMEX"/>
  <we:alternateReferences>
    <we:reference id="wa200005502" version="1.0.0.11" store="wa200005502" storeType="OMEX"/>
  </we:alternateReferences>
  <we:properties>
    <we:property name="docId" value="&quot;Xhbqcq1MA-hw7nAON40gV&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9F3FE-9AAF-4E35-8807-642AC8816437}">
  <sheetPr>
    <tabColor rgb="FFFFC000"/>
  </sheetPr>
  <dimension ref="A1:E13"/>
  <sheetViews>
    <sheetView showGridLines="0" tabSelected="1" workbookViewId="0">
      <selection activeCell="F12" sqref="F12"/>
    </sheetView>
  </sheetViews>
  <sheetFormatPr defaultRowHeight="14.25"/>
  <cols>
    <col min="1" max="1" width="5.875" style="24" customWidth="1"/>
    <col min="2" max="2" width="19.25" style="24" customWidth="1"/>
    <col min="3" max="3" width="68.5" style="24" bestFit="1" customWidth="1"/>
    <col min="4" max="4" width="54.25" style="24" bestFit="1" customWidth="1"/>
    <col min="5" max="16384" width="9" style="24"/>
  </cols>
  <sheetData>
    <row r="1" spans="1:5" ht="20.25" thickBot="1">
      <c r="A1" s="23" t="s">
        <v>54</v>
      </c>
      <c r="B1" s="23"/>
      <c r="C1" s="23"/>
      <c r="D1"/>
      <c r="E1"/>
    </row>
    <row r="2" spans="1:5" ht="15" thickTop="1"/>
    <row r="3" spans="1:5" ht="17.25" thickBot="1">
      <c r="A3" s="25" t="s">
        <v>55</v>
      </c>
      <c r="B3" s="25"/>
    </row>
    <row r="4" spans="1:5" ht="15" thickTop="1">
      <c r="A4" s="24" t="s">
        <v>164</v>
      </c>
    </row>
    <row r="7" spans="1:5" ht="17.25" thickBot="1">
      <c r="A7" s="25" t="s">
        <v>56</v>
      </c>
      <c r="B7" s="25"/>
    </row>
    <row r="8" spans="1:5" ht="17.25" thickTop="1">
      <c r="A8" s="24" t="s">
        <v>95</v>
      </c>
      <c r="B8" s="29"/>
    </row>
    <row r="9" spans="1:5" s="28" customFormat="1" ht="15">
      <c r="A9" s="209" t="s">
        <v>165</v>
      </c>
      <c r="B9" s="209" t="s">
        <v>162</v>
      </c>
      <c r="C9" s="209" t="s">
        <v>57</v>
      </c>
      <c r="D9" s="209" t="s">
        <v>161</v>
      </c>
    </row>
    <row r="10" spans="1:5" ht="71.25">
      <c r="A10" s="210">
        <v>1</v>
      </c>
      <c r="B10" s="177" t="s">
        <v>163</v>
      </c>
      <c r="C10" s="211" t="s">
        <v>282</v>
      </c>
      <c r="D10" s="213" t="s">
        <v>283</v>
      </c>
    </row>
    <row r="11" spans="1:5" ht="71.25">
      <c r="A11" s="19">
        <v>2</v>
      </c>
      <c r="B11" s="176" t="s">
        <v>123</v>
      </c>
      <c r="C11" s="212" t="s">
        <v>122</v>
      </c>
      <c r="D11" s="212" t="s">
        <v>167</v>
      </c>
    </row>
    <row r="12" spans="1:5" ht="85.5">
      <c r="A12" s="19">
        <v>3</v>
      </c>
      <c r="B12" s="176" t="s">
        <v>159</v>
      </c>
      <c r="C12" s="212" t="s">
        <v>280</v>
      </c>
      <c r="D12" s="212" t="s">
        <v>166</v>
      </c>
    </row>
    <row r="13" spans="1:5" ht="85.5">
      <c r="A13" s="19">
        <v>4</v>
      </c>
      <c r="B13" s="176" t="s">
        <v>160</v>
      </c>
      <c r="C13" s="212" t="s">
        <v>281</v>
      </c>
      <c r="D13" s="213" t="s">
        <v>279</v>
      </c>
    </row>
  </sheetData>
  <pageMargins left="0.7" right="0.7" top="0.75" bottom="0.75" header="0.3" footer="0.3"/>
  <pageSetup orientation="portrait" r:id="rId1"/>
  <extLst>
    <ext xmlns:x15="http://schemas.microsoft.com/office/spreadsheetml/2010/11/main" uri="{F7C9EE02-42E1-4005-9D12-6889AFFD525C}">
      <x15:webExtensions xmlns:xm="http://schemas.microsoft.com/office/excel/2006/main">
        <x15:webExtension appRef="{5F2D72E1-3A99-49AF-89AA-42349CA26C01}">
          <xm:f>#REF!</xm:f>
        </x15:webExtension>
        <x15:webExtension appRef="{21572350-7223-4CB5-A2E7-1E61468E245F}">
          <xm:f>#REF!</xm:f>
        </x15:webExtension>
      </x15:webExtens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4CFC1-65B0-42F4-ACB9-41ECA02622E5}">
  <sheetPr>
    <tabColor theme="2"/>
  </sheetPr>
  <dimension ref="A1:N45"/>
  <sheetViews>
    <sheetView showGridLines="0" zoomScale="90" zoomScaleNormal="90" workbookViewId="0">
      <selection activeCell="J24" sqref="J24"/>
    </sheetView>
  </sheetViews>
  <sheetFormatPr defaultRowHeight="14.25"/>
  <cols>
    <col min="1" max="1" width="21.75" bestFit="1" customWidth="1"/>
    <col min="2" max="2" width="11.125" customWidth="1"/>
    <col min="3" max="3" width="8" bestFit="1" customWidth="1"/>
    <col min="4" max="4" width="8.625" bestFit="1" customWidth="1"/>
    <col min="5" max="5" width="8.625" customWidth="1"/>
    <col min="6" max="6" width="18" customWidth="1"/>
    <col min="7" max="7" width="8.625" bestFit="1" customWidth="1"/>
    <col min="8" max="8" width="8" bestFit="1" customWidth="1"/>
    <col min="9" max="9" width="8.625" bestFit="1" customWidth="1"/>
    <col min="10" max="10" width="11.875" bestFit="1" customWidth="1"/>
    <col min="11" max="11" width="9.375" bestFit="1" customWidth="1"/>
    <col min="12" max="12" width="9.25" bestFit="1" customWidth="1"/>
  </cols>
  <sheetData>
    <row r="1" spans="1:14" ht="20.25" thickBot="1">
      <c r="A1" s="14" t="s">
        <v>58</v>
      </c>
      <c r="B1" s="14"/>
      <c r="C1" s="14"/>
      <c r="D1" s="14"/>
      <c r="E1" s="14"/>
    </row>
    <row r="2" spans="1:14" ht="15.75" thickTop="1">
      <c r="A2" s="143" t="s">
        <v>65</v>
      </c>
      <c r="B2" s="144"/>
    </row>
    <row r="3" spans="1:14" ht="17.25" thickBot="1">
      <c r="A3" s="139" t="s">
        <v>59</v>
      </c>
      <c r="B3" s="139"/>
      <c r="C3" s="139"/>
      <c r="D3" s="31"/>
      <c r="E3" s="31"/>
      <c r="F3" s="138" t="s">
        <v>34</v>
      </c>
      <c r="G3" s="138"/>
      <c r="H3" s="138"/>
      <c r="K3" s="32" t="s">
        <v>33</v>
      </c>
      <c r="L3" s="31"/>
      <c r="M3" s="31"/>
      <c r="N3" s="31"/>
    </row>
    <row r="4" spans="1:14" ht="15.75" thickTop="1">
      <c r="A4" s="145" t="s">
        <v>60</v>
      </c>
      <c r="B4" s="145"/>
      <c r="C4" s="145"/>
      <c r="F4" s="5" t="s">
        <v>32</v>
      </c>
      <c r="K4" s="31" t="s">
        <v>31</v>
      </c>
      <c r="L4" s="33">
        <v>50000</v>
      </c>
      <c r="M4" s="31"/>
      <c r="N4" s="31"/>
    </row>
    <row r="5" spans="1:14">
      <c r="A5" s="145"/>
      <c r="B5" s="145"/>
      <c r="C5" s="145"/>
      <c r="F5" t="s">
        <v>63</v>
      </c>
      <c r="G5" s="9">
        <v>18</v>
      </c>
      <c r="H5" t="s">
        <v>24</v>
      </c>
      <c r="K5" s="31" t="s">
        <v>30</v>
      </c>
      <c r="L5" s="34">
        <f>22%*L4</f>
        <v>11000</v>
      </c>
      <c r="M5" s="31" t="str">
        <f ca="1">_xlfn.FORMULATEXT(L5)</f>
        <v>=22%*L4</v>
      </c>
      <c r="N5" s="31"/>
    </row>
    <row r="6" spans="1:14">
      <c r="A6" s="145"/>
      <c r="B6" s="145"/>
      <c r="C6" s="145"/>
      <c r="F6" t="s">
        <v>64</v>
      </c>
      <c r="G6" s="9">
        <v>6</v>
      </c>
      <c r="H6" t="s">
        <v>24</v>
      </c>
      <c r="K6" s="31" t="s">
        <v>29</v>
      </c>
      <c r="L6" s="35">
        <v>5000</v>
      </c>
      <c r="M6" s="31"/>
      <c r="N6" s="31"/>
    </row>
    <row r="7" spans="1:14">
      <c r="A7" s="145"/>
      <c r="B7" s="145"/>
      <c r="C7" s="145"/>
      <c r="K7" s="31" t="s">
        <v>28</v>
      </c>
      <c r="L7" s="35">
        <v>500</v>
      </c>
      <c r="M7" s="31"/>
      <c r="N7" s="31"/>
    </row>
    <row r="8" spans="1:14" ht="15">
      <c r="A8" s="145"/>
      <c r="B8" s="145"/>
      <c r="C8" s="145"/>
      <c r="F8" s="5" t="s">
        <v>27</v>
      </c>
      <c r="G8" s="9"/>
      <c r="K8" s="31" t="s">
        <v>26</v>
      </c>
      <c r="L8" s="35">
        <v>5000</v>
      </c>
      <c r="M8" s="31"/>
      <c r="N8" s="31"/>
    </row>
    <row r="9" spans="1:14" ht="15">
      <c r="A9" s="145"/>
      <c r="B9" s="145"/>
      <c r="C9" s="145"/>
      <c r="F9" t="s">
        <v>61</v>
      </c>
      <c r="G9" s="9">
        <v>750</v>
      </c>
      <c r="K9" s="32" t="s">
        <v>25</v>
      </c>
      <c r="L9" s="36">
        <f>L4-L5-L6-L7-L8</f>
        <v>28500</v>
      </c>
      <c r="M9" s="31" t="str">
        <f ca="1">_xlfn.FORMULATEXT(L9)</f>
        <v>=L4-L5-L6-L7-L8</v>
      </c>
      <c r="N9" s="31"/>
    </row>
    <row r="10" spans="1:14">
      <c r="A10" s="145"/>
      <c r="B10" s="145"/>
      <c r="C10" s="145"/>
      <c r="F10" t="s">
        <v>62</v>
      </c>
      <c r="G10" s="9">
        <v>8</v>
      </c>
      <c r="H10" t="s">
        <v>24</v>
      </c>
      <c r="K10" s="31"/>
      <c r="L10" s="31"/>
      <c r="M10" s="31"/>
      <c r="N10" s="31"/>
    </row>
    <row r="11" spans="1:14" ht="15">
      <c r="A11" s="145"/>
      <c r="B11" s="145"/>
      <c r="C11" s="145"/>
      <c r="G11" s="9"/>
      <c r="K11" s="32" t="s">
        <v>23</v>
      </c>
      <c r="L11" s="31"/>
      <c r="M11" s="31"/>
      <c r="N11" s="31"/>
    </row>
    <row r="12" spans="1:14">
      <c r="A12" s="145"/>
      <c r="B12" s="145"/>
      <c r="C12" s="145"/>
      <c r="F12" t="s">
        <v>22</v>
      </c>
      <c r="G12" s="12">
        <v>1450</v>
      </c>
      <c r="K12" s="31" t="s">
        <v>21</v>
      </c>
      <c r="L12" s="33">
        <f>1500*12</f>
        <v>18000</v>
      </c>
      <c r="M12" s="31"/>
      <c r="N12" s="31"/>
    </row>
    <row r="13" spans="1:14">
      <c r="A13" s="145"/>
      <c r="B13" s="145"/>
      <c r="C13" s="145"/>
      <c r="F13" t="s">
        <v>20</v>
      </c>
      <c r="G13" s="13">
        <v>1500</v>
      </c>
      <c r="K13" s="31" t="s">
        <v>19</v>
      </c>
      <c r="L13" s="33">
        <v>5000</v>
      </c>
      <c r="M13" s="31"/>
      <c r="N13" s="31"/>
    </row>
    <row r="14" spans="1:14">
      <c r="A14" s="145"/>
      <c r="B14" s="145"/>
      <c r="C14" s="145"/>
      <c r="F14" t="s">
        <v>18</v>
      </c>
      <c r="G14" s="12">
        <f>MIN(G12:G13)</f>
        <v>1450</v>
      </c>
      <c r="H14" s="132" t="str">
        <f ca="1">_xlfn.FORMULATEXT(G14)</f>
        <v>=MIN(G12:G13)</v>
      </c>
      <c r="I14" s="132"/>
      <c r="K14" s="31" t="s">
        <v>17</v>
      </c>
      <c r="L14" s="33">
        <v>5000</v>
      </c>
      <c r="M14" s="31"/>
      <c r="N14" s="31"/>
    </row>
    <row r="15" spans="1:14">
      <c r="A15" s="145"/>
      <c r="B15" s="145"/>
      <c r="C15" s="145"/>
      <c r="F15" t="s">
        <v>16</v>
      </c>
      <c r="G15" s="11">
        <f>MAX(G12-G13,0)</f>
        <v>0</v>
      </c>
      <c r="H15" s="132" t="str">
        <f ca="1">_xlfn.FORMULATEXT(G15)</f>
        <v>=MAX(G12-G13,0)</v>
      </c>
      <c r="I15" s="132"/>
      <c r="J15" s="10"/>
      <c r="K15" s="31" t="s">
        <v>15</v>
      </c>
      <c r="L15" s="33">
        <v>2000</v>
      </c>
      <c r="M15" s="31"/>
      <c r="N15" s="31"/>
    </row>
    <row r="16" spans="1:14">
      <c r="A16" s="145"/>
      <c r="B16" s="145"/>
      <c r="C16" s="145"/>
      <c r="H16" s="132"/>
      <c r="I16" s="132"/>
      <c r="K16" s="31" t="s">
        <v>14</v>
      </c>
      <c r="L16" s="33">
        <v>1000</v>
      </c>
      <c r="M16" s="31"/>
      <c r="N16" s="31"/>
    </row>
    <row r="17" spans="1:14">
      <c r="A17" s="145"/>
      <c r="B17" s="145"/>
      <c r="C17" s="145"/>
      <c r="H17" s="132"/>
      <c r="I17" s="132"/>
      <c r="K17" s="31" t="s">
        <v>13</v>
      </c>
      <c r="L17" s="33">
        <v>1000</v>
      </c>
      <c r="M17" s="31"/>
      <c r="N17" s="31"/>
    </row>
    <row r="18" spans="1:14">
      <c r="A18" s="145"/>
      <c r="B18" s="145"/>
      <c r="C18" s="145"/>
      <c r="H18" s="132"/>
      <c r="I18" s="132"/>
      <c r="K18" s="31" t="s">
        <v>12</v>
      </c>
      <c r="L18" s="33">
        <v>500</v>
      </c>
      <c r="M18" s="31"/>
      <c r="N18" s="31"/>
    </row>
    <row r="19" spans="1:14" ht="15">
      <c r="A19" s="145"/>
      <c r="B19" s="145"/>
      <c r="C19" s="145"/>
      <c r="F19" s="5" t="s">
        <v>11</v>
      </c>
      <c r="G19" s="7">
        <f>G9+G10*G12</f>
        <v>12350</v>
      </c>
      <c r="H19" s="132" t="str">
        <f ca="1">_xlfn.FORMULATEXT(G19)</f>
        <v>=G9+G10*G12</v>
      </c>
      <c r="I19" s="132"/>
      <c r="K19" s="31" t="s">
        <v>10</v>
      </c>
      <c r="L19" s="33">
        <v>5000</v>
      </c>
      <c r="M19" s="31"/>
      <c r="N19" s="31"/>
    </row>
    <row r="20" spans="1:14" ht="15">
      <c r="A20" s="145"/>
      <c r="B20" s="145"/>
      <c r="C20" s="145"/>
      <c r="F20" s="5" t="s">
        <v>9</v>
      </c>
      <c r="G20" s="7">
        <f>G14*G5+G15*G6</f>
        <v>26100</v>
      </c>
      <c r="H20" s="132" t="str">
        <f ca="1">_xlfn.FORMULATEXT(G20)</f>
        <v>=G14*G5+G15*G6</v>
      </c>
      <c r="I20" s="132"/>
      <c r="K20" s="31" t="s">
        <v>8</v>
      </c>
      <c r="L20" s="33">
        <v>10000</v>
      </c>
      <c r="M20" s="31"/>
      <c r="N20" s="31"/>
    </row>
    <row r="21" spans="1:14" ht="15">
      <c r="A21" s="145"/>
      <c r="B21" s="145"/>
      <c r="C21" s="145"/>
      <c r="F21" s="5" t="s">
        <v>7</v>
      </c>
      <c r="G21" s="8">
        <f>G20-G19</f>
        <v>13750</v>
      </c>
      <c r="H21" s="132" t="str">
        <f ca="1">_xlfn.FORMULATEXT(G21)</f>
        <v>=G20-G19</v>
      </c>
      <c r="I21" s="132"/>
      <c r="K21" s="32" t="s">
        <v>6</v>
      </c>
      <c r="L21" s="36">
        <f>SUM(L12:L20)</f>
        <v>47500</v>
      </c>
      <c r="M21" s="31"/>
      <c r="N21" s="31"/>
    </row>
    <row r="22" spans="1:14" ht="15">
      <c r="A22" s="145"/>
      <c r="B22" s="145"/>
      <c r="C22" s="145"/>
      <c r="K22" s="37"/>
      <c r="L22" s="38"/>
      <c r="M22" s="38"/>
      <c r="N22" s="38"/>
    </row>
    <row r="24" spans="1:14">
      <c r="A24" s="30" t="s">
        <v>66</v>
      </c>
    </row>
    <row r="25" spans="1:14" ht="17.25" thickBot="1">
      <c r="A25" s="140" t="s">
        <v>59</v>
      </c>
      <c r="B25" s="140"/>
      <c r="C25" s="140"/>
      <c r="D25" s="22"/>
      <c r="F25" s="22" t="s">
        <v>5</v>
      </c>
      <c r="G25" s="22"/>
      <c r="H25" s="22"/>
      <c r="I25" s="6"/>
    </row>
    <row r="26" spans="1:14" ht="14.25" customHeight="1" thickTop="1">
      <c r="A26" s="141" t="s">
        <v>67</v>
      </c>
      <c r="B26" s="141"/>
      <c r="C26" s="141"/>
      <c r="F26" s="5" t="s">
        <v>27</v>
      </c>
      <c r="G26" s="4" t="s">
        <v>4</v>
      </c>
      <c r="H26" s="3" t="s">
        <v>3</v>
      </c>
      <c r="I26" s="3"/>
    </row>
    <row r="27" spans="1:14">
      <c r="A27" s="142"/>
      <c r="B27" s="142"/>
      <c r="C27" s="142"/>
      <c r="F27" s="2" t="s">
        <v>35</v>
      </c>
      <c r="G27" s="2">
        <v>30</v>
      </c>
      <c r="H27" s="2">
        <v>30</v>
      </c>
      <c r="I27" s="2"/>
    </row>
    <row r="28" spans="1:14">
      <c r="A28" s="142"/>
      <c r="B28" s="142"/>
      <c r="C28" s="142"/>
      <c r="F28" s="2" t="s">
        <v>1</v>
      </c>
      <c r="G28" s="15">
        <v>5.5</v>
      </c>
      <c r="H28" s="15">
        <v>4.3</v>
      </c>
      <c r="I28" s="15"/>
    </row>
    <row r="29" spans="1:14" ht="15">
      <c r="A29" s="142"/>
      <c r="B29" s="142"/>
      <c r="C29" s="142"/>
      <c r="F29" s="4" t="s">
        <v>36</v>
      </c>
      <c r="G29" s="18">
        <f>G28*G27</f>
        <v>165</v>
      </c>
      <c r="H29" s="18">
        <f t="shared" ref="H29" si="0">H28*H27</f>
        <v>129</v>
      </c>
      <c r="I29" s="15"/>
    </row>
    <row r="30" spans="1:14">
      <c r="A30" s="142"/>
      <c r="B30" s="142"/>
      <c r="C30" s="142"/>
    </row>
    <row r="31" spans="1:14">
      <c r="A31" s="142"/>
      <c r="B31" s="142"/>
      <c r="C31" s="142"/>
      <c r="F31" s="2" t="s">
        <v>38</v>
      </c>
      <c r="G31">
        <v>16</v>
      </c>
      <c r="H31">
        <v>16</v>
      </c>
    </row>
    <row r="32" spans="1:14">
      <c r="A32" s="142"/>
      <c r="B32" s="142"/>
      <c r="C32" s="142"/>
      <c r="F32" s="2" t="s">
        <v>37</v>
      </c>
      <c r="G32" s="16">
        <v>18.5</v>
      </c>
      <c r="H32" s="16">
        <v>18.5</v>
      </c>
    </row>
    <row r="33" spans="1:11" ht="15">
      <c r="A33" s="142"/>
      <c r="B33" s="142"/>
      <c r="C33" s="142"/>
      <c r="F33" s="4" t="s">
        <v>39</v>
      </c>
      <c r="G33" s="17">
        <f>G31*G32</f>
        <v>296</v>
      </c>
      <c r="H33" s="17">
        <f>H31*H32</f>
        <v>296</v>
      </c>
    </row>
    <row r="34" spans="1:11">
      <c r="A34" s="142"/>
      <c r="B34" s="142"/>
      <c r="C34" s="142"/>
    </row>
    <row r="35" spans="1:11" ht="15">
      <c r="A35" s="142"/>
      <c r="B35" s="142"/>
      <c r="C35" s="142"/>
      <c r="F35" s="4" t="s">
        <v>40</v>
      </c>
      <c r="G35" s="17">
        <f>G33+G29</f>
        <v>461</v>
      </c>
      <c r="H35" s="17">
        <f>H33+H29</f>
        <v>425</v>
      </c>
    </row>
    <row r="36" spans="1:11" ht="28.5" customHeight="1">
      <c r="A36" s="142"/>
      <c r="B36" s="142"/>
      <c r="C36" s="142"/>
      <c r="F36" s="48" t="s">
        <v>0</v>
      </c>
      <c r="G36" s="49" t="s">
        <v>4</v>
      </c>
      <c r="H36" s="49" t="s">
        <v>3</v>
      </c>
      <c r="I36" s="49" t="s">
        <v>2</v>
      </c>
    </row>
    <row r="37" spans="1:11">
      <c r="A37" s="142"/>
      <c r="B37" s="142"/>
      <c r="C37" s="142"/>
      <c r="G37" s="1">
        <v>2.4E-2</v>
      </c>
      <c r="H37" s="1">
        <v>1.7000000000000001E-2</v>
      </c>
      <c r="I37" s="1">
        <v>1.4999999999999999E-2</v>
      </c>
    </row>
    <row r="38" spans="1:11">
      <c r="A38" s="142"/>
      <c r="B38" s="142"/>
      <c r="C38" s="142"/>
    </row>
    <row r="39" spans="1:11" ht="15">
      <c r="D39" s="6"/>
      <c r="E39" s="6"/>
      <c r="F39" s="120" t="s">
        <v>41</v>
      </c>
      <c r="G39" s="120" t="s">
        <v>4</v>
      </c>
      <c r="H39" s="120" t="s">
        <v>3</v>
      </c>
      <c r="I39" s="120" t="s">
        <v>2</v>
      </c>
      <c r="J39" s="120" t="s">
        <v>42</v>
      </c>
      <c r="K39" s="120" t="s">
        <v>43</v>
      </c>
    </row>
    <row r="40" spans="1:11" ht="15">
      <c r="A40" s="117" t="s">
        <v>69</v>
      </c>
      <c r="B40" s="118" t="s">
        <v>4</v>
      </c>
      <c r="C40" s="119" t="s">
        <v>3</v>
      </c>
      <c r="D40" s="119" t="s">
        <v>2</v>
      </c>
      <c r="E40" s="47"/>
      <c r="F40" s="19">
        <v>0</v>
      </c>
      <c r="G40" s="20">
        <f>G29</f>
        <v>165</v>
      </c>
      <c r="H40" s="20">
        <f>H29</f>
        <v>129</v>
      </c>
      <c r="I40" s="20">
        <f>G33</f>
        <v>296</v>
      </c>
      <c r="J40" s="20">
        <f>G40+I40</f>
        <v>461</v>
      </c>
      <c r="K40" s="20">
        <f>H40+I40</f>
        <v>425</v>
      </c>
    </row>
    <row r="41" spans="1:11">
      <c r="A41" s="40" t="s">
        <v>68</v>
      </c>
      <c r="B41" s="40">
        <v>30</v>
      </c>
      <c r="C41" s="40">
        <v>30</v>
      </c>
      <c r="D41" s="40">
        <v>16</v>
      </c>
      <c r="E41" s="43"/>
      <c r="F41" s="19">
        <v>1</v>
      </c>
      <c r="G41" s="20">
        <f>G40*$G$37+G40</f>
        <v>168.96</v>
      </c>
      <c r="H41" s="20">
        <f>H40*(1+$H$37)</f>
        <v>131.19299999999998</v>
      </c>
      <c r="I41" s="21">
        <f>I40*(1+$I$37)</f>
        <v>300.44</v>
      </c>
      <c r="J41" s="20">
        <f>G41+I41</f>
        <v>469.4</v>
      </c>
      <c r="K41" s="20">
        <f>H41+I41</f>
        <v>431.63299999999998</v>
      </c>
    </row>
    <row r="42" spans="1:11">
      <c r="A42" s="40" t="s">
        <v>1</v>
      </c>
      <c r="B42" s="41">
        <v>5.5</v>
      </c>
      <c r="C42" s="41">
        <v>4.3</v>
      </c>
      <c r="D42" s="41">
        <v>18.5</v>
      </c>
      <c r="E42" s="44"/>
      <c r="F42" s="19">
        <v>2</v>
      </c>
      <c r="G42" s="20">
        <f>G41*$G$37+G41</f>
        <v>173.01504</v>
      </c>
      <c r="H42" s="20">
        <f>H41*(1+$H$37)</f>
        <v>133.42328099999997</v>
      </c>
      <c r="I42" s="21">
        <f>I41*(1+$I$37)</f>
        <v>304.94659999999999</v>
      </c>
      <c r="J42" s="20">
        <f>G42+I42</f>
        <v>477.96163999999999</v>
      </c>
      <c r="K42" s="20">
        <f>H42+I42</f>
        <v>438.36988099999996</v>
      </c>
    </row>
    <row r="43" spans="1:11" ht="28.5">
      <c r="A43" s="40" t="s">
        <v>0</v>
      </c>
      <c r="B43" s="42">
        <v>2.4E-2</v>
      </c>
      <c r="C43" s="42">
        <v>1.7000000000000001E-2</v>
      </c>
      <c r="D43" s="42">
        <v>1.4999999999999999E-2</v>
      </c>
      <c r="E43" s="45"/>
      <c r="F43" s="19">
        <v>3</v>
      </c>
      <c r="G43" s="20">
        <f>G42*$G$37+G42</f>
        <v>177.16740096000001</v>
      </c>
      <c r="H43" s="20">
        <f>H42*(1+$H$37)</f>
        <v>135.69147677699996</v>
      </c>
      <c r="I43" s="21">
        <f>I42*(1+$I$37)</f>
        <v>309.52079899999995</v>
      </c>
      <c r="J43" s="20">
        <f>G43+I43</f>
        <v>486.68819995999996</v>
      </c>
      <c r="K43" s="20">
        <f>H43+I43</f>
        <v>445.21227577699995</v>
      </c>
    </row>
    <row r="44" spans="1:11">
      <c r="A44" s="39"/>
      <c r="B44" s="39"/>
      <c r="C44" s="39"/>
      <c r="E44" s="46"/>
      <c r="F44" s="19">
        <v>4</v>
      </c>
      <c r="G44" s="20">
        <f>G43*$G$37+G43</f>
        <v>181.41941858304</v>
      </c>
      <c r="H44" s="20">
        <f>H43*(1+$H$37)</f>
        <v>137.99823188220896</v>
      </c>
      <c r="I44" s="21">
        <f>I43*(1+$I$37)</f>
        <v>314.16361098499993</v>
      </c>
      <c r="J44" s="20">
        <f t="shared" ref="J44:J45" si="1">G44+I44</f>
        <v>495.58302956803993</v>
      </c>
      <c r="K44" s="20">
        <f t="shared" ref="K44:K45" si="2">H44+I44</f>
        <v>452.16184286720886</v>
      </c>
    </row>
    <row r="45" spans="1:11">
      <c r="F45" s="19">
        <v>5</v>
      </c>
      <c r="G45" s="20">
        <f>G44*$G$37+G44</f>
        <v>185.77348462903296</v>
      </c>
      <c r="H45" s="20">
        <f>H44*(1+$H$37)</f>
        <v>140.34420182420649</v>
      </c>
      <c r="I45" s="21">
        <f>I44*(1+$I$37)</f>
        <v>318.87606514977489</v>
      </c>
      <c r="J45" s="20">
        <f t="shared" si="1"/>
        <v>504.64954977880785</v>
      </c>
      <c r="K45" s="20">
        <f t="shared" si="2"/>
        <v>459.22026697398138</v>
      </c>
    </row>
  </sheetData>
  <mergeCells count="6">
    <mergeCell ref="F3:H3"/>
    <mergeCell ref="A3:C3"/>
    <mergeCell ref="A25:C25"/>
    <mergeCell ref="A26:C38"/>
    <mergeCell ref="A2:B2"/>
    <mergeCell ref="A4:C22"/>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9DB18-F4D7-4502-8133-B28DFD88A917}">
  <sheetPr>
    <tabColor theme="4"/>
  </sheetPr>
  <dimension ref="A1:U72"/>
  <sheetViews>
    <sheetView showGridLines="0" zoomScale="84" zoomScaleNormal="90" workbookViewId="0">
      <pane xSplit="3" ySplit="1" topLeftCell="E2" activePane="bottomRight" state="frozen"/>
      <selection pane="topRight" activeCell="D1" sqref="D1"/>
      <selection pane="bottomLeft" activeCell="A2" sqref="A2"/>
      <selection pane="bottomRight" activeCell="F15" sqref="F15"/>
    </sheetView>
  </sheetViews>
  <sheetFormatPr defaultRowHeight="14.25"/>
  <cols>
    <col min="1" max="1" width="23.375" style="52" customWidth="1"/>
    <col min="2" max="2" width="11.625" style="52" bestFit="1" customWidth="1"/>
    <col min="3" max="3" width="11" style="52" customWidth="1"/>
    <col min="4" max="4" width="9" style="52"/>
    <col min="5" max="5" width="22.625" style="52" bestFit="1" customWidth="1"/>
    <col min="6" max="6" width="12.25" style="52" bestFit="1" customWidth="1"/>
    <col min="7" max="7" width="12.125" style="52" customWidth="1"/>
    <col min="8" max="9" width="9.125" style="52" bestFit="1" customWidth="1"/>
    <col min="10" max="10" width="9" style="52"/>
    <col min="11" max="11" width="15.75" style="52" customWidth="1"/>
    <col min="12" max="12" width="11.25" style="52" bestFit="1" customWidth="1"/>
    <col min="13" max="16" width="10" style="52" bestFit="1" customWidth="1"/>
    <col min="17" max="21" width="9.375" style="52" bestFit="1" customWidth="1"/>
    <col min="22" max="16384" width="9" style="52"/>
  </cols>
  <sheetData>
    <row r="1" spans="1:13" ht="20.25" thickBot="1">
      <c r="A1" s="51" t="s">
        <v>70</v>
      </c>
    </row>
    <row r="2" spans="1:13" ht="15" thickTop="1">
      <c r="A2" s="68" t="s">
        <v>81</v>
      </c>
    </row>
    <row r="3" spans="1:13" ht="17.25" thickBot="1">
      <c r="A3" s="53" t="s">
        <v>59</v>
      </c>
      <c r="B3" s="53"/>
      <c r="C3" s="53"/>
      <c r="E3" s="53" t="s">
        <v>44</v>
      </c>
      <c r="K3" s="52" t="s">
        <v>128</v>
      </c>
    </row>
    <row r="4" spans="1:13" ht="15.75" customHeight="1" thickTop="1">
      <c r="A4" s="141" t="s">
        <v>71</v>
      </c>
      <c r="B4" s="141"/>
      <c r="C4" s="141"/>
      <c r="E4" s="54" t="s">
        <v>27</v>
      </c>
      <c r="K4" s="27" t="s">
        <v>80</v>
      </c>
      <c r="L4" s="27" t="s">
        <v>78</v>
      </c>
      <c r="M4" s="80" t="s">
        <v>85</v>
      </c>
    </row>
    <row r="5" spans="1:13">
      <c r="A5" s="142"/>
      <c r="B5" s="142"/>
      <c r="C5" s="142"/>
      <c r="E5" s="58" t="s">
        <v>45</v>
      </c>
      <c r="F5" s="59">
        <v>20000</v>
      </c>
      <c r="J5" s="50"/>
      <c r="L5" s="66">
        <f>F19</f>
        <v>0</v>
      </c>
      <c r="M5" s="65">
        <f>F11</f>
        <v>230769.23076923078</v>
      </c>
    </row>
    <row r="6" spans="1:13" ht="15">
      <c r="A6" s="142"/>
      <c r="B6" s="142"/>
      <c r="C6" s="142"/>
      <c r="E6" s="54" t="s">
        <v>52</v>
      </c>
      <c r="J6" s="50"/>
      <c r="K6" s="62">
        <v>0.03</v>
      </c>
      <c r="L6" s="64">
        <f t="dataTable" ref="L6:M19" dt2D="0" dtr="0" r1="F15"/>
        <v>-21600</v>
      </c>
      <c r="M6" s="80">
        <v>141600</v>
      </c>
    </row>
    <row r="7" spans="1:13">
      <c r="A7" s="142"/>
      <c r="B7" s="142"/>
      <c r="C7" s="142"/>
      <c r="E7" s="58" t="s">
        <v>45</v>
      </c>
      <c r="F7" s="55">
        <v>0.1</v>
      </c>
      <c r="G7" s="52" t="s">
        <v>46</v>
      </c>
      <c r="J7" s="50"/>
      <c r="K7" s="63">
        <v>3.5000000000000003E-2</v>
      </c>
      <c r="L7" s="64">
        <v>-17699.999999999971</v>
      </c>
      <c r="M7" s="80">
        <v>157700</v>
      </c>
    </row>
    <row r="8" spans="1:13">
      <c r="A8" s="142"/>
      <c r="B8" s="142"/>
      <c r="C8" s="142"/>
      <c r="E8" s="58" t="s">
        <v>47</v>
      </c>
      <c r="F8" s="55">
        <v>0.15</v>
      </c>
      <c r="G8" s="52" t="s">
        <v>46</v>
      </c>
      <c r="J8" s="50"/>
      <c r="K8" s="62">
        <v>0.04</v>
      </c>
      <c r="L8" s="64">
        <v>-13800</v>
      </c>
      <c r="M8" s="80">
        <v>173800</v>
      </c>
    </row>
    <row r="9" spans="1:13">
      <c r="A9" s="142"/>
      <c r="B9" s="142"/>
      <c r="C9" s="142"/>
      <c r="E9" s="58" t="s">
        <v>72</v>
      </c>
      <c r="F9" s="55">
        <v>0.2</v>
      </c>
      <c r="G9" s="52" t="s">
        <v>49</v>
      </c>
      <c r="K9" s="63">
        <v>4.4999999999999998E-2</v>
      </c>
      <c r="L9" s="64">
        <v>-9900</v>
      </c>
      <c r="M9" s="80">
        <v>189900</v>
      </c>
    </row>
    <row r="10" spans="1:13">
      <c r="A10" s="142"/>
      <c r="B10" s="142"/>
      <c r="C10" s="142"/>
      <c r="E10" s="58" t="s">
        <v>53</v>
      </c>
      <c r="F10" s="55">
        <v>32</v>
      </c>
      <c r="G10" s="52" t="s">
        <v>49</v>
      </c>
      <c r="K10" s="62">
        <v>0.05</v>
      </c>
      <c r="L10" s="64">
        <v>-6000</v>
      </c>
      <c r="M10" s="80">
        <v>206000</v>
      </c>
    </row>
    <row r="11" spans="1:13" ht="15">
      <c r="A11" s="142"/>
      <c r="B11" s="142"/>
      <c r="C11" s="142"/>
      <c r="E11" s="54" t="s">
        <v>40</v>
      </c>
      <c r="F11" s="60">
        <f>F5+F7*$F$14+F8*$F$14+F9*$F$16+F10*$F$16</f>
        <v>230769.23076923078</v>
      </c>
      <c r="K11" s="63">
        <v>5.5E-2</v>
      </c>
      <c r="L11" s="64">
        <v>-2100</v>
      </c>
      <c r="M11" s="80">
        <v>222100</v>
      </c>
    </row>
    <row r="12" spans="1:13">
      <c r="A12" s="142"/>
      <c r="B12" s="142"/>
      <c r="C12" s="142"/>
      <c r="K12" s="62">
        <v>0.06</v>
      </c>
      <c r="L12" s="64">
        <v>1800</v>
      </c>
      <c r="M12" s="80">
        <v>238200</v>
      </c>
    </row>
    <row r="13" spans="1:13" ht="15">
      <c r="A13" s="142"/>
      <c r="B13" s="142"/>
      <c r="C13" s="142"/>
      <c r="E13" s="54" t="s">
        <v>48</v>
      </c>
      <c r="K13" s="63">
        <v>6.5000000000000002E-2</v>
      </c>
      <c r="L13" s="64">
        <v>5700</v>
      </c>
      <c r="M13" s="80">
        <v>254300</v>
      </c>
    </row>
    <row r="14" spans="1:13">
      <c r="A14" s="142"/>
      <c r="B14" s="142"/>
      <c r="C14" s="142"/>
      <c r="E14" s="58" t="s">
        <v>50</v>
      </c>
      <c r="F14" s="57">
        <v>100000</v>
      </c>
      <c r="K14" s="62">
        <v>7.0000000000000007E-2</v>
      </c>
      <c r="L14" s="64">
        <v>9600.0000000000582</v>
      </c>
      <c r="M14" s="80">
        <v>270400</v>
      </c>
    </row>
    <row r="15" spans="1:13">
      <c r="A15" s="142"/>
      <c r="B15" s="142"/>
      <c r="C15" s="142"/>
      <c r="E15" s="58" t="s">
        <v>73</v>
      </c>
      <c r="F15" s="67">
        <v>5.7692307692307696E-2</v>
      </c>
      <c r="K15" s="63">
        <v>7.4999999999999997E-2</v>
      </c>
      <c r="L15" s="64">
        <v>13500</v>
      </c>
      <c r="M15" s="80">
        <v>286500</v>
      </c>
    </row>
    <row r="16" spans="1:13">
      <c r="A16" s="142"/>
      <c r="B16" s="142"/>
      <c r="C16" s="142"/>
      <c r="E16" s="58" t="s">
        <v>74</v>
      </c>
      <c r="F16" s="57">
        <f>F15*F14</f>
        <v>5769.2307692307695</v>
      </c>
      <c r="G16" s="77" t="s">
        <v>75</v>
      </c>
      <c r="K16" s="62">
        <v>0.08</v>
      </c>
      <c r="L16" s="64">
        <v>17400</v>
      </c>
      <c r="M16" s="80">
        <v>302600</v>
      </c>
    </row>
    <row r="17" spans="1:21">
      <c r="A17" s="142"/>
      <c r="B17" s="142"/>
      <c r="C17" s="142"/>
      <c r="E17" s="58" t="s">
        <v>51</v>
      </c>
      <c r="F17" s="55">
        <v>40</v>
      </c>
      <c r="G17" s="77"/>
      <c r="K17" s="63">
        <v>8.5000000000000006E-2</v>
      </c>
      <c r="L17" s="64">
        <v>21300</v>
      </c>
      <c r="M17" s="80">
        <v>318700</v>
      </c>
    </row>
    <row r="18" spans="1:21" ht="15">
      <c r="A18" s="142"/>
      <c r="B18" s="142"/>
      <c r="C18" s="142"/>
      <c r="E18" s="54" t="s">
        <v>76</v>
      </c>
      <c r="F18" s="61">
        <f>F17*F16</f>
        <v>230769.23076923078</v>
      </c>
      <c r="G18" s="77" t="s">
        <v>77</v>
      </c>
      <c r="K18" s="62">
        <v>9.0000000000000094E-2</v>
      </c>
      <c r="L18" s="64">
        <v>25200.000000000058</v>
      </c>
      <c r="M18" s="80">
        <v>334800.00000000029</v>
      </c>
    </row>
    <row r="19" spans="1:21" ht="15">
      <c r="A19" s="142"/>
      <c r="B19" s="142"/>
      <c r="C19" s="142"/>
      <c r="E19" s="54" t="s">
        <v>79</v>
      </c>
      <c r="F19" s="61">
        <f>F18-F11</f>
        <v>0</v>
      </c>
      <c r="K19" s="63">
        <v>9.5000000000000098E-2</v>
      </c>
      <c r="L19" s="64">
        <v>29100.000000000058</v>
      </c>
      <c r="M19" s="80">
        <v>350900.00000000029</v>
      </c>
    </row>
    <row r="20" spans="1:21">
      <c r="A20" s="142"/>
      <c r="B20" s="142"/>
      <c r="C20" s="142"/>
    </row>
    <row r="21" spans="1:21">
      <c r="A21" s="142"/>
      <c r="B21" s="142"/>
      <c r="C21" s="142"/>
      <c r="K21" s="145" t="s">
        <v>97</v>
      </c>
      <c r="L21" s="145"/>
      <c r="M21" s="145"/>
      <c r="N21" s="145"/>
      <c r="O21" s="145"/>
      <c r="P21" s="145"/>
      <c r="Q21" s="145"/>
      <c r="R21" s="145"/>
      <c r="S21" s="145"/>
      <c r="T21" s="145"/>
      <c r="U21" s="145"/>
    </row>
    <row r="22" spans="1:21">
      <c r="A22" s="142"/>
      <c r="B22" s="142"/>
      <c r="C22" s="142"/>
      <c r="K22" s="145"/>
      <c r="L22" s="145"/>
      <c r="M22" s="145"/>
      <c r="N22" s="145"/>
      <c r="O22" s="145"/>
      <c r="P22" s="145"/>
      <c r="Q22" s="145"/>
      <c r="R22" s="145"/>
      <c r="S22" s="145"/>
      <c r="T22" s="145"/>
      <c r="U22" s="145"/>
    </row>
    <row r="23" spans="1:21">
      <c r="A23" s="142"/>
      <c r="B23" s="142"/>
      <c r="C23" s="142"/>
    </row>
    <row r="24" spans="1:21">
      <c r="A24" s="142"/>
      <c r="B24" s="142"/>
      <c r="C24" s="142"/>
      <c r="K24" s="52" t="s">
        <v>129</v>
      </c>
    </row>
    <row r="25" spans="1:21">
      <c r="A25" s="142"/>
      <c r="B25" s="142"/>
      <c r="C25" s="142"/>
      <c r="K25" s="52" t="s">
        <v>130</v>
      </c>
    </row>
    <row r="26" spans="1:21">
      <c r="A26" s="142"/>
      <c r="B26" s="142"/>
      <c r="C26" s="142"/>
      <c r="K26" s="52" t="s">
        <v>131</v>
      </c>
    </row>
    <row r="27" spans="1:21">
      <c r="A27" s="142"/>
      <c r="B27" s="142"/>
      <c r="C27" s="142"/>
    </row>
    <row r="28" spans="1:21">
      <c r="A28" s="142"/>
      <c r="B28" s="142"/>
      <c r="C28" s="142"/>
    </row>
    <row r="29" spans="1:21">
      <c r="A29" s="39"/>
      <c r="B29" s="39"/>
      <c r="C29" s="39"/>
    </row>
    <row r="30" spans="1:21">
      <c r="A30" s="69" t="s">
        <v>82</v>
      </c>
      <c r="B30" s="39"/>
      <c r="C30" s="39"/>
    </row>
    <row r="31" spans="1:21" ht="17.25" thickBot="1">
      <c r="A31" s="53" t="s">
        <v>59</v>
      </c>
      <c r="B31" s="53"/>
      <c r="C31" s="53"/>
      <c r="E31" s="53" t="s">
        <v>84</v>
      </c>
    </row>
    <row r="32" spans="1:21" ht="15.75" thickTop="1">
      <c r="A32" s="146" t="s">
        <v>83</v>
      </c>
      <c r="B32" s="146"/>
      <c r="C32" s="146"/>
      <c r="E32" s="52" t="s">
        <v>86</v>
      </c>
      <c r="F32" s="55">
        <v>30</v>
      </c>
      <c r="H32" s="52" t="s">
        <v>90</v>
      </c>
      <c r="L32" s="75"/>
      <c r="M32" s="147" t="s">
        <v>20</v>
      </c>
      <c r="N32" s="147"/>
      <c r="O32" s="147"/>
      <c r="P32" s="147"/>
      <c r="Q32" s="147"/>
      <c r="R32" s="147"/>
      <c r="S32" s="147"/>
      <c r="T32" s="147"/>
      <c r="U32" s="147"/>
    </row>
    <row r="33" spans="1:21" ht="14.25" customHeight="1">
      <c r="A33" s="145"/>
      <c r="B33" s="145"/>
      <c r="C33" s="145"/>
      <c r="E33" s="52" t="s">
        <v>92</v>
      </c>
      <c r="F33" s="55">
        <v>10</v>
      </c>
      <c r="H33" s="114" t="s">
        <v>88</v>
      </c>
      <c r="I33" s="114" t="s">
        <v>89</v>
      </c>
      <c r="K33" s="76"/>
      <c r="L33" s="78">
        <f>F45</f>
        <v>3000</v>
      </c>
      <c r="M33" s="70">
        <v>500</v>
      </c>
      <c r="N33" s="70">
        <v>1000</v>
      </c>
      <c r="O33" s="70">
        <v>1500</v>
      </c>
      <c r="P33" s="70">
        <v>2000</v>
      </c>
      <c r="Q33" s="70">
        <v>2500</v>
      </c>
      <c r="R33" s="70">
        <v>3000</v>
      </c>
      <c r="S33" s="70">
        <v>3500</v>
      </c>
      <c r="T33" s="70">
        <v>4000</v>
      </c>
      <c r="U33" s="70">
        <v>4500</v>
      </c>
    </row>
    <row r="34" spans="1:21" ht="15">
      <c r="A34" s="145"/>
      <c r="B34" s="145"/>
      <c r="C34" s="145"/>
      <c r="E34" s="54"/>
      <c r="H34" s="71">
        <v>0</v>
      </c>
      <c r="I34" s="72">
        <v>24</v>
      </c>
      <c r="K34" s="148" t="s">
        <v>87</v>
      </c>
      <c r="L34" s="70">
        <v>500</v>
      </c>
      <c r="M34" s="79">
        <f t="dataTable" ref="M34:U42" dt2D="1" dtr="1" r1="F35" r2="F36"/>
        <v>3000</v>
      </c>
      <c r="N34" s="79">
        <v>3000</v>
      </c>
      <c r="O34" s="79">
        <v>3000</v>
      </c>
      <c r="P34" s="79">
        <v>3000</v>
      </c>
      <c r="Q34" s="79">
        <v>3000</v>
      </c>
      <c r="R34" s="79">
        <v>3000</v>
      </c>
      <c r="S34" s="79">
        <v>3000</v>
      </c>
      <c r="T34" s="79">
        <v>3000</v>
      </c>
      <c r="U34" s="79">
        <v>3000</v>
      </c>
    </row>
    <row r="35" spans="1:21">
      <c r="A35" s="145"/>
      <c r="B35" s="145"/>
      <c r="C35" s="145"/>
      <c r="E35" s="52" t="s">
        <v>20</v>
      </c>
      <c r="F35" s="73">
        <v>500</v>
      </c>
      <c r="G35" s="52" t="s">
        <v>91</v>
      </c>
      <c r="H35" s="71">
        <v>1000</v>
      </c>
      <c r="I35" s="72">
        <v>23</v>
      </c>
      <c r="K35" s="149"/>
      <c r="L35" s="70">
        <v>1000</v>
      </c>
      <c r="M35" s="79">
        <v>-3000</v>
      </c>
      <c r="N35" s="79">
        <v>7000</v>
      </c>
      <c r="O35" s="79">
        <v>7000</v>
      </c>
      <c r="P35" s="79">
        <v>7000</v>
      </c>
      <c r="Q35" s="79">
        <v>7000</v>
      </c>
      <c r="R35" s="79">
        <v>7000</v>
      </c>
      <c r="S35" s="79">
        <v>7000</v>
      </c>
      <c r="T35" s="79">
        <v>7000</v>
      </c>
      <c r="U35" s="79">
        <v>7000</v>
      </c>
    </row>
    <row r="36" spans="1:21">
      <c r="A36" s="145"/>
      <c r="B36" s="145"/>
      <c r="C36" s="145"/>
      <c r="E36" s="52" t="s">
        <v>87</v>
      </c>
      <c r="F36" s="73">
        <v>500</v>
      </c>
      <c r="H36" s="71">
        <v>2000</v>
      </c>
      <c r="I36" s="72">
        <v>22.25</v>
      </c>
      <c r="K36" s="149"/>
      <c r="L36" s="70">
        <v>1500</v>
      </c>
      <c r="M36" s="79">
        <v>-9500</v>
      </c>
      <c r="N36" s="79">
        <v>500</v>
      </c>
      <c r="O36" s="79">
        <v>10500</v>
      </c>
      <c r="P36" s="79">
        <v>10500</v>
      </c>
      <c r="Q36" s="79">
        <v>10500</v>
      </c>
      <c r="R36" s="79">
        <v>10500</v>
      </c>
      <c r="S36" s="79">
        <v>10500</v>
      </c>
      <c r="T36" s="79">
        <v>10500</v>
      </c>
      <c r="U36" s="79">
        <v>10500</v>
      </c>
    </row>
    <row r="37" spans="1:21">
      <c r="A37" s="145"/>
      <c r="B37" s="145"/>
      <c r="C37" s="145"/>
      <c r="H37" s="71">
        <v>3000</v>
      </c>
      <c r="I37" s="72">
        <v>21.75</v>
      </c>
      <c r="K37" s="149"/>
      <c r="L37" s="70">
        <v>2000</v>
      </c>
      <c r="M37" s="79">
        <v>-14500</v>
      </c>
      <c r="N37" s="79">
        <v>-4500</v>
      </c>
      <c r="O37" s="79">
        <v>5500</v>
      </c>
      <c r="P37" s="79">
        <v>15500</v>
      </c>
      <c r="Q37" s="79">
        <v>15500</v>
      </c>
      <c r="R37" s="79">
        <v>15500</v>
      </c>
      <c r="S37" s="79">
        <v>15500</v>
      </c>
      <c r="T37" s="79">
        <v>15500</v>
      </c>
      <c r="U37" s="79">
        <v>15500</v>
      </c>
    </row>
    <row r="38" spans="1:21">
      <c r="A38" s="145"/>
      <c r="B38" s="145"/>
      <c r="C38" s="145"/>
      <c r="E38" s="52" t="s">
        <v>93</v>
      </c>
      <c r="F38" s="73">
        <f>MAX(F36-F35,0)</f>
        <v>0</v>
      </c>
      <c r="H38" s="71">
        <v>4000</v>
      </c>
      <c r="I38" s="72">
        <v>21.3</v>
      </c>
      <c r="K38" s="149"/>
      <c r="L38" s="70">
        <v>2500</v>
      </c>
      <c r="M38" s="79">
        <v>-20625</v>
      </c>
      <c r="N38" s="79">
        <v>-10625</v>
      </c>
      <c r="O38" s="79">
        <v>-625</v>
      </c>
      <c r="P38" s="79">
        <v>9375</v>
      </c>
      <c r="Q38" s="79">
        <v>19375</v>
      </c>
      <c r="R38" s="79">
        <v>19375</v>
      </c>
      <c r="S38" s="79">
        <v>19375</v>
      </c>
      <c r="T38" s="79">
        <v>19375</v>
      </c>
      <c r="U38" s="79">
        <v>19375</v>
      </c>
    </row>
    <row r="39" spans="1:21">
      <c r="A39" s="145"/>
      <c r="B39" s="145"/>
      <c r="C39" s="145"/>
      <c r="K39" s="149"/>
      <c r="L39" s="70">
        <v>3000</v>
      </c>
      <c r="M39" s="79">
        <v>-25250</v>
      </c>
      <c r="N39" s="79">
        <v>-15250</v>
      </c>
      <c r="O39" s="79">
        <v>-5250</v>
      </c>
      <c r="P39" s="79">
        <v>4750</v>
      </c>
      <c r="Q39" s="79">
        <v>14750</v>
      </c>
      <c r="R39" s="79">
        <v>24750</v>
      </c>
      <c r="S39" s="79">
        <v>24750</v>
      </c>
      <c r="T39" s="79">
        <v>24750</v>
      </c>
      <c r="U39" s="79">
        <v>24750</v>
      </c>
    </row>
    <row r="40" spans="1:21">
      <c r="A40" s="145"/>
      <c r="B40" s="145"/>
      <c r="C40" s="145"/>
      <c r="K40" s="149"/>
      <c r="L40" s="70">
        <v>3500</v>
      </c>
      <c r="M40" s="79">
        <v>-31125</v>
      </c>
      <c r="N40" s="79">
        <v>-21125</v>
      </c>
      <c r="O40" s="79">
        <v>-11125</v>
      </c>
      <c r="P40" s="79">
        <v>-1125</v>
      </c>
      <c r="Q40" s="79">
        <v>8875</v>
      </c>
      <c r="R40" s="79">
        <v>18875</v>
      </c>
      <c r="S40" s="79">
        <v>28875</v>
      </c>
      <c r="T40" s="79">
        <v>28875</v>
      </c>
      <c r="U40" s="79">
        <v>28875</v>
      </c>
    </row>
    <row r="41" spans="1:21" ht="15">
      <c r="A41" s="145"/>
      <c r="B41" s="145"/>
      <c r="C41" s="145"/>
      <c r="E41" s="54" t="s">
        <v>27</v>
      </c>
      <c r="F41" s="74">
        <f>VLOOKUP(F36,$H$33:$I$38,2,1)*F36</f>
        <v>12000</v>
      </c>
      <c r="K41" s="149"/>
      <c r="L41" s="70">
        <v>4000</v>
      </c>
      <c r="M41" s="79">
        <v>-35200</v>
      </c>
      <c r="N41" s="79">
        <v>-25200</v>
      </c>
      <c r="O41" s="79">
        <v>-15200</v>
      </c>
      <c r="P41" s="79">
        <v>-5200</v>
      </c>
      <c r="Q41" s="79">
        <v>4800</v>
      </c>
      <c r="R41" s="79">
        <v>14800</v>
      </c>
      <c r="S41" s="79">
        <v>24800</v>
      </c>
      <c r="T41" s="79">
        <v>34800</v>
      </c>
      <c r="U41" s="79">
        <v>34800</v>
      </c>
    </row>
    <row r="42" spans="1:21" ht="15">
      <c r="A42" s="145"/>
      <c r="B42" s="145"/>
      <c r="C42" s="145"/>
      <c r="E42" s="54"/>
      <c r="F42" s="54"/>
      <c r="K42" s="150"/>
      <c r="L42" s="70">
        <v>4500</v>
      </c>
      <c r="M42" s="79">
        <v>-40850</v>
      </c>
      <c r="N42" s="79">
        <v>-30850</v>
      </c>
      <c r="O42" s="79">
        <v>-20850</v>
      </c>
      <c r="P42" s="79">
        <v>-10850</v>
      </c>
      <c r="Q42" s="79">
        <v>-850</v>
      </c>
      <c r="R42" s="79">
        <v>9150</v>
      </c>
      <c r="S42" s="79">
        <v>19150</v>
      </c>
      <c r="T42" s="79">
        <v>29150</v>
      </c>
      <c r="U42" s="79">
        <v>39150</v>
      </c>
    </row>
    <row r="43" spans="1:21" ht="15">
      <c r="A43" s="145"/>
      <c r="B43" s="145"/>
      <c r="C43" s="145"/>
      <c r="E43" s="54" t="s">
        <v>48</v>
      </c>
      <c r="F43" s="61">
        <f>MIN(F35:F36)*F32+F38*F33</f>
        <v>15000</v>
      </c>
      <c r="G43" s="77" t="s">
        <v>94</v>
      </c>
    </row>
    <row r="44" spans="1:21" ht="15">
      <c r="A44" s="145"/>
      <c r="B44" s="145"/>
      <c r="C44" s="145"/>
      <c r="E44" s="54"/>
      <c r="F44" s="54"/>
    </row>
    <row r="45" spans="1:21" ht="15">
      <c r="A45" s="145"/>
      <c r="B45" s="145"/>
      <c r="C45" s="145"/>
      <c r="E45" s="54" t="s">
        <v>78</v>
      </c>
      <c r="F45" s="74">
        <f>F43-F41</f>
        <v>3000</v>
      </c>
    </row>
    <row r="46" spans="1:21">
      <c r="A46" s="145"/>
      <c r="B46" s="145"/>
      <c r="C46" s="145"/>
    </row>
    <row r="47" spans="1:21">
      <c r="A47" s="145"/>
      <c r="B47" s="145"/>
      <c r="C47" s="145"/>
    </row>
    <row r="48" spans="1:21">
      <c r="A48" s="145"/>
      <c r="B48" s="145"/>
      <c r="C48" s="145"/>
    </row>
    <row r="49" spans="1:5">
      <c r="A49" s="145"/>
      <c r="B49" s="145"/>
      <c r="C49" s="145"/>
    </row>
    <row r="50" spans="1:5">
      <c r="A50" s="145"/>
      <c r="B50" s="145"/>
      <c r="C50" s="145"/>
    </row>
    <row r="51" spans="1:5">
      <c r="A51" s="145"/>
      <c r="B51" s="145"/>
      <c r="C51" s="145"/>
    </row>
    <row r="52" spans="1:5">
      <c r="A52" s="145"/>
      <c r="B52" s="145"/>
      <c r="C52" s="145"/>
    </row>
    <row r="53" spans="1:5">
      <c r="A53" s="145"/>
      <c r="B53" s="145"/>
      <c r="C53" s="145"/>
    </row>
    <row r="54" spans="1:5">
      <c r="A54" s="145"/>
      <c r="B54" s="145"/>
      <c r="C54" s="145"/>
    </row>
    <row r="55" spans="1:5">
      <c r="A55" s="145"/>
      <c r="B55" s="145"/>
      <c r="C55" s="145"/>
    </row>
    <row r="60" spans="1:5">
      <c r="E60" s="52" t="s">
        <v>96</v>
      </c>
    </row>
    <row r="72" spans="6:6">
      <c r="F72" s="81"/>
    </row>
  </sheetData>
  <mergeCells count="5">
    <mergeCell ref="A32:C55"/>
    <mergeCell ref="M32:U32"/>
    <mergeCell ref="K34:K42"/>
    <mergeCell ref="K21:U22"/>
    <mergeCell ref="A4:C28"/>
  </mergeCells>
  <conditionalFormatting sqref="I51:M55 J50:M50">
    <cfRule type="dataBar" priority="1">
      <dataBar>
        <cfvo type="min"/>
        <cfvo type="max"/>
        <color rgb="FF638EC6"/>
      </dataBar>
      <extLst>
        <ext xmlns:x14="http://schemas.microsoft.com/office/spreadsheetml/2009/9/main" uri="{B025F937-C7B1-47D3-B67F-A62EFF666E3E}">
          <x14:id>{93D4A303-181A-4DBB-9A74-2AA23984E9B8}</x14:id>
        </ext>
      </extLst>
    </cfRule>
  </conditionalFormatting>
  <conditionalFormatting sqref="M34:U42">
    <cfRule type="dataBar" priority="2">
      <dataBar>
        <cfvo type="min"/>
        <cfvo type="max"/>
        <color rgb="FF638EC6"/>
      </dataBar>
      <extLst>
        <ext xmlns:x14="http://schemas.microsoft.com/office/spreadsheetml/2009/9/main" uri="{B025F937-C7B1-47D3-B67F-A62EFF666E3E}">
          <x14:id>{C1959516-F5F2-4A1A-A5FC-4324DFF101E2}</x14:id>
        </ext>
      </extLst>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3D4A303-181A-4DBB-9A74-2AA23984E9B8}">
            <x14:dataBar minLength="0" maxLength="100" border="1" negativeBarBorderColorSameAsPositive="0">
              <x14:cfvo type="autoMin"/>
              <x14:cfvo type="autoMax"/>
              <x14:borderColor rgb="FF638EC6"/>
              <x14:negativeFillColor rgb="FFFF0000"/>
              <x14:negativeBorderColor rgb="FFFF0000"/>
              <x14:axisColor rgb="FF000000"/>
            </x14:dataBar>
          </x14:cfRule>
          <xm:sqref>I51:M55 J50:M50</xm:sqref>
        </x14:conditionalFormatting>
        <x14:conditionalFormatting xmlns:xm="http://schemas.microsoft.com/office/excel/2006/main">
          <x14:cfRule type="dataBar" id="{C1959516-F5F2-4A1A-A5FC-4324DFF101E2}">
            <x14:dataBar minLength="0" maxLength="100" border="1" negativeBarBorderColorSameAsPositive="0">
              <x14:cfvo type="autoMin"/>
              <x14:cfvo type="autoMax"/>
              <x14:borderColor rgb="FF638EC6"/>
              <x14:negativeFillColor rgb="FFFF0000"/>
              <x14:negativeBorderColor rgb="FFFF0000"/>
              <x14:axisColor rgb="FF000000"/>
            </x14:dataBar>
          </x14:cfRule>
          <xm:sqref>M34:U42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7E05-7457-4DAD-A460-79450484314D}">
  <sheetPr>
    <tabColor theme="2"/>
  </sheetPr>
  <dimension ref="A1:AJ96"/>
  <sheetViews>
    <sheetView showGridLines="0" zoomScale="84" zoomScaleNormal="90" workbookViewId="0">
      <pane xSplit="7" ySplit="1" topLeftCell="H2" activePane="bottomRight" state="frozen"/>
      <selection pane="topRight" activeCell="H1" sqref="H1"/>
      <selection pane="bottomLeft" activeCell="A2" sqref="A2"/>
      <selection pane="bottomRight"/>
    </sheetView>
  </sheetViews>
  <sheetFormatPr defaultRowHeight="14.25"/>
  <cols>
    <col min="1" max="1" width="9.875" style="24" customWidth="1"/>
    <col min="2" max="3" width="9.125" style="24" bestFit="1" customWidth="1"/>
    <col min="4" max="6" width="9" style="24"/>
    <col min="7" max="7" width="11.625" style="24" customWidth="1"/>
    <col min="8" max="9" width="9" style="24"/>
    <col min="10" max="10" width="16.125" style="24" customWidth="1"/>
    <col min="11" max="11" width="14.125" style="24" bestFit="1" customWidth="1"/>
    <col min="12" max="12" width="14.875" style="24" bestFit="1" customWidth="1"/>
    <col min="13" max="13" width="13.5" style="24" customWidth="1"/>
    <col min="14" max="14" width="22.125" style="24" customWidth="1"/>
    <col min="15" max="15" width="20.875" style="24" bestFit="1" customWidth="1"/>
    <col min="16" max="16" width="11.5" style="24" customWidth="1"/>
    <col min="17" max="17" width="11.875" style="24" bestFit="1" customWidth="1"/>
    <col min="18" max="18" width="9" style="24"/>
    <col min="19" max="19" width="14" style="24" bestFit="1" customWidth="1"/>
    <col min="20" max="20" width="19" style="24" bestFit="1" customWidth="1"/>
    <col min="21" max="21" width="11.625" style="24" bestFit="1" customWidth="1"/>
    <col min="22" max="25" width="9" style="24"/>
    <col min="26" max="26" width="3.625" style="24" bestFit="1" customWidth="1"/>
    <col min="27" max="27" width="12.125" style="24" bestFit="1" customWidth="1"/>
    <col min="28" max="28" width="13.75" style="24" bestFit="1" customWidth="1"/>
    <col min="29" max="29" width="12.75" style="24" bestFit="1" customWidth="1"/>
    <col min="30" max="33" width="14.375" style="24" bestFit="1" customWidth="1"/>
    <col min="34" max="34" width="9" style="24"/>
    <col min="35" max="35" width="10.125" style="24" bestFit="1" customWidth="1"/>
    <col min="36" max="36" width="11.5" style="24" bestFit="1" customWidth="1"/>
    <col min="37" max="16384" width="9" style="24"/>
  </cols>
  <sheetData>
    <row r="1" spans="1:36" ht="20.25" thickBot="1">
      <c r="A1" s="23" t="s">
        <v>98</v>
      </c>
      <c r="B1" s="23"/>
      <c r="C1" s="23"/>
      <c r="D1" s="23"/>
      <c r="E1" s="23"/>
      <c r="F1" s="23"/>
      <c r="G1" s="23"/>
    </row>
    <row r="2" spans="1:36" ht="15" thickTop="1">
      <c r="A2" s="69" t="s">
        <v>99</v>
      </c>
    </row>
    <row r="3" spans="1:36" ht="17.25" thickBot="1">
      <c r="A3" s="25" t="s">
        <v>59</v>
      </c>
      <c r="B3" s="25"/>
      <c r="C3" s="25"/>
      <c r="D3" s="25"/>
      <c r="E3" s="25"/>
      <c r="F3" s="25"/>
      <c r="G3" s="25"/>
      <c r="J3" s="25" t="s">
        <v>124</v>
      </c>
      <c r="T3" s="142" t="s">
        <v>136</v>
      </c>
      <c r="U3" s="142"/>
      <c r="V3" s="142"/>
      <c r="W3" s="142"/>
      <c r="X3" s="142"/>
    </row>
    <row r="4" spans="1:36" ht="15" customHeight="1" thickTop="1">
      <c r="A4" s="155" t="s">
        <v>100</v>
      </c>
      <c r="B4" s="155"/>
      <c r="C4" s="155"/>
      <c r="D4" s="155"/>
      <c r="E4" s="155"/>
      <c r="F4" s="155"/>
      <c r="G4" s="155"/>
      <c r="J4" s="142" t="s">
        <v>141</v>
      </c>
      <c r="K4" s="142"/>
      <c r="L4" s="142"/>
      <c r="M4" s="142"/>
      <c r="N4" s="142"/>
      <c r="O4" s="142"/>
      <c r="P4" s="142"/>
      <c r="Q4" s="142"/>
      <c r="T4" s="142"/>
      <c r="U4" s="142"/>
      <c r="V4" s="142"/>
      <c r="W4" s="142"/>
      <c r="X4" s="142"/>
      <c r="AB4" s="153" t="s">
        <v>89</v>
      </c>
      <c r="AC4" s="153"/>
      <c r="AD4" s="153"/>
      <c r="AE4" s="153"/>
      <c r="AF4" s="153"/>
      <c r="AG4" s="153"/>
      <c r="AI4" s="27" t="s">
        <v>92</v>
      </c>
      <c r="AJ4" s="27" t="s">
        <v>78</v>
      </c>
    </row>
    <row r="5" spans="1:36" ht="15">
      <c r="A5" s="155"/>
      <c r="B5" s="155"/>
      <c r="C5" s="155"/>
      <c r="D5" s="155"/>
      <c r="E5" s="155"/>
      <c r="F5" s="155"/>
      <c r="G5" s="155"/>
      <c r="J5" s="142"/>
      <c r="K5" s="142"/>
      <c r="L5" s="142"/>
      <c r="M5" s="142"/>
      <c r="N5" s="142"/>
      <c r="O5" s="142"/>
      <c r="P5" s="142"/>
      <c r="Q5" s="142"/>
      <c r="T5" s="26" t="s">
        <v>117</v>
      </c>
      <c r="AA5" s="113">
        <f>U13</f>
        <v>933219.50848926988</v>
      </c>
      <c r="AB5" s="110">
        <v>250</v>
      </c>
      <c r="AC5" s="110">
        <v>300</v>
      </c>
      <c r="AD5" s="110">
        <v>350</v>
      </c>
      <c r="AE5" s="110">
        <v>400</v>
      </c>
      <c r="AF5" s="110">
        <v>450</v>
      </c>
      <c r="AG5" s="110">
        <v>500</v>
      </c>
      <c r="AI5" s="56"/>
      <c r="AJ5" s="109">
        <f>U13</f>
        <v>933219.50848926988</v>
      </c>
    </row>
    <row r="6" spans="1:36" ht="14.25" customHeight="1">
      <c r="A6" s="155"/>
      <c r="B6" s="155"/>
      <c r="C6" s="155"/>
      <c r="D6" s="155"/>
      <c r="E6" s="155"/>
      <c r="F6" s="155"/>
      <c r="G6" s="155"/>
      <c r="J6" s="142"/>
      <c r="K6" s="142"/>
      <c r="L6" s="142"/>
      <c r="M6" s="142"/>
      <c r="N6" s="142"/>
      <c r="O6" s="142"/>
      <c r="P6" s="142"/>
      <c r="Q6" s="142"/>
      <c r="T6" s="24" t="s">
        <v>89</v>
      </c>
      <c r="U6" s="108">
        <v>250</v>
      </c>
      <c r="V6" s="24" t="s">
        <v>118</v>
      </c>
      <c r="Z6" s="154" t="s">
        <v>92</v>
      </c>
      <c r="AA6" s="110">
        <v>260</v>
      </c>
      <c r="AB6" s="110">
        <f t="dataTable" ref="AB6:AG49" dt2D="1" dtr="1" r1="U6" r2="U7" ca="1"/>
        <v>144859.72842847556</v>
      </c>
      <c r="AC6" s="110">
        <v>-579438.91371390224</v>
      </c>
      <c r="AD6" s="110">
        <v>-1303737.5558562791</v>
      </c>
      <c r="AE6" s="110">
        <v>-2028036.1979986569</v>
      </c>
      <c r="AF6" s="110">
        <v>-2752334.8401410338</v>
      </c>
      <c r="AG6" s="110">
        <v>-3476633.4822834115</v>
      </c>
      <c r="AI6" s="110">
        <v>260</v>
      </c>
      <c r="AJ6" s="110">
        <f t="dataTable" ref="AJ6:AJ49" dt2D="0" dtr="0" r1="U7"/>
        <v>144859.72842847556</v>
      </c>
    </row>
    <row r="7" spans="1:36">
      <c r="A7" s="82"/>
      <c r="B7" s="82"/>
      <c r="C7" s="82"/>
      <c r="D7" s="82"/>
      <c r="E7" s="82"/>
      <c r="F7" s="82"/>
      <c r="G7" s="82"/>
      <c r="T7" s="24" t="s">
        <v>92</v>
      </c>
      <c r="U7" s="108">
        <v>800</v>
      </c>
      <c r="V7" s="107" t="s">
        <v>119</v>
      </c>
      <c r="Z7" s="154"/>
      <c r="AA7" s="110">
        <v>270</v>
      </c>
      <c r="AB7" s="110">
        <v>269590.60184817808</v>
      </c>
      <c r="AC7" s="110">
        <v>-404385.90277226688</v>
      </c>
      <c r="AD7" s="110">
        <v>-1078362.4073927123</v>
      </c>
      <c r="AE7" s="110">
        <v>-1752338.9120131573</v>
      </c>
      <c r="AF7" s="110">
        <v>-2426315.4166336022</v>
      </c>
      <c r="AG7" s="110">
        <v>-3100291.9212540481</v>
      </c>
      <c r="AI7" s="110">
        <v>270</v>
      </c>
      <c r="AJ7" s="110">
        <v>269590.60184817808</v>
      </c>
    </row>
    <row r="8" spans="1:36" ht="30">
      <c r="A8" s="115" t="s">
        <v>102</v>
      </c>
      <c r="B8" s="115" t="s">
        <v>104</v>
      </c>
      <c r="C8" s="115" t="s">
        <v>101</v>
      </c>
      <c r="T8" s="24" t="s">
        <v>101</v>
      </c>
      <c r="U8" s="130">
        <f>$M$23*U7^$M$24</f>
        <v>16.967627427077634</v>
      </c>
      <c r="V8" s="107" t="s">
        <v>120</v>
      </c>
      <c r="Z8" s="154"/>
      <c r="AA8" s="110">
        <v>280</v>
      </c>
      <c r="AB8" s="110">
        <v>377277.18719872413</v>
      </c>
      <c r="AC8" s="110">
        <v>-251518.12479914958</v>
      </c>
      <c r="AD8" s="110">
        <v>-880313.43679702282</v>
      </c>
      <c r="AE8" s="110">
        <v>-1509108.7487948965</v>
      </c>
      <c r="AF8" s="110">
        <v>-2137904.0607927702</v>
      </c>
      <c r="AG8" s="110">
        <v>-2766699.3727906439</v>
      </c>
      <c r="AI8" s="110">
        <v>280</v>
      </c>
      <c r="AJ8" s="110">
        <v>377277.18719872413</v>
      </c>
    </row>
    <row r="9" spans="1:36">
      <c r="A9" s="116">
        <v>1</v>
      </c>
      <c r="B9" s="116">
        <v>450</v>
      </c>
      <c r="C9" s="116">
        <v>45</v>
      </c>
      <c r="T9" s="24" t="s">
        <v>121</v>
      </c>
      <c r="U9" s="105">
        <f>U8*100</f>
        <v>1696.7627427077634</v>
      </c>
      <c r="Z9" s="154"/>
      <c r="AA9" s="110">
        <v>290</v>
      </c>
      <c r="AB9" s="110">
        <v>470458.61526328744</v>
      </c>
      <c r="AC9" s="110">
        <v>-117614.65381582174</v>
      </c>
      <c r="AD9" s="110">
        <v>-705687.9228949314</v>
      </c>
      <c r="AE9" s="110">
        <v>-1293761.1919740411</v>
      </c>
      <c r="AF9" s="110">
        <v>-1881834.4610531498</v>
      </c>
      <c r="AG9" s="110">
        <v>-2469907.7301322594</v>
      </c>
      <c r="AI9" s="110">
        <v>290</v>
      </c>
      <c r="AJ9" s="110">
        <v>470458.61526328744</v>
      </c>
    </row>
    <row r="10" spans="1:36">
      <c r="A10" s="116">
        <v>2</v>
      </c>
      <c r="B10" s="116">
        <v>300</v>
      </c>
      <c r="C10" s="116">
        <v>103</v>
      </c>
      <c r="Z10" s="154"/>
      <c r="AA10" s="110">
        <v>300</v>
      </c>
      <c r="AB10" s="110">
        <v>551238.40185229108</v>
      </c>
      <c r="AC10" s="110">
        <v>0</v>
      </c>
      <c r="AD10" s="110">
        <v>-551238.40185229108</v>
      </c>
      <c r="AE10" s="110">
        <v>-1102476.8037045817</v>
      </c>
      <c r="AF10" s="110">
        <v>-1653715.2055568728</v>
      </c>
      <c r="AG10" s="110">
        <v>-2204953.6074091638</v>
      </c>
      <c r="AI10" s="110">
        <v>300</v>
      </c>
      <c r="AJ10" s="110">
        <v>551238.40185229108</v>
      </c>
    </row>
    <row r="11" spans="1:36">
      <c r="A11" s="116">
        <v>3</v>
      </c>
      <c r="B11" s="116">
        <v>440</v>
      </c>
      <c r="C11" s="116">
        <v>49</v>
      </c>
      <c r="T11" s="24" t="s">
        <v>85</v>
      </c>
      <c r="U11" s="104">
        <f>U6*U9</f>
        <v>424190.68567694083</v>
      </c>
      <c r="Z11" s="154"/>
      <c r="AA11" s="110">
        <v>310</v>
      </c>
      <c r="AB11" s="110">
        <v>621369.53021456813</v>
      </c>
      <c r="AC11" s="110">
        <v>103561.58836909477</v>
      </c>
      <c r="AD11" s="110">
        <v>-414246.3534763786</v>
      </c>
      <c r="AE11" s="110">
        <v>-932054.2953218515</v>
      </c>
      <c r="AF11" s="110">
        <v>-1449862.2371673249</v>
      </c>
      <c r="AG11" s="110">
        <v>-1967670.1790127978</v>
      </c>
      <c r="AI11" s="110">
        <v>310</v>
      </c>
      <c r="AJ11" s="110">
        <v>621369.53021456813</v>
      </c>
    </row>
    <row r="12" spans="1:36">
      <c r="A12" s="116">
        <v>4</v>
      </c>
      <c r="B12" s="116">
        <v>360</v>
      </c>
      <c r="C12" s="116">
        <v>86</v>
      </c>
      <c r="T12" s="24" t="s">
        <v>48</v>
      </c>
      <c r="U12" s="104">
        <f>U7*U9</f>
        <v>1357410.1941662107</v>
      </c>
      <c r="Z12" s="154"/>
      <c r="AA12" s="110">
        <v>320</v>
      </c>
      <c r="AB12" s="110">
        <v>682320.93416212313</v>
      </c>
      <c r="AC12" s="110">
        <v>194948.83833203511</v>
      </c>
      <c r="AD12" s="110">
        <v>-292423.2574980529</v>
      </c>
      <c r="AE12" s="110">
        <v>-779795.35332814092</v>
      </c>
      <c r="AF12" s="110">
        <v>-1267167.4491582289</v>
      </c>
      <c r="AG12" s="110">
        <v>-1754539.5449883174</v>
      </c>
      <c r="AI12" s="110">
        <v>320</v>
      </c>
      <c r="AJ12" s="110">
        <v>682320.93416212313</v>
      </c>
    </row>
    <row r="13" spans="1:36">
      <c r="A13" s="116">
        <v>5</v>
      </c>
      <c r="B13" s="116">
        <v>290</v>
      </c>
      <c r="C13" s="116">
        <v>125</v>
      </c>
      <c r="T13" s="24" t="s">
        <v>78</v>
      </c>
      <c r="U13" s="104">
        <f>U12-U11</f>
        <v>933219.50848926988</v>
      </c>
      <c r="Z13" s="154"/>
      <c r="AA13" s="110">
        <v>330</v>
      </c>
      <c r="AB13" s="110">
        <v>735329.86392835062</v>
      </c>
      <c r="AC13" s="110">
        <v>275748.69897313137</v>
      </c>
      <c r="AD13" s="110">
        <v>-183832.46598208742</v>
      </c>
      <c r="AE13" s="110">
        <v>-643413.63093730668</v>
      </c>
      <c r="AF13" s="110">
        <v>-1102994.7958925259</v>
      </c>
      <c r="AG13" s="110">
        <v>-1562575.9608477447</v>
      </c>
      <c r="AI13" s="110">
        <v>330</v>
      </c>
      <c r="AJ13" s="110">
        <v>735329.86392835062</v>
      </c>
    </row>
    <row r="14" spans="1:36">
      <c r="A14" s="116">
        <v>6</v>
      </c>
      <c r="B14" s="116">
        <v>450</v>
      </c>
      <c r="C14" s="116">
        <v>52</v>
      </c>
      <c r="Z14" s="154"/>
      <c r="AA14" s="110">
        <v>340</v>
      </c>
      <c r="AB14" s="110">
        <v>781443.44106265297</v>
      </c>
      <c r="AC14" s="110">
        <v>347308.19602784561</v>
      </c>
      <c r="AD14" s="110">
        <v>-86827.049006961286</v>
      </c>
      <c r="AE14" s="110">
        <v>-520962.29404176865</v>
      </c>
      <c r="AF14" s="110">
        <v>-955097.53907657554</v>
      </c>
      <c r="AG14" s="110">
        <v>-1389232.7841113824</v>
      </c>
      <c r="AI14" s="110">
        <v>340</v>
      </c>
      <c r="AJ14" s="110">
        <v>781443.44106265297</v>
      </c>
    </row>
    <row r="15" spans="1:36">
      <c r="A15" s="116">
        <v>7</v>
      </c>
      <c r="B15" s="116">
        <v>340</v>
      </c>
      <c r="C15" s="116">
        <v>87</v>
      </c>
      <c r="T15" s="142" t="s">
        <v>127</v>
      </c>
      <c r="U15" s="142"/>
      <c r="V15" s="142"/>
      <c r="W15" s="142"/>
      <c r="X15" s="142"/>
      <c r="Y15" s="39"/>
      <c r="Z15" s="154"/>
      <c r="AA15" s="110">
        <v>350</v>
      </c>
      <c r="AB15" s="112">
        <v>821551.86522268457</v>
      </c>
      <c r="AC15" s="112">
        <v>410775.93261134205</v>
      </c>
      <c r="AD15" s="112">
        <v>0</v>
      </c>
      <c r="AE15" s="112">
        <v>-410775.93261134205</v>
      </c>
      <c r="AF15" s="112">
        <v>-821551.86522268457</v>
      </c>
      <c r="AG15" s="112">
        <v>-1232327.7978340266</v>
      </c>
      <c r="AH15" s="111"/>
      <c r="AI15" s="110">
        <v>350</v>
      </c>
      <c r="AJ15" s="110">
        <v>821551.86522268457</v>
      </c>
    </row>
    <row r="16" spans="1:36">
      <c r="A16" s="116">
        <v>8</v>
      </c>
      <c r="B16" s="116">
        <v>370</v>
      </c>
      <c r="C16" s="116">
        <v>68</v>
      </c>
      <c r="T16" s="142"/>
      <c r="U16" s="142"/>
      <c r="V16" s="142"/>
      <c r="W16" s="142"/>
      <c r="X16" s="142"/>
      <c r="Y16" s="39"/>
      <c r="Z16" s="154"/>
      <c r="AA16" s="110">
        <v>360</v>
      </c>
      <c r="AB16" s="112">
        <v>856415.12424477958</v>
      </c>
      <c r="AC16" s="112">
        <v>467135.52231533453</v>
      </c>
      <c r="AD16" s="112">
        <v>77855.920385889243</v>
      </c>
      <c r="AE16" s="112">
        <v>-311423.68154355604</v>
      </c>
      <c r="AF16" s="112">
        <v>-700703.28347300133</v>
      </c>
      <c r="AG16" s="112">
        <v>-1089982.8854024466</v>
      </c>
      <c r="AH16" s="111"/>
      <c r="AI16" s="110">
        <v>360</v>
      </c>
      <c r="AJ16" s="110">
        <v>856415.12424477958</v>
      </c>
    </row>
    <row r="17" spans="1:36">
      <c r="A17" s="116">
        <v>9</v>
      </c>
      <c r="B17" s="116">
        <v>500</v>
      </c>
      <c r="C17" s="116">
        <v>45</v>
      </c>
      <c r="T17" s="142"/>
      <c r="U17" s="142"/>
      <c r="V17" s="142"/>
      <c r="W17" s="142"/>
      <c r="X17" s="142"/>
      <c r="Y17" s="39"/>
      <c r="Z17" s="154"/>
      <c r="AA17" s="110">
        <v>370</v>
      </c>
      <c r="AB17" s="112">
        <v>886684.61116254725</v>
      </c>
      <c r="AC17" s="112">
        <v>517232.68984481925</v>
      </c>
      <c r="AD17" s="112">
        <v>147780.76852709148</v>
      </c>
      <c r="AE17" s="112">
        <v>-221671.15279063676</v>
      </c>
      <c r="AF17" s="112">
        <v>-591123.07410836453</v>
      </c>
      <c r="AG17" s="112">
        <v>-960574.9954260923</v>
      </c>
      <c r="AH17" s="111"/>
      <c r="AI17" s="110">
        <v>370</v>
      </c>
      <c r="AJ17" s="110">
        <v>886684.61116254725</v>
      </c>
    </row>
    <row r="18" spans="1:36">
      <c r="A18" s="116">
        <v>10</v>
      </c>
      <c r="B18" s="116">
        <v>490</v>
      </c>
      <c r="C18" s="116">
        <v>44</v>
      </c>
      <c r="T18" s="142"/>
      <c r="U18" s="142"/>
      <c r="V18" s="142"/>
      <c r="W18" s="142"/>
      <c r="X18" s="142"/>
      <c r="Y18" s="39"/>
      <c r="Z18" s="154"/>
      <c r="AA18" s="110">
        <v>380</v>
      </c>
      <c r="AB18" s="112">
        <v>912920.72098907013</v>
      </c>
      <c r="AC18" s="112">
        <v>561797.36676250491</v>
      </c>
      <c r="AD18" s="112">
        <v>210674.01253593946</v>
      </c>
      <c r="AE18" s="112">
        <v>-140449.341690626</v>
      </c>
      <c r="AF18" s="112">
        <v>-491572.69591719145</v>
      </c>
      <c r="AG18" s="112">
        <v>-842696.05014375644</v>
      </c>
      <c r="AH18" s="111"/>
      <c r="AI18" s="110">
        <v>380</v>
      </c>
      <c r="AJ18" s="110">
        <v>912920.72098907013</v>
      </c>
    </row>
    <row r="19" spans="1:36">
      <c r="A19" s="116">
        <v>11</v>
      </c>
      <c r="B19" s="116">
        <v>430</v>
      </c>
      <c r="C19" s="116">
        <v>58</v>
      </c>
      <c r="Z19" s="154"/>
      <c r="AA19" s="110">
        <v>390</v>
      </c>
      <c r="AB19" s="110">
        <v>935607.253438466</v>
      </c>
      <c r="AC19" s="110">
        <v>601461.80578187108</v>
      </c>
      <c r="AD19" s="110">
        <v>267316.35812527593</v>
      </c>
      <c r="AE19" s="110">
        <v>-66829.08953131875</v>
      </c>
      <c r="AF19" s="110">
        <v>-400974.5371879139</v>
      </c>
      <c r="AG19" s="110">
        <v>-735119.98484450858</v>
      </c>
      <c r="AI19" s="110">
        <v>390</v>
      </c>
      <c r="AJ19" s="110">
        <v>935607.253438466</v>
      </c>
    </row>
    <row r="20" spans="1:36">
      <c r="A20" s="116">
        <v>12</v>
      </c>
      <c r="B20" s="116">
        <v>390</v>
      </c>
      <c r="C20" s="116">
        <v>68</v>
      </c>
      <c r="T20" s="142" t="s">
        <v>135</v>
      </c>
      <c r="U20" s="142"/>
      <c r="V20" s="142"/>
      <c r="W20" s="142"/>
      <c r="X20" s="142"/>
      <c r="Y20" s="39"/>
      <c r="Z20" s="154"/>
      <c r="AA20" s="110">
        <v>400</v>
      </c>
      <c r="AB20" s="112">
        <v>955163.26238462282</v>
      </c>
      <c r="AC20" s="112">
        <v>636775.50825641514</v>
      </c>
      <c r="AD20" s="112">
        <v>318387.75412820745</v>
      </c>
      <c r="AE20" s="112">
        <v>0</v>
      </c>
      <c r="AF20" s="112">
        <v>-318387.75412820745</v>
      </c>
      <c r="AG20" s="112">
        <v>-636775.50825641491</v>
      </c>
      <c r="AH20" s="111"/>
      <c r="AI20" s="110">
        <v>400</v>
      </c>
      <c r="AJ20" s="110">
        <v>955163.26238462282</v>
      </c>
    </row>
    <row r="21" spans="1:36" ht="33.75" customHeight="1">
      <c r="A21" s="155" t="s">
        <v>103</v>
      </c>
      <c r="B21" s="155"/>
      <c r="C21" s="155"/>
      <c r="D21" s="155"/>
      <c r="E21" s="155"/>
      <c r="F21" s="155"/>
      <c r="G21" s="155"/>
      <c r="J21" s="24" t="s">
        <v>140</v>
      </c>
      <c r="T21" s="142"/>
      <c r="U21" s="142"/>
      <c r="V21" s="142"/>
      <c r="W21" s="142"/>
      <c r="X21" s="142"/>
      <c r="Y21" s="39"/>
      <c r="Z21" s="154"/>
      <c r="AA21" s="110">
        <v>410</v>
      </c>
      <c r="AB21" s="112">
        <v>971952.85243747453</v>
      </c>
      <c r="AC21" s="112">
        <v>668217.58605076349</v>
      </c>
      <c r="AD21" s="112">
        <v>364482.31966405269</v>
      </c>
      <c r="AE21" s="112">
        <v>60747.053277342115</v>
      </c>
      <c r="AF21" s="112">
        <v>-242988.21310936892</v>
      </c>
      <c r="AG21" s="112">
        <v>-546723.4794960795</v>
      </c>
      <c r="AH21" s="111"/>
      <c r="AI21" s="110">
        <v>410</v>
      </c>
      <c r="AJ21" s="110">
        <v>971952.85243747453</v>
      </c>
    </row>
    <row r="22" spans="1:36" ht="45" customHeight="1">
      <c r="A22" s="156" t="s">
        <v>132</v>
      </c>
      <c r="B22" s="156"/>
      <c r="C22" s="156"/>
      <c r="D22" s="156"/>
      <c r="E22" s="156"/>
      <c r="F22" s="156"/>
      <c r="G22" s="156"/>
      <c r="J22" s="157" t="s">
        <v>113</v>
      </c>
      <c r="K22" s="158"/>
      <c r="L22" s="157" t="s">
        <v>114</v>
      </c>
      <c r="M22" s="158"/>
      <c r="N22" s="157" t="s">
        <v>107</v>
      </c>
      <c r="O22" s="158"/>
      <c r="T22" s="142" t="s">
        <v>137</v>
      </c>
      <c r="U22" s="142"/>
      <c r="V22" s="142"/>
      <c r="W22" s="142"/>
      <c r="X22" s="142"/>
      <c r="Z22" s="154"/>
      <c r="AA22" s="110">
        <v>420</v>
      </c>
      <c r="AB22" s="110">
        <v>986293.31587235699</v>
      </c>
      <c r="AC22" s="110">
        <v>696207.04649813427</v>
      </c>
      <c r="AD22" s="110">
        <v>406120.77712391177</v>
      </c>
      <c r="AE22" s="110">
        <v>116034.50774968928</v>
      </c>
      <c r="AF22" s="110">
        <v>-174051.76162453368</v>
      </c>
      <c r="AG22" s="110">
        <v>-464138.03099875618</v>
      </c>
      <c r="AI22" s="110">
        <v>420</v>
      </c>
      <c r="AJ22" s="110">
        <v>986293.31587235699</v>
      </c>
    </row>
    <row r="23" spans="1:36">
      <c r="A23" s="50" t="s">
        <v>133</v>
      </c>
      <c r="J23" s="56" t="s">
        <v>105</v>
      </c>
      <c r="K23" s="56">
        <v>211.31</v>
      </c>
      <c r="L23" s="56" t="s">
        <v>109</v>
      </c>
      <c r="M23" s="56">
        <v>5871064</v>
      </c>
      <c r="N23" s="56" t="s">
        <v>109</v>
      </c>
      <c r="O23" s="56">
        <v>466.51</v>
      </c>
      <c r="T23" s="142"/>
      <c r="U23" s="142"/>
      <c r="V23" s="142"/>
      <c r="W23" s="142"/>
      <c r="X23" s="142"/>
      <c r="Z23" s="154"/>
      <c r="AA23" s="110">
        <v>430</v>
      </c>
      <c r="AB23" s="110">
        <v>998461.92082203622</v>
      </c>
      <c r="AC23" s="110">
        <v>721111.38726035948</v>
      </c>
      <c r="AD23" s="110">
        <v>443760.85369868297</v>
      </c>
      <c r="AE23" s="110">
        <v>166410.32013700623</v>
      </c>
      <c r="AF23" s="110">
        <v>-110940.21342467051</v>
      </c>
      <c r="AG23" s="110">
        <v>-388290.74698634725</v>
      </c>
      <c r="AI23" s="110">
        <v>430</v>
      </c>
      <c r="AJ23" s="110">
        <v>998461.92082203622</v>
      </c>
    </row>
    <row r="24" spans="1:36">
      <c r="A24" s="50" t="s">
        <v>134</v>
      </c>
      <c r="J24" s="56" t="s">
        <v>106</v>
      </c>
      <c r="K24" s="56">
        <v>-0.35460000000000003</v>
      </c>
      <c r="L24" s="56" t="s">
        <v>108</v>
      </c>
      <c r="M24" s="56">
        <v>-1.9079999999999999</v>
      </c>
      <c r="N24" s="56" t="s">
        <v>108</v>
      </c>
      <c r="O24" s="56">
        <v>-5.0000000000000001E-3</v>
      </c>
      <c r="T24" s="142"/>
      <c r="U24" s="142"/>
      <c r="V24" s="142"/>
      <c r="W24" s="142"/>
      <c r="X24" s="142"/>
      <c r="Z24" s="154"/>
      <c r="AA24" s="110">
        <v>440</v>
      </c>
      <c r="AB24" s="110">
        <v>1008701.5979665397</v>
      </c>
      <c r="AC24" s="110">
        <v>743253.80902797659</v>
      </c>
      <c r="AD24" s="110">
        <v>477806.02008941351</v>
      </c>
      <c r="AE24" s="110">
        <v>212358.23115085065</v>
      </c>
      <c r="AF24" s="110">
        <v>-53089.557787712663</v>
      </c>
      <c r="AG24" s="110">
        <v>-318537.34672627551</v>
      </c>
      <c r="AI24" s="110">
        <v>440</v>
      </c>
      <c r="AJ24" s="110">
        <v>1008701.5979665397</v>
      </c>
    </row>
    <row r="25" spans="1:36">
      <c r="Z25" s="154"/>
      <c r="AA25" s="110">
        <v>450</v>
      </c>
      <c r="AB25" s="110">
        <v>1017225.7233983984</v>
      </c>
      <c r="AC25" s="110">
        <v>762919.29254879872</v>
      </c>
      <c r="AD25" s="110">
        <v>508612.86169919907</v>
      </c>
      <c r="AE25" s="110">
        <v>254306.43084959942</v>
      </c>
      <c r="AF25" s="110">
        <v>0</v>
      </c>
      <c r="AG25" s="110">
        <v>-254306.43084959965</v>
      </c>
      <c r="AI25" s="110">
        <v>450</v>
      </c>
      <c r="AJ25" s="110">
        <v>1017225.7233983984</v>
      </c>
    </row>
    <row r="26" spans="1:36" ht="15.75" customHeight="1" thickBot="1">
      <c r="K26" s="159" t="s">
        <v>116</v>
      </c>
      <c r="L26" s="159"/>
      <c r="M26" s="159"/>
      <c r="O26" s="159" t="s">
        <v>115</v>
      </c>
      <c r="P26" s="159"/>
      <c r="Q26" s="159"/>
      <c r="T26" s="142" t="s">
        <v>138</v>
      </c>
      <c r="U26" s="142"/>
      <c r="V26" s="142"/>
      <c r="W26" s="142"/>
      <c r="X26" s="142"/>
      <c r="Z26" s="154"/>
      <c r="AA26" s="110">
        <v>460</v>
      </c>
      <c r="AB26" s="110">
        <v>1024222.1565401531</v>
      </c>
      <c r="AC26" s="110">
        <v>780359.73831630708</v>
      </c>
      <c r="AD26" s="110">
        <v>536497.3200924613</v>
      </c>
      <c r="AE26" s="110">
        <v>292634.9018686153</v>
      </c>
      <c r="AF26" s="110">
        <v>48772.483644769527</v>
      </c>
      <c r="AG26" s="110">
        <v>-195089.93457907671</v>
      </c>
      <c r="AI26" s="110">
        <v>460</v>
      </c>
      <c r="AJ26" s="110">
        <v>1024222.1565401531</v>
      </c>
    </row>
    <row r="27" spans="1:36" ht="15.75" thickTop="1">
      <c r="J27" s="84" t="s">
        <v>104</v>
      </c>
      <c r="K27" s="86" t="s">
        <v>110</v>
      </c>
      <c r="L27" s="87" t="s">
        <v>111</v>
      </c>
      <c r="M27" s="88" t="s">
        <v>112</v>
      </c>
      <c r="N27" s="94" t="s">
        <v>101</v>
      </c>
      <c r="O27" s="106" t="s">
        <v>110</v>
      </c>
      <c r="P27" s="87" t="s">
        <v>111</v>
      </c>
      <c r="Q27" s="88" t="s">
        <v>112</v>
      </c>
      <c r="T27" s="142"/>
      <c r="U27" s="142"/>
      <c r="V27" s="142"/>
      <c r="W27" s="142"/>
      <c r="X27" s="142"/>
      <c r="Z27" s="154"/>
      <c r="AA27" s="110">
        <v>470</v>
      </c>
      <c r="AB27" s="110">
        <v>1029856.6614397548</v>
      </c>
      <c r="AC27" s="110">
        <v>795798.32929435605</v>
      </c>
      <c r="AD27" s="110">
        <v>561739.9971489571</v>
      </c>
      <c r="AE27" s="110">
        <v>327681.66500355839</v>
      </c>
      <c r="AF27" s="110">
        <v>93623.332858159672</v>
      </c>
      <c r="AG27" s="110">
        <v>-140434.99928723928</v>
      </c>
      <c r="AI27" s="110">
        <v>470</v>
      </c>
      <c r="AJ27" s="110">
        <v>1029856.6614397548</v>
      </c>
    </row>
    <row r="28" spans="1:36">
      <c r="J28" s="85">
        <v>450</v>
      </c>
      <c r="K28" s="89">
        <f>$K$24*J28+$K$23</f>
        <v>51.739999999999981</v>
      </c>
      <c r="L28" s="83">
        <f>$M$23*J28^$M$24</f>
        <v>50.861286169919921</v>
      </c>
      <c r="M28" s="90">
        <f t="shared" ref="M28:M39" si="0">$O$23*EXP($O$24*J28)</f>
        <v>49.169792250355329</v>
      </c>
      <c r="N28" s="95">
        <v>45</v>
      </c>
      <c r="O28" s="96">
        <f>ABS(K28-N28)/N28</f>
        <v>0.14977777777777734</v>
      </c>
      <c r="P28" s="97">
        <f>ABS(L28-N28)/N28</f>
        <v>0.13025080377599826</v>
      </c>
      <c r="Q28" s="98">
        <f>ABS(M28-N28)/N28</f>
        <v>9.2662050007896193E-2</v>
      </c>
      <c r="T28" s="142"/>
      <c r="U28" s="142"/>
      <c r="V28" s="142"/>
      <c r="W28" s="142"/>
      <c r="X28" s="142"/>
      <c r="Z28" s="154"/>
      <c r="AA28" s="110">
        <v>480</v>
      </c>
      <c r="AB28" s="110">
        <v>1034275.8155834542</v>
      </c>
      <c r="AC28" s="110">
        <v>809433.24697835557</v>
      </c>
      <c r="AD28" s="110">
        <v>584590.67837325693</v>
      </c>
      <c r="AE28" s="110">
        <v>359748.10976815806</v>
      </c>
      <c r="AF28" s="110">
        <v>134905.54116305942</v>
      </c>
      <c r="AG28" s="110">
        <v>-89937.027442039456</v>
      </c>
      <c r="AI28" s="110">
        <v>480</v>
      </c>
      <c r="AJ28" s="110">
        <v>1034275.8155834542</v>
      </c>
    </row>
    <row r="29" spans="1:36">
      <c r="J29" s="85">
        <v>300</v>
      </c>
      <c r="K29" s="89">
        <f t="shared" ref="K29:K39" si="1">$K$24*J29+$K$23</f>
        <v>104.92999999999999</v>
      </c>
      <c r="L29" s="83">
        <f t="shared" ref="L29:L39" si="2">$M$23*J29^$M$24</f>
        <v>110.2476803704582</v>
      </c>
      <c r="M29" s="90">
        <f t="shared" si="0"/>
        <v>104.09245101084399</v>
      </c>
      <c r="N29" s="95">
        <v>103</v>
      </c>
      <c r="O29" s="96">
        <f t="shared" ref="O29:O39" si="3">ABS(K29-N29)/N29</f>
        <v>1.8737864077669832E-2</v>
      </c>
      <c r="P29" s="97">
        <f t="shared" ref="P29:P39" si="4">ABS(L29-N29)/N29</f>
        <v>7.0365828839399985E-2</v>
      </c>
      <c r="Q29" s="98">
        <f t="shared" ref="Q29:Q39" si="5">ABS(M29-N29)/N29</f>
        <v>1.0606320493630948E-2</v>
      </c>
      <c r="T29" s="142"/>
      <c r="U29" s="142"/>
      <c r="V29" s="142"/>
      <c r="W29" s="142"/>
      <c r="X29" s="142"/>
      <c r="Z29" s="154"/>
      <c r="AA29" s="110">
        <v>490</v>
      </c>
      <c r="AB29" s="110">
        <v>1037609.4911199291</v>
      </c>
      <c r="AC29" s="110">
        <v>821440.84713661065</v>
      </c>
      <c r="AD29" s="110">
        <v>605272.20315329218</v>
      </c>
      <c r="AE29" s="110">
        <v>389103.55916997371</v>
      </c>
      <c r="AF29" s="110">
        <v>172934.91518665501</v>
      </c>
      <c r="AG29" s="110">
        <v>-43233.728796663694</v>
      </c>
      <c r="AI29" s="110">
        <v>490</v>
      </c>
      <c r="AJ29" s="110">
        <v>1037609.4911199291</v>
      </c>
    </row>
    <row r="30" spans="1:36">
      <c r="J30" s="85">
        <v>440</v>
      </c>
      <c r="K30" s="89">
        <f t="shared" si="1"/>
        <v>55.286000000000001</v>
      </c>
      <c r="L30" s="83">
        <f t="shared" si="2"/>
        <v>53.089557787712614</v>
      </c>
      <c r="M30" s="90">
        <f t="shared" si="0"/>
        <v>51.69078140761237</v>
      </c>
      <c r="N30" s="95">
        <v>49</v>
      </c>
      <c r="O30" s="96">
        <f t="shared" si="3"/>
        <v>0.12828571428571431</v>
      </c>
      <c r="P30" s="97">
        <f t="shared" si="4"/>
        <v>8.3460363014543154E-2</v>
      </c>
      <c r="Q30" s="98">
        <f t="shared" si="5"/>
        <v>5.4913906277803466E-2</v>
      </c>
      <c r="T30" s="39"/>
      <c r="U30" s="39"/>
      <c r="V30" s="39"/>
      <c r="W30" s="39"/>
      <c r="X30" s="39"/>
      <c r="Z30" s="154"/>
      <c r="AA30" s="110">
        <v>500</v>
      </c>
      <c r="AB30" s="110">
        <v>1039972.9779989794</v>
      </c>
      <c r="AC30" s="110">
        <v>831978.3823991837</v>
      </c>
      <c r="AD30" s="110">
        <v>623983.78679938777</v>
      </c>
      <c r="AE30" s="110">
        <v>415989.19119959185</v>
      </c>
      <c r="AF30" s="110">
        <v>207994.59559979592</v>
      </c>
      <c r="AG30" s="110">
        <v>0</v>
      </c>
      <c r="AI30" s="110">
        <v>500</v>
      </c>
      <c r="AJ30" s="110">
        <v>1039972.9779989794</v>
      </c>
    </row>
    <row r="31" spans="1:36">
      <c r="J31" s="85">
        <v>360</v>
      </c>
      <c r="K31" s="89">
        <f t="shared" si="1"/>
        <v>83.653999999999996</v>
      </c>
      <c r="L31" s="83">
        <f t="shared" si="2"/>
        <v>77.85592038588905</v>
      </c>
      <c r="M31" s="90">
        <f t="shared" si="0"/>
        <v>77.113584344252331</v>
      </c>
      <c r="N31" s="95">
        <v>86</v>
      </c>
      <c r="O31" s="96">
        <f t="shared" si="3"/>
        <v>2.7279069767441901E-2</v>
      </c>
      <c r="P31" s="97">
        <f t="shared" si="4"/>
        <v>9.4698600164080812E-2</v>
      </c>
      <c r="Q31" s="98">
        <f t="shared" si="5"/>
        <v>0.10333041460171709</v>
      </c>
      <c r="Z31" s="154"/>
      <c r="AA31" s="110">
        <v>510</v>
      </c>
      <c r="AB31" s="110">
        <v>1041468.8061629091</v>
      </c>
      <c r="AC31" s="110">
        <v>841186.34343927284</v>
      </c>
      <c r="AD31" s="110">
        <v>640903.8807156363</v>
      </c>
      <c r="AE31" s="110">
        <v>440621.417992</v>
      </c>
      <c r="AF31" s="110">
        <v>240338.9552683637</v>
      </c>
      <c r="AG31" s="110">
        <v>40056.4925447274</v>
      </c>
      <c r="AI31" s="110">
        <v>510</v>
      </c>
      <c r="AJ31" s="110">
        <v>1041468.8061629091</v>
      </c>
    </row>
    <row r="32" spans="1:36">
      <c r="J32" s="85">
        <v>290</v>
      </c>
      <c r="K32" s="89">
        <f t="shared" si="1"/>
        <v>108.476</v>
      </c>
      <c r="L32" s="83">
        <f t="shared" si="2"/>
        <v>117.61465381582187</v>
      </c>
      <c r="M32" s="90">
        <f t="shared" si="0"/>
        <v>109.42938509863754</v>
      </c>
      <c r="N32" s="95">
        <v>125</v>
      </c>
      <c r="O32" s="96">
        <f t="shared" si="3"/>
        <v>0.132192</v>
      </c>
      <c r="P32" s="97">
        <f t="shared" si="4"/>
        <v>5.9082769473425063E-2</v>
      </c>
      <c r="Q32" s="98">
        <f t="shared" si="5"/>
        <v>0.12456491921089968</v>
      </c>
      <c r="Z32" s="154"/>
      <c r="AA32" s="110">
        <v>520</v>
      </c>
      <c r="AB32" s="110">
        <v>1042188.3139489595</v>
      </c>
      <c r="AC32" s="110">
        <v>849190.47803248558</v>
      </c>
      <c r="AD32" s="110">
        <v>656192.64211601159</v>
      </c>
      <c r="AE32" s="110">
        <v>463194.80619953759</v>
      </c>
      <c r="AF32" s="110">
        <v>270196.97028306359</v>
      </c>
      <c r="AG32" s="110">
        <v>77199.134366589598</v>
      </c>
      <c r="AI32" s="110">
        <v>520</v>
      </c>
      <c r="AJ32" s="110">
        <v>1042188.3139489595</v>
      </c>
    </row>
    <row r="33" spans="10:36">
      <c r="J33" s="85">
        <v>450</v>
      </c>
      <c r="K33" s="89">
        <f t="shared" si="1"/>
        <v>51.739999999999981</v>
      </c>
      <c r="L33" s="83">
        <f t="shared" si="2"/>
        <v>50.861286169919921</v>
      </c>
      <c r="M33" s="90">
        <f t="shared" si="0"/>
        <v>49.169792250355329</v>
      </c>
      <c r="N33" s="95">
        <v>52</v>
      </c>
      <c r="O33" s="96">
        <f t="shared" si="3"/>
        <v>5.0000000000003713E-3</v>
      </c>
      <c r="P33" s="97">
        <f t="shared" si="4"/>
        <v>2.1898342886155355E-2</v>
      </c>
      <c r="Q33" s="98">
        <f t="shared" si="5"/>
        <v>5.4427072108551369E-2</v>
      </c>
      <c r="U33" s="130"/>
      <c r="Z33" s="154"/>
      <c r="AA33" s="110">
        <v>530</v>
      </c>
      <c r="AB33" s="110">
        <v>1042213.0017719698</v>
      </c>
      <c r="AC33" s="110">
        <v>856103.53716983227</v>
      </c>
      <c r="AD33" s="110">
        <v>669994.07256769482</v>
      </c>
      <c r="AE33" s="110">
        <v>483884.60796555737</v>
      </c>
      <c r="AF33" s="110">
        <v>297775.14336341992</v>
      </c>
      <c r="AG33" s="110">
        <v>111665.67876128247</v>
      </c>
      <c r="AI33" s="110">
        <v>530</v>
      </c>
      <c r="AJ33" s="110">
        <v>1042213.0017719698</v>
      </c>
    </row>
    <row r="34" spans="10:36">
      <c r="J34" s="85">
        <v>340</v>
      </c>
      <c r="K34" s="89">
        <f t="shared" si="1"/>
        <v>90.745999999999995</v>
      </c>
      <c r="L34" s="83">
        <f t="shared" si="2"/>
        <v>86.827049006961417</v>
      </c>
      <c r="M34" s="90">
        <f t="shared" si="0"/>
        <v>85.223690805841244</v>
      </c>
      <c r="N34" s="95">
        <v>87</v>
      </c>
      <c r="O34" s="96">
        <f t="shared" si="3"/>
        <v>4.3057471264367757E-2</v>
      </c>
      <c r="P34" s="97">
        <f t="shared" si="4"/>
        <v>1.9879424487193459E-3</v>
      </c>
      <c r="Q34" s="98">
        <f t="shared" si="5"/>
        <v>2.0417347059296046E-2</v>
      </c>
      <c r="U34" s="123"/>
      <c r="Z34" s="154"/>
      <c r="AA34" s="110">
        <v>540</v>
      </c>
      <c r="AB34" s="110">
        <v>1041615.7035724644</v>
      </c>
      <c r="AC34" s="110">
        <v>862026.78916341881</v>
      </c>
      <c r="AD34" s="110">
        <v>682437.87475437322</v>
      </c>
      <c r="AE34" s="110">
        <v>502848.96034532762</v>
      </c>
      <c r="AF34" s="110">
        <v>323260.04593628203</v>
      </c>
      <c r="AG34" s="110">
        <v>143671.13152723666</v>
      </c>
      <c r="AI34" s="110">
        <v>540</v>
      </c>
      <c r="AJ34" s="110">
        <v>1041615.7035724644</v>
      </c>
    </row>
    <row r="35" spans="10:36">
      <c r="J35" s="85">
        <v>370</v>
      </c>
      <c r="K35" s="89">
        <f t="shared" si="1"/>
        <v>80.108000000000004</v>
      </c>
      <c r="L35" s="83">
        <f t="shared" si="2"/>
        <v>73.890384263545585</v>
      </c>
      <c r="M35" s="90">
        <f t="shared" si="0"/>
        <v>73.352710456970414</v>
      </c>
      <c r="N35" s="95">
        <v>68</v>
      </c>
      <c r="O35" s="96">
        <f t="shared" si="3"/>
        <v>0.17805882352941182</v>
      </c>
      <c r="P35" s="97">
        <f t="shared" si="4"/>
        <v>8.6623297993317416E-2</v>
      </c>
      <c r="Q35" s="98">
        <f t="shared" si="5"/>
        <v>7.8716330249564911E-2</v>
      </c>
      <c r="U35" s="123"/>
      <c r="Z35" s="154"/>
      <c r="AA35" s="110">
        <v>550</v>
      </c>
      <c r="AB35" s="110">
        <v>1040461.6031350964</v>
      </c>
      <c r="AC35" s="110">
        <v>867051.33594591368</v>
      </c>
      <c r="AD35" s="110">
        <v>693641.06875673099</v>
      </c>
      <c r="AE35" s="110">
        <v>520230.80156754819</v>
      </c>
      <c r="AF35" s="110">
        <v>346820.53437836538</v>
      </c>
      <c r="AG35" s="110">
        <v>173410.26718918281</v>
      </c>
      <c r="AI35" s="110">
        <v>550</v>
      </c>
      <c r="AJ35" s="110">
        <v>1040461.6031350964</v>
      </c>
    </row>
    <row r="36" spans="10:36">
      <c r="J36" s="85">
        <v>500</v>
      </c>
      <c r="K36" s="89">
        <f t="shared" si="1"/>
        <v>34.009999999999991</v>
      </c>
      <c r="L36" s="83">
        <f t="shared" si="2"/>
        <v>41.59891911995917</v>
      </c>
      <c r="M36" s="90">
        <f t="shared" si="0"/>
        <v>38.293472708035026</v>
      </c>
      <c r="N36" s="95">
        <v>45</v>
      </c>
      <c r="O36" s="96">
        <f t="shared" si="3"/>
        <v>0.24422222222222242</v>
      </c>
      <c r="P36" s="97">
        <f t="shared" si="4"/>
        <v>7.5579575112018446E-2</v>
      </c>
      <c r="Q36" s="98">
        <f t="shared" si="5"/>
        <v>0.14903393982144386</v>
      </c>
      <c r="U36" s="123"/>
      <c r="Z36" s="154"/>
      <c r="AA36" s="110">
        <v>560</v>
      </c>
      <c r="AB36" s="110">
        <v>1038809.1179690239</v>
      </c>
      <c r="AC36" s="110">
        <v>871259.26023208455</v>
      </c>
      <c r="AD36" s="110">
        <v>703709.4024951451</v>
      </c>
      <c r="AE36" s="110">
        <v>536159.544758206</v>
      </c>
      <c r="AF36" s="110">
        <v>368609.68702126667</v>
      </c>
      <c r="AG36" s="110">
        <v>201059.82928432734</v>
      </c>
      <c r="AI36" s="110">
        <v>560</v>
      </c>
      <c r="AJ36" s="110">
        <v>1038809.1179690239</v>
      </c>
    </row>
    <row r="37" spans="10:36">
      <c r="J37" s="85">
        <v>490</v>
      </c>
      <c r="K37" s="89">
        <f t="shared" si="1"/>
        <v>37.555999999999983</v>
      </c>
      <c r="L37" s="83">
        <f t="shared" si="2"/>
        <v>43.233728796663705</v>
      </c>
      <c r="M37" s="90">
        <f t="shared" si="0"/>
        <v>40.256821037821332</v>
      </c>
      <c r="N37" s="95">
        <v>44</v>
      </c>
      <c r="O37" s="96">
        <f t="shared" si="3"/>
        <v>0.14645454545454584</v>
      </c>
      <c r="P37" s="97">
        <f t="shared" si="4"/>
        <v>1.7415254621279432E-2</v>
      </c>
      <c r="Q37" s="98">
        <f t="shared" si="5"/>
        <v>8.5072249140424272E-2</v>
      </c>
      <c r="Z37" s="154"/>
      <c r="AA37" s="110">
        <v>570</v>
      </c>
      <c r="AB37" s="110">
        <v>1036710.669808225</v>
      </c>
      <c r="AC37" s="110">
        <v>874724.6276506898</v>
      </c>
      <c r="AD37" s="110">
        <v>712738.58549315459</v>
      </c>
      <c r="AE37" s="110">
        <v>550752.54333561938</v>
      </c>
      <c r="AF37" s="110">
        <v>388766.50117808441</v>
      </c>
      <c r="AG37" s="110">
        <v>226780.4590205492</v>
      </c>
      <c r="AI37" s="110">
        <v>570</v>
      </c>
      <c r="AJ37" s="110">
        <v>1036710.669808225</v>
      </c>
    </row>
    <row r="38" spans="10:36">
      <c r="J38" s="85">
        <v>430</v>
      </c>
      <c r="K38" s="89">
        <f t="shared" si="1"/>
        <v>58.831999999999994</v>
      </c>
      <c r="L38" s="83">
        <f t="shared" si="2"/>
        <v>55.470106712335337</v>
      </c>
      <c r="M38" s="90">
        <f t="shared" si="0"/>
        <v>54.341024442914069</v>
      </c>
      <c r="N38" s="95">
        <v>58</v>
      </c>
      <c r="O38" s="96">
        <f t="shared" si="3"/>
        <v>1.4344827586206787E-2</v>
      </c>
      <c r="P38" s="97">
        <f t="shared" si="4"/>
        <v>4.3618849787321778E-2</v>
      </c>
      <c r="Q38" s="98">
        <f t="shared" si="5"/>
        <v>6.3085785466998806E-2</v>
      </c>
      <c r="Z38" s="154"/>
      <c r="AA38" s="110">
        <v>580</v>
      </c>
      <c r="AB38" s="110">
        <v>1034213.3577876764</v>
      </c>
      <c r="AC38" s="110">
        <v>877514.36418348295</v>
      </c>
      <c r="AD38" s="110">
        <v>720815.37057928951</v>
      </c>
      <c r="AE38" s="110">
        <v>564116.37697509606</v>
      </c>
      <c r="AF38" s="110">
        <v>407417.38337090285</v>
      </c>
      <c r="AG38" s="110">
        <v>250718.38976670941</v>
      </c>
      <c r="AI38" s="110">
        <v>580</v>
      </c>
      <c r="AJ38" s="110">
        <v>1034213.3577876764</v>
      </c>
    </row>
    <row r="39" spans="10:36" ht="15" thickBot="1">
      <c r="J39" s="85">
        <v>390</v>
      </c>
      <c r="K39" s="91">
        <f t="shared" si="1"/>
        <v>73.015999999999991</v>
      </c>
      <c r="L39" s="92">
        <f t="shared" si="2"/>
        <v>66.829089531318985</v>
      </c>
      <c r="M39" s="93">
        <f t="shared" si="0"/>
        <v>66.372277135824447</v>
      </c>
      <c r="N39" s="95">
        <v>68</v>
      </c>
      <c r="O39" s="99">
        <f t="shared" si="3"/>
        <v>7.3764705882352816E-2</v>
      </c>
      <c r="P39" s="100">
        <f t="shared" si="4"/>
        <v>1.7219271598250221E-2</v>
      </c>
      <c r="Q39" s="101">
        <f t="shared" si="5"/>
        <v>2.393710094375813E-2</v>
      </c>
      <c r="Z39" s="154"/>
      <c r="AA39" s="110">
        <v>590</v>
      </c>
      <c r="AB39" s="110">
        <v>1031359.5478624469</v>
      </c>
      <c r="AC39" s="110">
        <v>879689.02611796942</v>
      </c>
      <c r="AD39" s="110">
        <v>728018.50437349197</v>
      </c>
      <c r="AE39" s="110">
        <v>576347.98262901441</v>
      </c>
      <c r="AF39" s="110">
        <v>424677.46088453708</v>
      </c>
      <c r="AG39" s="110">
        <v>273006.93914005952</v>
      </c>
      <c r="AI39" s="110">
        <v>590</v>
      </c>
      <c r="AJ39" s="110">
        <v>1031359.5478624469</v>
      </c>
    </row>
    <row r="40" spans="10:36" ht="15.75" thickTop="1">
      <c r="N40" s="26" t="s">
        <v>125</v>
      </c>
      <c r="O40" s="102">
        <f>AVERAGE(O28:O39)</f>
        <v>9.6764585153975916E-2</v>
      </c>
      <c r="P40" s="103">
        <f t="shared" ref="P40:Q40" si="6">AVERAGE(P28:P39)</f>
        <v>5.8516741642875771E-2</v>
      </c>
      <c r="Q40" s="102">
        <f t="shared" si="6"/>
        <v>7.17306196151654E-2</v>
      </c>
      <c r="Z40" s="154"/>
      <c r="AA40" s="110">
        <v>600</v>
      </c>
      <c r="AB40" s="110">
        <v>1028187.3899667513</v>
      </c>
      <c r="AC40" s="110">
        <v>881303.47711435833</v>
      </c>
      <c r="AD40" s="110">
        <v>734419.56426196522</v>
      </c>
      <c r="AE40" s="110">
        <v>587535.65140957222</v>
      </c>
      <c r="AF40" s="110">
        <v>440651.73855717899</v>
      </c>
      <c r="AG40" s="110">
        <v>293767.825704786</v>
      </c>
      <c r="AI40" s="110">
        <v>600</v>
      </c>
      <c r="AJ40" s="110">
        <v>1028187.3899667513</v>
      </c>
    </row>
    <row r="41" spans="10:36">
      <c r="J41" s="142" t="s">
        <v>126</v>
      </c>
      <c r="K41" s="142"/>
      <c r="L41" s="142"/>
      <c r="M41" s="142"/>
      <c r="N41" s="142"/>
      <c r="O41" s="142"/>
      <c r="P41" s="142"/>
      <c r="Q41" s="142"/>
      <c r="Z41" s="154"/>
      <c r="AA41" s="110">
        <v>800</v>
      </c>
      <c r="AB41" s="110">
        <v>933219.50848926988</v>
      </c>
      <c r="AC41" s="110">
        <v>848381.37135388167</v>
      </c>
      <c r="AD41" s="110">
        <v>763543.23421849345</v>
      </c>
      <c r="AE41" s="110">
        <v>678705.09708310536</v>
      </c>
      <c r="AF41" s="110">
        <v>593866.95994771714</v>
      </c>
      <c r="AG41" s="110">
        <v>509028.82281232905</v>
      </c>
      <c r="AI41" s="110">
        <v>800</v>
      </c>
      <c r="AJ41" s="110">
        <v>933219.50848926988</v>
      </c>
    </row>
    <row r="42" spans="10:36">
      <c r="J42" s="142"/>
      <c r="K42" s="142"/>
      <c r="L42" s="142"/>
      <c r="M42" s="142"/>
      <c r="N42" s="142"/>
      <c r="O42" s="142"/>
      <c r="P42" s="142"/>
      <c r="Q42" s="142"/>
      <c r="Z42" s="154"/>
      <c r="AA42" s="110">
        <v>1000</v>
      </c>
      <c r="AB42" s="110">
        <v>831338.85314930137</v>
      </c>
      <c r="AC42" s="110">
        <v>775916.262939348</v>
      </c>
      <c r="AD42" s="110">
        <v>720493.67272939463</v>
      </c>
      <c r="AE42" s="110">
        <v>665071.08251944114</v>
      </c>
      <c r="AF42" s="110">
        <v>609648.49230948766</v>
      </c>
      <c r="AG42" s="110">
        <v>554225.90209953429</v>
      </c>
      <c r="AI42" s="110">
        <v>1000</v>
      </c>
      <c r="AJ42" s="110">
        <v>831338.85314930137</v>
      </c>
    </row>
    <row r="43" spans="10:36">
      <c r="J43" s="142"/>
      <c r="K43" s="142"/>
      <c r="L43" s="142"/>
      <c r="M43" s="142"/>
      <c r="N43" s="142"/>
      <c r="O43" s="142"/>
      <c r="P43" s="142"/>
      <c r="Q43" s="142"/>
      <c r="Z43" s="154"/>
      <c r="AA43" s="110">
        <v>1100</v>
      </c>
      <c r="AB43" s="110">
        <v>785522.26095810602</v>
      </c>
      <c r="AC43" s="110">
        <v>739315.06913704099</v>
      </c>
      <c r="AD43" s="110">
        <v>693107.87731597596</v>
      </c>
      <c r="AE43" s="110">
        <v>646900.68549491081</v>
      </c>
      <c r="AF43" s="110">
        <v>600693.49367384578</v>
      </c>
      <c r="AG43" s="110">
        <v>554486.30185278063</v>
      </c>
      <c r="AI43" s="110">
        <v>1100</v>
      </c>
      <c r="AJ43" s="110">
        <v>785522.26095810602</v>
      </c>
    </row>
    <row r="44" spans="10:36">
      <c r="Z44" s="154"/>
      <c r="AA44" s="110">
        <v>1200</v>
      </c>
      <c r="AB44" s="110">
        <v>743639.76069940359</v>
      </c>
      <c r="AC44" s="110">
        <v>704500.82592575077</v>
      </c>
      <c r="AD44" s="110">
        <v>665361.89115209796</v>
      </c>
      <c r="AE44" s="110">
        <v>626222.95637844515</v>
      </c>
      <c r="AF44" s="110">
        <v>587084.02160479221</v>
      </c>
      <c r="AG44" s="110">
        <v>547945.0868311394</v>
      </c>
      <c r="AI44" s="110">
        <v>1200</v>
      </c>
      <c r="AJ44" s="110">
        <v>743639.76069940359</v>
      </c>
    </row>
    <row r="45" spans="10:36">
      <c r="Z45" s="154"/>
      <c r="AA45" s="110">
        <v>1300</v>
      </c>
      <c r="AB45" s="110">
        <v>705508.4138351829</v>
      </c>
      <c r="AC45" s="110">
        <v>671912.77508112649</v>
      </c>
      <c r="AD45" s="110">
        <v>638317.13632707018</v>
      </c>
      <c r="AE45" s="110">
        <v>604721.49757301388</v>
      </c>
      <c r="AF45" s="110">
        <v>571125.85881895758</v>
      </c>
      <c r="AG45" s="110">
        <v>537530.22006490128</v>
      </c>
      <c r="AI45" s="110">
        <v>1300</v>
      </c>
      <c r="AJ45" s="110">
        <v>705508.4138351829</v>
      </c>
    </row>
    <row r="46" spans="10:36">
      <c r="Z46" s="154"/>
      <c r="AA46" s="110">
        <v>1400</v>
      </c>
      <c r="AB46" s="110">
        <v>670814.37853000883</v>
      </c>
      <c r="AC46" s="110">
        <v>641648.53598522581</v>
      </c>
      <c r="AD46" s="110">
        <v>612482.6934404429</v>
      </c>
      <c r="AE46" s="110">
        <v>583316.85089565988</v>
      </c>
      <c r="AF46" s="110">
        <v>554151.00835087686</v>
      </c>
      <c r="AG46" s="110">
        <v>524985.16580609395</v>
      </c>
      <c r="AI46" s="110">
        <v>1400</v>
      </c>
      <c r="AJ46" s="110">
        <v>670814.37853000883</v>
      </c>
    </row>
    <row r="47" spans="10:36">
      <c r="Z47" s="154"/>
      <c r="AA47" s="110">
        <v>1500</v>
      </c>
      <c r="AB47" s="110">
        <v>639211.68487958203</v>
      </c>
      <c r="AC47" s="110">
        <v>613643.21748439875</v>
      </c>
      <c r="AD47" s="110">
        <v>588074.75008921546</v>
      </c>
      <c r="AE47" s="110">
        <v>562506.28269403218</v>
      </c>
      <c r="AF47" s="110">
        <v>536937.8152988489</v>
      </c>
      <c r="AG47" s="110">
        <v>511369.34790366562</v>
      </c>
      <c r="AI47" s="110">
        <v>1500</v>
      </c>
      <c r="AJ47" s="110">
        <v>639211.68487958203</v>
      </c>
    </row>
    <row r="48" spans="10:36">
      <c r="Z48" s="154"/>
      <c r="AA48" s="110">
        <v>1600</v>
      </c>
      <c r="AB48" s="110">
        <v>610365.04802890634</v>
      </c>
      <c r="AC48" s="110">
        <v>587758.93513894686</v>
      </c>
      <c r="AD48" s="110">
        <v>565152.82224898739</v>
      </c>
      <c r="AE48" s="110">
        <v>542546.70935902791</v>
      </c>
      <c r="AF48" s="110">
        <v>519940.59646906838</v>
      </c>
      <c r="AG48" s="110">
        <v>497334.48357910884</v>
      </c>
      <c r="AI48" s="110">
        <v>1600</v>
      </c>
      <c r="AJ48" s="110">
        <v>610365.04802890634</v>
      </c>
    </row>
    <row r="49" spans="1:36">
      <c r="Z49" s="154"/>
      <c r="AA49" s="110">
        <v>1700</v>
      </c>
      <c r="AB49" s="110">
        <v>583966.95838628535</v>
      </c>
      <c r="AC49" s="110">
        <v>563830.16671779274</v>
      </c>
      <c r="AD49" s="110">
        <v>543693.37504930014</v>
      </c>
      <c r="AE49" s="110">
        <v>523556.58338080754</v>
      </c>
      <c r="AF49" s="110">
        <v>503419.79171231494</v>
      </c>
      <c r="AG49" s="110">
        <v>483283.00004382234</v>
      </c>
      <c r="AI49" s="110">
        <v>1700</v>
      </c>
      <c r="AJ49" s="110">
        <v>583966.95838628535</v>
      </c>
    </row>
    <row r="51" spans="1:36">
      <c r="A51" s="69" t="s">
        <v>139</v>
      </c>
    </row>
    <row r="52" spans="1:36" ht="17.25" thickBot="1">
      <c r="A52" s="25" t="s">
        <v>59</v>
      </c>
      <c r="B52" s="25"/>
      <c r="C52" s="25"/>
      <c r="D52" s="25"/>
      <c r="E52" s="25"/>
      <c r="F52" s="25"/>
      <c r="G52" s="25"/>
      <c r="J52" s="25" t="s">
        <v>143</v>
      </c>
      <c r="AB52" s="151"/>
      <c r="AC52" s="151"/>
      <c r="AD52" s="151"/>
      <c r="AE52" s="151"/>
      <c r="AF52" s="151"/>
      <c r="AG52" s="151"/>
    </row>
    <row r="53" spans="1:36" ht="15.75" thickTop="1">
      <c r="A53" s="141" t="s">
        <v>142</v>
      </c>
      <c r="B53" s="141"/>
      <c r="C53" s="141"/>
      <c r="D53" s="141"/>
      <c r="E53" s="141"/>
      <c r="F53" s="141"/>
      <c r="G53" s="141"/>
      <c r="N53" s="26" t="s">
        <v>152</v>
      </c>
      <c r="Q53" s="122"/>
      <c r="AA53" s="131"/>
      <c r="AB53" s="131"/>
      <c r="AC53" s="131"/>
      <c r="AD53" s="131"/>
      <c r="AE53" s="131"/>
      <c r="AF53" s="131"/>
      <c r="AG53" s="131"/>
    </row>
    <row r="54" spans="1:36" ht="15">
      <c r="A54" s="142"/>
      <c r="B54" s="142"/>
      <c r="C54" s="142"/>
      <c r="D54" s="142"/>
      <c r="E54" s="142"/>
      <c r="F54" s="142"/>
      <c r="G54" s="142"/>
      <c r="J54" s="24" t="s">
        <v>144</v>
      </c>
      <c r="K54" s="122">
        <v>9300000</v>
      </c>
      <c r="N54" s="114" t="s">
        <v>153</v>
      </c>
      <c r="O54" s="114" t="s">
        <v>154</v>
      </c>
      <c r="S54" s="123"/>
      <c r="Z54" s="152"/>
      <c r="AA54" s="131"/>
      <c r="AB54" s="131"/>
      <c r="AC54" s="131"/>
      <c r="AD54" s="131"/>
      <c r="AE54" s="131"/>
      <c r="AF54" s="131"/>
      <c r="AG54" s="131"/>
    </row>
    <row r="55" spans="1:36">
      <c r="A55" s="142"/>
      <c r="B55" s="142"/>
      <c r="C55" s="142"/>
      <c r="D55" s="142"/>
      <c r="E55" s="142"/>
      <c r="F55" s="142"/>
      <c r="G55" s="142"/>
      <c r="J55" s="24" t="s">
        <v>145</v>
      </c>
      <c r="K55" s="24">
        <v>20</v>
      </c>
      <c r="L55" s="24" t="s">
        <v>146</v>
      </c>
      <c r="N55" s="71">
        <v>1</v>
      </c>
      <c r="O55" s="110">
        <v>1200000</v>
      </c>
      <c r="S55" s="123"/>
      <c r="Z55" s="152"/>
      <c r="AA55" s="131"/>
      <c r="AB55" s="131"/>
      <c r="AC55" s="131"/>
      <c r="AD55" s="131"/>
      <c r="AE55" s="131"/>
      <c r="AF55" s="131"/>
      <c r="AG55" s="131"/>
    </row>
    <row r="56" spans="1:36">
      <c r="A56" s="142"/>
      <c r="B56" s="142"/>
      <c r="C56" s="142"/>
      <c r="D56" s="142"/>
      <c r="E56" s="142"/>
      <c r="F56" s="142"/>
      <c r="G56" s="142"/>
      <c r="J56" s="24" t="s">
        <v>147</v>
      </c>
      <c r="K56" s="122">
        <v>1200000</v>
      </c>
      <c r="N56" s="71">
        <v>2</v>
      </c>
      <c r="O56" s="125">
        <f t="shared" ref="O56:O74" si="7">IF(N56&lt;=$K$57,O55+O55*$K$58,O55-O55*$K$59)</f>
        <v>1320000</v>
      </c>
      <c r="Z56" s="152"/>
      <c r="AA56" s="131"/>
      <c r="AB56" s="131"/>
      <c r="AC56" s="131"/>
      <c r="AD56" s="131"/>
      <c r="AE56" s="131"/>
      <c r="AF56" s="131"/>
      <c r="AG56" s="131"/>
    </row>
    <row r="57" spans="1:36">
      <c r="A57" s="142"/>
      <c r="B57" s="142"/>
      <c r="C57" s="142"/>
      <c r="D57" s="142"/>
      <c r="E57" s="142"/>
      <c r="F57" s="142"/>
      <c r="G57" s="142"/>
      <c r="J57" s="24" t="s">
        <v>148</v>
      </c>
      <c r="K57" s="24">
        <v>8</v>
      </c>
      <c r="N57" s="71">
        <v>3</v>
      </c>
      <c r="O57" s="125">
        <f t="shared" si="7"/>
        <v>1452000</v>
      </c>
      <c r="Z57" s="152"/>
      <c r="AA57" s="131"/>
      <c r="AB57" s="131"/>
      <c r="AC57" s="131"/>
      <c r="AD57" s="131"/>
      <c r="AE57" s="131"/>
      <c r="AF57" s="131"/>
      <c r="AG57" s="131"/>
    </row>
    <row r="58" spans="1:36">
      <c r="A58" s="142"/>
      <c r="B58" s="142"/>
      <c r="C58" s="142"/>
      <c r="D58" s="142"/>
      <c r="E58" s="142"/>
      <c r="F58" s="142"/>
      <c r="G58" s="142"/>
      <c r="J58" s="24" t="s">
        <v>149</v>
      </c>
      <c r="K58" s="126">
        <v>0.1</v>
      </c>
      <c r="N58" s="71">
        <v>4</v>
      </c>
      <c r="O58" s="125">
        <f t="shared" si="7"/>
        <v>1597200</v>
      </c>
      <c r="Z58" s="152"/>
      <c r="AA58" s="131"/>
      <c r="AB58" s="131"/>
      <c r="AC58" s="131"/>
      <c r="AD58" s="131"/>
      <c r="AE58" s="131"/>
      <c r="AF58" s="131"/>
      <c r="AG58" s="131"/>
    </row>
    <row r="59" spans="1:36">
      <c r="A59" s="142"/>
      <c r="B59" s="142"/>
      <c r="C59" s="142"/>
      <c r="D59" s="142"/>
      <c r="E59" s="142"/>
      <c r="F59" s="142"/>
      <c r="G59" s="142"/>
      <c r="J59" s="24" t="s">
        <v>150</v>
      </c>
      <c r="K59" s="129">
        <v>0.05</v>
      </c>
      <c r="N59" s="71">
        <v>5</v>
      </c>
      <c r="O59" s="125">
        <f t="shared" si="7"/>
        <v>1756920</v>
      </c>
      <c r="Z59" s="152"/>
      <c r="AA59" s="131"/>
      <c r="AB59" s="131"/>
      <c r="AC59" s="131"/>
      <c r="AD59" s="131"/>
      <c r="AE59" s="131"/>
      <c r="AF59" s="131"/>
      <c r="AG59" s="131"/>
    </row>
    <row r="60" spans="1:36">
      <c r="A60" s="142"/>
      <c r="B60" s="142"/>
      <c r="C60" s="142"/>
      <c r="D60" s="142"/>
      <c r="E60" s="142"/>
      <c r="F60" s="142"/>
      <c r="G60" s="142"/>
      <c r="J60" s="24" t="s">
        <v>151</v>
      </c>
      <c r="K60" s="124">
        <v>0.12</v>
      </c>
      <c r="N60" s="71">
        <v>6</v>
      </c>
      <c r="O60" s="125">
        <f t="shared" si="7"/>
        <v>1932612</v>
      </c>
      <c r="Z60" s="152"/>
      <c r="AA60" s="131"/>
      <c r="AB60" s="131"/>
      <c r="AC60" s="131"/>
      <c r="AD60" s="131"/>
      <c r="AE60" s="131"/>
      <c r="AF60" s="131"/>
      <c r="AG60" s="131"/>
    </row>
    <row r="61" spans="1:36">
      <c r="A61" s="142"/>
      <c r="B61" s="142"/>
      <c r="C61" s="142"/>
      <c r="D61" s="142"/>
      <c r="E61" s="142"/>
      <c r="F61" s="142"/>
      <c r="G61" s="142"/>
      <c r="N61" s="71">
        <v>7</v>
      </c>
      <c r="O61" s="125">
        <f t="shared" si="7"/>
        <v>2125873.2000000002</v>
      </c>
      <c r="Z61" s="152"/>
      <c r="AA61" s="131"/>
      <c r="AB61" s="131"/>
      <c r="AC61" s="131"/>
      <c r="AD61" s="131"/>
      <c r="AE61" s="131"/>
      <c r="AF61" s="131"/>
      <c r="AG61" s="131"/>
    </row>
    <row r="62" spans="1:36">
      <c r="A62" s="142"/>
      <c r="B62" s="142"/>
      <c r="C62" s="142"/>
      <c r="D62" s="142"/>
      <c r="E62" s="142"/>
      <c r="F62" s="142"/>
      <c r="G62" s="142"/>
      <c r="J62" s="24" t="s">
        <v>156</v>
      </c>
      <c r="K62" s="127">
        <f>NPV(K60,O55:O74)</f>
        <v>12600290.735832384</v>
      </c>
      <c r="N62" s="71">
        <v>8</v>
      </c>
      <c r="O62" s="125">
        <f t="shared" si="7"/>
        <v>2338460.52</v>
      </c>
      <c r="Z62" s="152"/>
      <c r="AA62" s="131"/>
      <c r="AB62" s="131"/>
      <c r="AC62" s="131"/>
      <c r="AD62" s="131"/>
      <c r="AE62" s="131"/>
      <c r="AF62" s="131"/>
      <c r="AG62" s="131"/>
    </row>
    <row r="63" spans="1:36">
      <c r="A63" s="142"/>
      <c r="B63" s="142"/>
      <c r="C63" s="142"/>
      <c r="D63" s="142"/>
      <c r="E63" s="142"/>
      <c r="F63" s="142"/>
      <c r="G63" s="142"/>
      <c r="J63" s="24" t="s">
        <v>155</v>
      </c>
      <c r="K63" s="127">
        <f>K62-K54</f>
        <v>3300290.7358323839</v>
      </c>
      <c r="N63" s="71">
        <v>9</v>
      </c>
      <c r="O63" s="125">
        <f t="shared" si="7"/>
        <v>2221537.4939999999</v>
      </c>
      <c r="Z63" s="152"/>
      <c r="AA63" s="131"/>
      <c r="AB63" s="131"/>
      <c r="AC63" s="131"/>
      <c r="AD63" s="131"/>
      <c r="AE63" s="131"/>
      <c r="AF63" s="131"/>
      <c r="AG63" s="131"/>
    </row>
    <row r="64" spans="1:36">
      <c r="A64" s="142"/>
      <c r="B64" s="142"/>
      <c r="C64" s="142"/>
      <c r="D64" s="142"/>
      <c r="E64" s="142"/>
      <c r="F64" s="142"/>
      <c r="G64" s="142"/>
      <c r="N64" s="71">
        <v>10</v>
      </c>
      <c r="O64" s="125">
        <f t="shared" si="7"/>
        <v>2110460.6192999999</v>
      </c>
      <c r="Z64" s="152"/>
      <c r="AA64" s="131"/>
      <c r="AB64" s="131"/>
      <c r="AC64" s="131"/>
      <c r="AD64" s="131"/>
      <c r="AE64" s="131"/>
      <c r="AF64" s="131"/>
      <c r="AG64" s="131"/>
    </row>
    <row r="65" spans="1:33" ht="14.25" customHeight="1">
      <c r="A65" s="142"/>
      <c r="B65" s="142"/>
      <c r="C65" s="142"/>
      <c r="D65" s="142"/>
      <c r="E65" s="142"/>
      <c r="F65" s="142"/>
      <c r="G65" s="142"/>
      <c r="J65" s="142" t="s">
        <v>158</v>
      </c>
      <c r="K65" s="142"/>
      <c r="L65" s="142"/>
      <c r="M65" s="128"/>
      <c r="N65" s="71">
        <v>11</v>
      </c>
      <c r="O65" s="125">
        <f t="shared" si="7"/>
        <v>2004937.588335</v>
      </c>
      <c r="Z65" s="152"/>
      <c r="AA65" s="131"/>
      <c r="AB65" s="131"/>
      <c r="AC65" s="131"/>
      <c r="AD65" s="131"/>
      <c r="AE65" s="131"/>
      <c r="AF65" s="131"/>
      <c r="AG65" s="131"/>
    </row>
    <row r="66" spans="1:33" ht="14.25" customHeight="1">
      <c r="A66" s="142"/>
      <c r="B66" s="142"/>
      <c r="C66" s="142"/>
      <c r="D66" s="142"/>
      <c r="E66" s="142"/>
      <c r="F66" s="142"/>
      <c r="G66" s="142"/>
      <c r="J66" s="142"/>
      <c r="K66" s="142"/>
      <c r="L66" s="142"/>
      <c r="M66" s="128"/>
      <c r="N66" s="71">
        <v>12</v>
      </c>
      <c r="O66" s="125">
        <f t="shared" si="7"/>
        <v>1904690.7089182499</v>
      </c>
      <c r="Z66" s="152"/>
      <c r="AA66" s="131"/>
      <c r="AB66" s="131"/>
      <c r="AC66" s="131"/>
      <c r="AD66" s="131"/>
      <c r="AE66" s="131"/>
      <c r="AF66" s="131"/>
      <c r="AG66" s="131"/>
    </row>
    <row r="67" spans="1:33">
      <c r="A67" s="142"/>
      <c r="B67" s="142"/>
      <c r="C67" s="142"/>
      <c r="D67" s="142"/>
      <c r="E67" s="142"/>
      <c r="F67" s="142"/>
      <c r="G67" s="142"/>
      <c r="J67" s="142"/>
      <c r="K67" s="142"/>
      <c r="L67" s="142"/>
      <c r="M67" s="128"/>
      <c r="N67" s="71">
        <v>13</v>
      </c>
      <c r="O67" s="125">
        <f t="shared" si="7"/>
        <v>1809456.1734723374</v>
      </c>
      <c r="Z67" s="152"/>
      <c r="AA67" s="131"/>
      <c r="AB67" s="131"/>
      <c r="AC67" s="131"/>
      <c r="AD67" s="131"/>
      <c r="AE67" s="131"/>
      <c r="AF67" s="131"/>
      <c r="AG67" s="131"/>
    </row>
    <row r="68" spans="1:33">
      <c r="A68" s="142"/>
      <c r="B68" s="142"/>
      <c r="C68" s="142"/>
      <c r="D68" s="142"/>
      <c r="E68" s="142"/>
      <c r="F68" s="142"/>
      <c r="G68" s="142"/>
      <c r="J68" s="142"/>
      <c r="K68" s="142"/>
      <c r="L68" s="142"/>
      <c r="M68" s="128"/>
      <c r="N68" s="71">
        <v>14</v>
      </c>
      <c r="O68" s="125">
        <f t="shared" si="7"/>
        <v>1718983.3647987205</v>
      </c>
      <c r="Z68" s="152"/>
      <c r="AA68" s="131"/>
      <c r="AB68" s="131"/>
      <c r="AC68" s="131"/>
      <c r="AD68" s="131"/>
      <c r="AE68" s="131"/>
      <c r="AF68" s="131"/>
      <c r="AG68" s="131"/>
    </row>
    <row r="69" spans="1:33">
      <c r="A69" s="142"/>
      <c r="B69" s="142"/>
      <c r="C69" s="142"/>
      <c r="D69" s="142"/>
      <c r="E69" s="142"/>
      <c r="F69" s="142"/>
      <c r="G69" s="142"/>
      <c r="J69" s="142"/>
      <c r="K69" s="142"/>
      <c r="L69" s="142"/>
      <c r="M69" s="128"/>
      <c r="N69" s="71">
        <v>15</v>
      </c>
      <c r="O69" s="125">
        <f t="shared" si="7"/>
        <v>1633034.1965587845</v>
      </c>
      <c r="Z69" s="152"/>
      <c r="AA69" s="131"/>
      <c r="AB69" s="131"/>
      <c r="AC69" s="131"/>
      <c r="AD69" s="131"/>
      <c r="AE69" s="131"/>
      <c r="AF69" s="131"/>
      <c r="AG69" s="131"/>
    </row>
    <row r="70" spans="1:33">
      <c r="A70" s="142"/>
      <c r="B70" s="142"/>
      <c r="C70" s="142"/>
      <c r="D70" s="142"/>
      <c r="E70" s="142"/>
      <c r="F70" s="142"/>
      <c r="G70" s="142"/>
      <c r="J70" s="142"/>
      <c r="K70" s="142"/>
      <c r="L70" s="142"/>
      <c r="M70" s="128"/>
      <c r="N70" s="71">
        <v>16</v>
      </c>
      <c r="O70" s="125">
        <f t="shared" si="7"/>
        <v>1551382.4867308452</v>
      </c>
      <c r="Z70" s="152"/>
      <c r="AA70" s="131"/>
      <c r="AB70" s="131"/>
      <c r="AC70" s="131"/>
      <c r="AD70" s="131"/>
      <c r="AE70" s="131"/>
      <c r="AF70" s="131"/>
      <c r="AG70" s="131"/>
    </row>
    <row r="71" spans="1:33">
      <c r="J71" s="142"/>
      <c r="K71" s="142"/>
      <c r="L71" s="142"/>
      <c r="M71" s="128"/>
      <c r="N71" s="71">
        <v>17</v>
      </c>
      <c r="O71" s="125">
        <f t="shared" si="7"/>
        <v>1473813.3623943029</v>
      </c>
      <c r="Z71" s="152"/>
      <c r="AA71" s="131"/>
      <c r="AB71" s="131"/>
      <c r="AC71" s="131"/>
      <c r="AD71" s="131"/>
      <c r="AE71" s="131"/>
      <c r="AF71" s="131"/>
      <c r="AG71" s="131"/>
    </row>
    <row r="72" spans="1:33">
      <c r="M72" s="128"/>
      <c r="N72" s="71">
        <v>18</v>
      </c>
      <c r="O72" s="125">
        <f t="shared" si="7"/>
        <v>1400122.6942745878</v>
      </c>
      <c r="Z72" s="152"/>
      <c r="AA72" s="131"/>
      <c r="AB72" s="131"/>
      <c r="AC72" s="131"/>
      <c r="AD72" s="131"/>
      <c r="AE72" s="131"/>
      <c r="AF72" s="131"/>
      <c r="AG72" s="131"/>
    </row>
    <row r="73" spans="1:33">
      <c r="J73" s="142" t="s">
        <v>157</v>
      </c>
      <c r="K73" s="142"/>
      <c r="L73" s="142"/>
      <c r="N73" s="71">
        <v>19</v>
      </c>
      <c r="O73" s="125">
        <f t="shared" si="7"/>
        <v>1330116.5595608584</v>
      </c>
      <c r="Z73" s="152"/>
      <c r="AA73" s="131"/>
      <c r="AB73" s="131"/>
      <c r="AC73" s="131"/>
      <c r="AD73" s="131"/>
      <c r="AE73" s="131"/>
      <c r="AF73" s="131"/>
      <c r="AG73" s="131"/>
    </row>
    <row r="74" spans="1:33">
      <c r="J74" s="142"/>
      <c r="K74" s="142"/>
      <c r="L74" s="142"/>
      <c r="N74" s="71">
        <v>20</v>
      </c>
      <c r="O74" s="125">
        <f t="shared" si="7"/>
        <v>1263610.7315828155</v>
      </c>
      <c r="Z74" s="152"/>
      <c r="AA74" s="131"/>
      <c r="AB74" s="131"/>
      <c r="AC74" s="131"/>
      <c r="AD74" s="131"/>
      <c r="AE74" s="131"/>
      <c r="AF74" s="131"/>
      <c r="AG74" s="131"/>
    </row>
    <row r="75" spans="1:33" ht="14.25" customHeight="1">
      <c r="J75" s="142"/>
      <c r="K75" s="142"/>
      <c r="L75" s="142"/>
      <c r="Z75" s="152"/>
      <c r="AA75" s="131"/>
      <c r="AB75" s="131"/>
      <c r="AC75" s="131"/>
      <c r="AD75" s="131"/>
      <c r="AE75" s="131"/>
      <c r="AF75" s="131"/>
      <c r="AG75" s="131"/>
    </row>
    <row r="76" spans="1:33" ht="14.25" customHeight="1">
      <c r="J76" s="142"/>
      <c r="K76" s="142"/>
      <c r="L76" s="142"/>
      <c r="Z76" s="152"/>
      <c r="AA76" s="131"/>
      <c r="AB76" s="131"/>
      <c r="AC76" s="131"/>
      <c r="AD76" s="131"/>
      <c r="AE76" s="131"/>
      <c r="AF76" s="131"/>
      <c r="AG76" s="131"/>
    </row>
    <row r="77" spans="1:33">
      <c r="J77" s="39"/>
      <c r="K77" s="39"/>
      <c r="L77" s="39"/>
      <c r="Z77" s="152"/>
      <c r="AA77" s="131"/>
      <c r="AB77" s="131"/>
      <c r="AC77" s="131"/>
      <c r="AD77" s="131"/>
      <c r="AE77" s="131"/>
      <c r="AF77" s="131"/>
      <c r="AG77" s="131"/>
    </row>
    <row r="78" spans="1:33">
      <c r="J78" s="39"/>
      <c r="K78" s="39"/>
      <c r="L78" s="39"/>
      <c r="Z78" s="152"/>
      <c r="AA78" s="131"/>
      <c r="AB78" s="131"/>
      <c r="AC78" s="131"/>
      <c r="AD78" s="131"/>
      <c r="AE78" s="131"/>
      <c r="AF78" s="131"/>
      <c r="AG78" s="131"/>
    </row>
    <row r="79" spans="1:33">
      <c r="Z79" s="152"/>
      <c r="AA79" s="131"/>
      <c r="AB79" s="131"/>
      <c r="AC79" s="131"/>
      <c r="AD79" s="131"/>
      <c r="AE79" s="131"/>
      <c r="AF79" s="131"/>
      <c r="AG79" s="131"/>
    </row>
    <row r="80" spans="1:33">
      <c r="Z80" s="152"/>
      <c r="AA80" s="131"/>
      <c r="AB80" s="131"/>
      <c r="AC80" s="131"/>
      <c r="AD80" s="131"/>
      <c r="AE80" s="131"/>
      <c r="AF80" s="131"/>
      <c r="AG80" s="131"/>
    </row>
    <row r="81" spans="26:33">
      <c r="Z81" s="152"/>
      <c r="AA81" s="131"/>
      <c r="AB81" s="131"/>
      <c r="AC81" s="131"/>
      <c r="AD81" s="131"/>
      <c r="AE81" s="131"/>
      <c r="AF81" s="131"/>
      <c r="AG81" s="131"/>
    </row>
    <row r="82" spans="26:33">
      <c r="Z82" s="152"/>
      <c r="AA82" s="131"/>
      <c r="AB82" s="131"/>
      <c r="AC82" s="131"/>
      <c r="AD82" s="131"/>
      <c r="AE82" s="131"/>
      <c r="AF82" s="131"/>
      <c r="AG82" s="131"/>
    </row>
    <row r="83" spans="26:33">
      <c r="Z83" s="152"/>
      <c r="AA83" s="131"/>
      <c r="AB83" s="131"/>
      <c r="AC83" s="131"/>
      <c r="AD83" s="131"/>
      <c r="AE83" s="131"/>
      <c r="AF83" s="131"/>
      <c r="AG83" s="131"/>
    </row>
    <row r="84" spans="26:33">
      <c r="Z84" s="152"/>
      <c r="AA84" s="131"/>
      <c r="AB84" s="131"/>
      <c r="AC84" s="131"/>
      <c r="AD84" s="131"/>
      <c r="AE84" s="131"/>
      <c r="AF84" s="131"/>
      <c r="AG84" s="131"/>
    </row>
    <row r="85" spans="26:33">
      <c r="Z85" s="152"/>
      <c r="AA85" s="131"/>
      <c r="AB85" s="131"/>
      <c r="AC85" s="131"/>
      <c r="AD85" s="131"/>
      <c r="AE85" s="131"/>
      <c r="AF85" s="131"/>
      <c r="AG85" s="131"/>
    </row>
    <row r="86" spans="26:33">
      <c r="Z86" s="152"/>
      <c r="AA86" s="131"/>
      <c r="AB86" s="131"/>
      <c r="AC86" s="131"/>
      <c r="AD86" s="131"/>
      <c r="AE86" s="131"/>
      <c r="AF86" s="131"/>
      <c r="AG86" s="131"/>
    </row>
    <row r="87" spans="26:33">
      <c r="Z87" s="152"/>
      <c r="AA87" s="131"/>
      <c r="AB87" s="131"/>
      <c r="AC87" s="131"/>
      <c r="AD87" s="131"/>
      <c r="AE87" s="131"/>
      <c r="AF87" s="131"/>
      <c r="AG87" s="131"/>
    </row>
    <row r="88" spans="26:33">
      <c r="Z88" s="152"/>
      <c r="AA88" s="131"/>
      <c r="AB88" s="131"/>
      <c r="AC88" s="131"/>
      <c r="AD88" s="131"/>
      <c r="AE88" s="131"/>
      <c r="AF88" s="131"/>
      <c r="AG88" s="131"/>
    </row>
    <row r="89" spans="26:33">
      <c r="Z89" s="152"/>
      <c r="AA89" s="131"/>
      <c r="AB89" s="131"/>
      <c r="AC89" s="131"/>
      <c r="AD89" s="131"/>
      <c r="AE89" s="131"/>
      <c r="AF89" s="131"/>
      <c r="AG89" s="131"/>
    </row>
    <row r="90" spans="26:33">
      <c r="Z90" s="152"/>
      <c r="AA90" s="131"/>
      <c r="AB90" s="131"/>
      <c r="AC90" s="131"/>
      <c r="AD90" s="131"/>
      <c r="AE90" s="131"/>
      <c r="AF90" s="131"/>
      <c r="AG90" s="131"/>
    </row>
    <row r="91" spans="26:33">
      <c r="Z91" s="152"/>
      <c r="AA91" s="131"/>
      <c r="AB91" s="131"/>
      <c r="AC91" s="131"/>
      <c r="AD91" s="131"/>
      <c r="AE91" s="131"/>
      <c r="AF91" s="131"/>
      <c r="AG91" s="131"/>
    </row>
    <row r="92" spans="26:33">
      <c r="Z92" s="152"/>
      <c r="AA92" s="131"/>
      <c r="AB92" s="131"/>
      <c r="AC92" s="131"/>
      <c r="AD92" s="131"/>
      <c r="AE92" s="131"/>
      <c r="AF92" s="131"/>
      <c r="AG92" s="131"/>
    </row>
    <row r="93" spans="26:33">
      <c r="Z93" s="152"/>
      <c r="AA93" s="131"/>
      <c r="AB93" s="131"/>
      <c r="AC93" s="131"/>
      <c r="AD93" s="131"/>
      <c r="AE93" s="131"/>
      <c r="AF93" s="131"/>
      <c r="AG93" s="131"/>
    </row>
    <row r="94" spans="26:33">
      <c r="Z94" s="152"/>
      <c r="AA94" s="131"/>
      <c r="AB94" s="131"/>
      <c r="AC94" s="131"/>
      <c r="AD94" s="131"/>
      <c r="AE94" s="131"/>
      <c r="AF94" s="131"/>
      <c r="AG94" s="131"/>
    </row>
    <row r="95" spans="26:33">
      <c r="Z95" s="152"/>
      <c r="AA95" s="131"/>
      <c r="AB95" s="131"/>
      <c r="AC95" s="131"/>
      <c r="AD95" s="131"/>
      <c r="AE95" s="131"/>
      <c r="AF95" s="131"/>
      <c r="AG95" s="131"/>
    </row>
    <row r="96" spans="26:33">
      <c r="Z96" s="152"/>
      <c r="AA96" s="131"/>
      <c r="AB96" s="131"/>
      <c r="AC96" s="131"/>
      <c r="AD96" s="131"/>
      <c r="AE96" s="131"/>
      <c r="AF96" s="131"/>
      <c r="AG96" s="131"/>
    </row>
  </sheetData>
  <mergeCells count="22">
    <mergeCell ref="O26:Q26"/>
    <mergeCell ref="J41:Q43"/>
    <mergeCell ref="AB4:AG4"/>
    <mergeCell ref="Z6:Z49"/>
    <mergeCell ref="T26:X29"/>
    <mergeCell ref="A4:G6"/>
    <mergeCell ref="A21:G21"/>
    <mergeCell ref="A22:G22"/>
    <mergeCell ref="J4:Q6"/>
    <mergeCell ref="J22:K22"/>
    <mergeCell ref="L22:M22"/>
    <mergeCell ref="K26:M26"/>
    <mergeCell ref="T3:X4"/>
    <mergeCell ref="T15:X18"/>
    <mergeCell ref="T20:X21"/>
    <mergeCell ref="T22:X24"/>
    <mergeCell ref="N22:O22"/>
    <mergeCell ref="AB52:AG52"/>
    <mergeCell ref="Z54:Z96"/>
    <mergeCell ref="J65:L71"/>
    <mergeCell ref="J73:L76"/>
    <mergeCell ref="A53:G70"/>
  </mergeCells>
  <conditionalFormatting sqref="AB6:AB49">
    <cfRule type="top10" dxfId="9" priority="9" rank="1"/>
  </conditionalFormatting>
  <conditionalFormatting sqref="AB54:AB96">
    <cfRule type="top10" dxfId="8" priority="22" rank="1"/>
  </conditionalFormatting>
  <conditionalFormatting sqref="AC6:AC49">
    <cfRule type="top10" dxfId="7" priority="7" rank="1"/>
  </conditionalFormatting>
  <conditionalFormatting sqref="AD6:AD49">
    <cfRule type="top10" dxfId="6" priority="5" rank="1"/>
    <cfRule type="top10" dxfId="5" priority="6" rank="1"/>
  </conditionalFormatting>
  <conditionalFormatting sqref="AE6:AE49">
    <cfRule type="top10" dxfId="4" priority="4" rank="1"/>
  </conditionalFormatting>
  <conditionalFormatting sqref="AF6:AF49">
    <cfRule type="top10" dxfId="3" priority="3" rank="1"/>
  </conditionalFormatting>
  <conditionalFormatting sqref="AG6:AG49">
    <cfRule type="top10" dxfId="2" priority="2" rank="1"/>
  </conditionalFormatting>
  <conditionalFormatting sqref="AJ6:AJ49">
    <cfRule type="top10" dxfId="1" priority="20" rank="1"/>
    <cfRule type="cellIs" dxfId="0" priority="21" operator="equal">
      <formula>"maximum"</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9DA38-FFA8-402E-89D5-29A3DBC42B69}">
  <sheetPr>
    <tabColor theme="4"/>
  </sheetPr>
  <dimension ref="A1:Y74"/>
  <sheetViews>
    <sheetView showGridLines="0" zoomScale="84" workbookViewId="0">
      <selection activeCell="D48" sqref="D48"/>
    </sheetView>
  </sheetViews>
  <sheetFormatPr defaultRowHeight="14.25"/>
  <cols>
    <col min="1" max="1" width="25.875" customWidth="1"/>
    <col min="2" max="2" width="18.625" customWidth="1"/>
    <col min="3" max="5" width="18.75" customWidth="1"/>
    <col min="7" max="7" width="27.625" customWidth="1"/>
    <col min="8" max="8" width="14" customWidth="1"/>
    <col min="9" max="12" width="14.375" customWidth="1"/>
    <col min="13" max="13" width="15.125" customWidth="1"/>
    <col min="14" max="22" width="14.75" customWidth="1"/>
    <col min="23" max="25" width="13.125" customWidth="1"/>
  </cols>
  <sheetData>
    <row r="1" spans="1:16" ht="20.25" thickBot="1">
      <c r="A1" s="14" t="s">
        <v>168</v>
      </c>
      <c r="B1" s="14"/>
      <c r="C1" s="14"/>
      <c r="D1" s="14"/>
      <c r="E1" s="14"/>
    </row>
    <row r="2" spans="1:16" ht="15" thickTop="1">
      <c r="A2" s="30" t="s">
        <v>184</v>
      </c>
    </row>
    <row r="3" spans="1:16" ht="17.25" thickBot="1">
      <c r="A3" s="22" t="s">
        <v>59</v>
      </c>
      <c r="B3" s="22"/>
      <c r="C3" s="22"/>
      <c r="D3" s="22"/>
      <c r="E3" s="22"/>
      <c r="G3" s="22" t="s">
        <v>188</v>
      </c>
    </row>
    <row r="4" spans="1:16" ht="15" customHeight="1" thickTop="1">
      <c r="A4" s="142" t="s">
        <v>185</v>
      </c>
      <c r="B4" s="142"/>
      <c r="C4" s="142"/>
      <c r="D4" s="142"/>
      <c r="E4" s="142"/>
      <c r="F4" s="39"/>
      <c r="G4" s="24" t="s">
        <v>227</v>
      </c>
      <c r="P4" s="5" t="s">
        <v>180</v>
      </c>
    </row>
    <row r="5" spans="1:16">
      <c r="A5" s="142"/>
      <c r="B5" s="142"/>
      <c r="C5" s="142"/>
      <c r="D5" s="142"/>
      <c r="E5" s="142"/>
      <c r="F5" s="39"/>
      <c r="H5" s="162" t="s">
        <v>190</v>
      </c>
      <c r="I5" s="162" t="s">
        <v>189</v>
      </c>
      <c r="P5" t="s">
        <v>203</v>
      </c>
    </row>
    <row r="6" spans="1:16">
      <c r="A6" s="142"/>
      <c r="B6" s="142"/>
      <c r="C6" s="142"/>
      <c r="D6" s="142"/>
      <c r="E6" s="142"/>
      <c r="F6" s="39"/>
      <c r="G6" s="39" t="s">
        <v>186</v>
      </c>
      <c r="H6" s="160">
        <v>560</v>
      </c>
      <c r="I6" s="160">
        <v>1200</v>
      </c>
    </row>
    <row r="7" spans="1:16">
      <c r="A7" s="142"/>
      <c r="B7" s="142"/>
      <c r="C7" s="142"/>
      <c r="D7" s="142"/>
      <c r="E7" s="142"/>
      <c r="F7" s="39"/>
      <c r="G7" s="39"/>
    </row>
    <row r="8" spans="1:16">
      <c r="A8" s="142"/>
      <c r="B8" s="142"/>
      <c r="C8" s="142"/>
      <c r="D8" s="142"/>
      <c r="E8" s="142"/>
      <c r="F8" s="39"/>
      <c r="G8" s="39" t="s">
        <v>193</v>
      </c>
      <c r="J8" t="s">
        <v>194</v>
      </c>
    </row>
    <row r="9" spans="1:16">
      <c r="A9" s="142"/>
      <c r="B9" s="142"/>
      <c r="C9" s="142"/>
      <c r="D9" s="142"/>
      <c r="E9" s="142"/>
      <c r="F9" s="39"/>
      <c r="G9" s="39" t="s">
        <v>48</v>
      </c>
      <c r="H9" s="162">
        <v>300</v>
      </c>
      <c r="I9" s="162">
        <v>450</v>
      </c>
      <c r="J9" s="164">
        <f>SUMPRODUCT($H$6:$I$6,H9:I9)</f>
        <v>708000</v>
      </c>
      <c r="K9" s="162"/>
      <c r="L9" s="162"/>
    </row>
    <row r="10" spans="1:16">
      <c r="A10" s="142"/>
      <c r="B10" s="142"/>
      <c r="C10" s="142"/>
      <c r="D10" s="142"/>
      <c r="E10" s="142"/>
      <c r="F10" s="39"/>
      <c r="G10" s="39" t="s">
        <v>85</v>
      </c>
      <c r="H10" s="162"/>
      <c r="I10" s="162"/>
      <c r="J10" s="164">
        <f>SUM(J11:J13)</f>
        <v>508400</v>
      </c>
      <c r="K10" s="162"/>
      <c r="L10" s="162"/>
    </row>
    <row r="11" spans="1:16">
      <c r="A11" s="142"/>
      <c r="B11" s="142"/>
      <c r="C11" s="142"/>
      <c r="D11" s="142"/>
      <c r="E11" s="142"/>
      <c r="F11" s="39"/>
      <c r="G11" s="163" t="s">
        <v>195</v>
      </c>
      <c r="H11" s="162">
        <v>150</v>
      </c>
      <c r="I11" s="162">
        <v>225</v>
      </c>
      <c r="J11" s="165">
        <f>SUMPRODUCT($H$6:$I$6,H11:I11)</f>
        <v>354000</v>
      </c>
      <c r="K11" s="162"/>
      <c r="L11" s="162"/>
    </row>
    <row r="12" spans="1:16">
      <c r="A12" s="142"/>
      <c r="B12" s="142"/>
      <c r="C12" s="142"/>
      <c r="D12" s="142"/>
      <c r="E12" s="142"/>
      <c r="F12" s="39"/>
      <c r="G12" s="163" t="s">
        <v>200</v>
      </c>
      <c r="H12" s="162">
        <v>5</v>
      </c>
      <c r="I12" s="162">
        <v>6</v>
      </c>
      <c r="J12" s="164">
        <f>SUMPRODUCT($H$6:$I$6,H12:I12)*J16</f>
        <v>110000</v>
      </c>
    </row>
    <row r="13" spans="1:16">
      <c r="A13" s="142"/>
      <c r="B13" s="142"/>
      <c r="C13" s="142"/>
      <c r="D13" s="142"/>
      <c r="E13" s="142"/>
      <c r="F13" s="39"/>
      <c r="G13" s="163" t="s">
        <v>201</v>
      </c>
      <c r="H13" s="162">
        <v>1</v>
      </c>
      <c r="I13" s="162">
        <v>2</v>
      </c>
      <c r="J13" s="164">
        <f>SUMPRODUCT($H$6:$I$6,H13:I13)*J17</f>
        <v>44400</v>
      </c>
    </row>
    <row r="14" spans="1:16">
      <c r="A14" s="142"/>
      <c r="B14" s="142"/>
      <c r="C14" s="142"/>
      <c r="D14" s="142"/>
      <c r="E14" s="142"/>
      <c r="F14" s="39"/>
    </row>
    <row r="15" spans="1:16">
      <c r="A15" s="142"/>
      <c r="B15" s="142"/>
      <c r="C15" s="142"/>
      <c r="D15" s="142"/>
      <c r="E15" s="142"/>
      <c r="F15" s="39"/>
      <c r="G15" s="121" t="s">
        <v>202</v>
      </c>
    </row>
    <row r="16" spans="1:16">
      <c r="A16" s="142"/>
      <c r="B16" s="142"/>
      <c r="C16" s="142"/>
      <c r="D16" s="142"/>
      <c r="E16" s="142"/>
      <c r="F16" s="39"/>
      <c r="G16" s="163" t="s">
        <v>198</v>
      </c>
      <c r="J16" s="9">
        <v>11</v>
      </c>
    </row>
    <row r="17" spans="1:16">
      <c r="A17" s="142"/>
      <c r="B17" s="142"/>
      <c r="C17" s="142"/>
      <c r="D17" s="142"/>
      <c r="E17" s="142"/>
      <c r="F17" s="39"/>
      <c r="G17" s="163" t="s">
        <v>199</v>
      </c>
      <c r="J17" s="9">
        <v>15</v>
      </c>
    </row>
    <row r="18" spans="1:16">
      <c r="A18" s="142"/>
      <c r="B18" s="142"/>
      <c r="C18" s="142"/>
      <c r="D18" s="142"/>
      <c r="E18" s="142"/>
      <c r="F18" s="39"/>
    </row>
    <row r="19" spans="1:16">
      <c r="A19" s="142"/>
      <c r="B19" s="142"/>
      <c r="C19" s="142"/>
      <c r="D19" s="142"/>
      <c r="E19" s="142"/>
      <c r="F19" s="39"/>
      <c r="G19" s="39" t="s">
        <v>78</v>
      </c>
      <c r="I19" s="162"/>
      <c r="J19" s="166">
        <f>J9-J10</f>
        <v>199600</v>
      </c>
      <c r="K19" s="162"/>
      <c r="L19" s="162"/>
    </row>
    <row r="20" spans="1:16">
      <c r="A20" s="142"/>
      <c r="B20" s="142"/>
      <c r="C20" s="142"/>
      <c r="D20" s="142"/>
      <c r="E20" s="142"/>
      <c r="F20" s="39"/>
      <c r="G20" s="39"/>
    </row>
    <row r="21" spans="1:16">
      <c r="A21" s="142"/>
      <c r="B21" s="142"/>
      <c r="C21" s="142"/>
      <c r="D21" s="142"/>
      <c r="E21" s="142"/>
      <c r="F21" s="39"/>
      <c r="G21" s="39"/>
    </row>
    <row r="22" spans="1:16" ht="15">
      <c r="A22" s="142"/>
      <c r="B22" s="142"/>
      <c r="C22" s="142"/>
      <c r="D22" s="142"/>
      <c r="E22" s="142"/>
      <c r="F22" s="39"/>
      <c r="G22" s="170" t="s">
        <v>187</v>
      </c>
      <c r="H22" s="171" t="s">
        <v>204</v>
      </c>
      <c r="I22" s="171" t="s">
        <v>204</v>
      </c>
      <c r="J22" s="167" t="s">
        <v>205</v>
      </c>
      <c r="K22" s="168"/>
      <c r="L22" s="169"/>
    </row>
    <row r="23" spans="1:16">
      <c r="A23" s="142"/>
      <c r="B23" s="142"/>
      <c r="C23" s="142"/>
      <c r="D23" s="142"/>
      <c r="E23" s="142"/>
      <c r="G23" s="133" t="s">
        <v>191</v>
      </c>
      <c r="H23" s="161">
        <v>1</v>
      </c>
      <c r="I23" s="161"/>
      <c r="J23" s="161">
        <f>SUMPRODUCT($H$6:$I$6,H23:I23)</f>
        <v>560</v>
      </c>
      <c r="K23" s="161" t="s">
        <v>175</v>
      </c>
      <c r="L23" s="161">
        <v>600</v>
      </c>
    </row>
    <row r="24" spans="1:16">
      <c r="A24" s="142"/>
      <c r="B24" s="142"/>
      <c r="C24" s="142"/>
      <c r="D24" s="142"/>
      <c r="E24" s="142"/>
      <c r="G24" s="133" t="s">
        <v>192</v>
      </c>
      <c r="H24" s="161"/>
      <c r="I24" s="161">
        <v>1</v>
      </c>
      <c r="J24" s="161">
        <f>SUMPRODUCT($H$6:$I$6,H24:I24)</f>
        <v>1200</v>
      </c>
      <c r="K24" s="161" t="s">
        <v>175</v>
      </c>
      <c r="L24" s="161">
        <v>1200</v>
      </c>
    </row>
    <row r="25" spans="1:16">
      <c r="G25" s="133" t="s">
        <v>196</v>
      </c>
      <c r="H25" s="161">
        <v>5</v>
      </c>
      <c r="I25" s="161">
        <v>6</v>
      </c>
      <c r="J25" s="161">
        <f>SUMPRODUCT($H$6:$I$6,H25:I25)</f>
        <v>10000</v>
      </c>
      <c r="K25" s="161" t="s">
        <v>175</v>
      </c>
      <c r="L25" s="161">
        <v>10000</v>
      </c>
    </row>
    <row r="26" spans="1:16">
      <c r="G26" s="133" t="s">
        <v>197</v>
      </c>
      <c r="H26" s="161">
        <v>1</v>
      </c>
      <c r="I26" s="161">
        <v>2</v>
      </c>
      <c r="J26" s="161">
        <f>SUMPRODUCT($H$6:$I$6,H26:I26)</f>
        <v>2960</v>
      </c>
      <c r="K26" s="161" t="s">
        <v>175</v>
      </c>
      <c r="L26" s="161">
        <v>3000</v>
      </c>
    </row>
    <row r="29" spans="1:16">
      <c r="A29" s="30" t="s">
        <v>206</v>
      </c>
    </row>
    <row r="30" spans="1:16" ht="17.25" thickBot="1">
      <c r="A30" s="22" t="s">
        <v>59</v>
      </c>
      <c r="B30" s="22"/>
      <c r="C30" s="22"/>
      <c r="D30" s="22"/>
      <c r="E30" s="22"/>
    </row>
    <row r="31" spans="1:16" ht="15.75" thickTop="1">
      <c r="A31" s="141" t="s">
        <v>207</v>
      </c>
      <c r="B31" s="141"/>
      <c r="C31" s="141"/>
      <c r="D31" s="141"/>
      <c r="E31" s="141"/>
      <c r="G31" s="24" t="s">
        <v>227</v>
      </c>
      <c r="P31" s="5" t="s">
        <v>180</v>
      </c>
    </row>
    <row r="32" spans="1:16" ht="15">
      <c r="A32" s="172"/>
      <c r="B32" s="172"/>
      <c r="C32" s="172"/>
      <c r="D32" s="172"/>
      <c r="E32" s="172"/>
      <c r="H32" s="175" t="s">
        <v>211</v>
      </c>
      <c r="I32" s="175" t="s">
        <v>212</v>
      </c>
      <c r="J32" s="175" t="s">
        <v>213</v>
      </c>
      <c r="K32" s="175" t="s">
        <v>214</v>
      </c>
      <c r="L32" s="175" t="s">
        <v>215</v>
      </c>
      <c r="P32" s="187" t="s">
        <v>228</v>
      </c>
    </row>
    <row r="33" spans="1:16">
      <c r="A33" s="172"/>
      <c r="B33" s="172"/>
      <c r="C33" s="172"/>
      <c r="D33" s="172"/>
      <c r="E33" s="172"/>
      <c r="G33" t="s">
        <v>186</v>
      </c>
      <c r="H33" s="183">
        <v>50000</v>
      </c>
      <c r="I33" s="183">
        <v>0</v>
      </c>
      <c r="J33" s="183">
        <v>0</v>
      </c>
      <c r="K33" s="183">
        <v>175000</v>
      </c>
      <c r="L33" s="183">
        <v>25000</v>
      </c>
      <c r="P33" s="187" t="s">
        <v>229</v>
      </c>
    </row>
    <row r="34" spans="1:16">
      <c r="A34" s="172"/>
      <c r="B34" s="172"/>
      <c r="C34" s="172"/>
      <c r="D34" s="172"/>
      <c r="E34" s="172"/>
      <c r="G34" t="s">
        <v>219</v>
      </c>
      <c r="H34" s="184">
        <v>5.2999999999999999E-2</v>
      </c>
      <c r="I34" s="184">
        <v>6.8000000000000005E-2</v>
      </c>
      <c r="J34" s="184">
        <v>4.9000000000000002E-2</v>
      </c>
      <c r="K34" s="184">
        <v>8.4000000000000005E-2</v>
      </c>
      <c r="L34" s="184">
        <v>0.11799999999999999</v>
      </c>
      <c r="P34" t="s">
        <v>230</v>
      </c>
    </row>
    <row r="35" spans="1:16">
      <c r="A35" s="172"/>
      <c r="B35" s="172"/>
      <c r="C35" s="172"/>
      <c r="D35" s="172"/>
      <c r="E35" s="172"/>
    </row>
    <row r="36" spans="1:16">
      <c r="A36" s="172"/>
      <c r="B36" s="172"/>
      <c r="C36" s="172"/>
      <c r="D36" s="172"/>
      <c r="E36" s="172"/>
    </row>
    <row r="37" spans="1:16">
      <c r="A37" s="172"/>
      <c r="B37" s="172"/>
      <c r="C37" s="172"/>
      <c r="D37" s="172"/>
      <c r="E37" s="172"/>
    </row>
    <row r="38" spans="1:16">
      <c r="A38" s="172"/>
      <c r="B38" s="172"/>
      <c r="C38" s="172"/>
      <c r="D38" s="172"/>
      <c r="E38" s="172"/>
      <c r="G38" t="s">
        <v>217</v>
      </c>
    </row>
    <row r="39" spans="1:16">
      <c r="A39" s="172"/>
      <c r="B39" s="172"/>
      <c r="C39" s="172"/>
      <c r="D39" s="172"/>
      <c r="E39" s="172"/>
      <c r="G39" t="s">
        <v>218</v>
      </c>
      <c r="H39" s="186">
        <f>SUMPRODUCT(H33:L33,H34:L34)</f>
        <v>20300</v>
      </c>
    </row>
    <row r="40" spans="1:16">
      <c r="A40" s="172"/>
      <c r="B40" s="172"/>
      <c r="C40" s="172"/>
      <c r="D40" s="172"/>
      <c r="E40" s="172"/>
    </row>
    <row r="41" spans="1:16" ht="15">
      <c r="A41" s="173" t="s">
        <v>208</v>
      </c>
      <c r="B41" s="173" t="s">
        <v>209</v>
      </c>
      <c r="G41" s="176" t="s">
        <v>187</v>
      </c>
      <c r="H41" s="177" t="s">
        <v>204</v>
      </c>
      <c r="I41" s="177" t="s">
        <v>204</v>
      </c>
      <c r="J41" s="177" t="s">
        <v>204</v>
      </c>
      <c r="K41" s="177" t="s">
        <v>204</v>
      </c>
      <c r="L41" s="177" t="s">
        <v>204</v>
      </c>
      <c r="M41" s="178" t="s">
        <v>205</v>
      </c>
      <c r="N41" s="179"/>
      <c r="O41" s="180"/>
    </row>
    <row r="42" spans="1:16" ht="28.5">
      <c r="A42" s="40" t="s">
        <v>220</v>
      </c>
      <c r="B42" s="174">
        <v>5.3</v>
      </c>
      <c r="G42" s="181" t="s">
        <v>210</v>
      </c>
      <c r="H42" s="19">
        <v>1</v>
      </c>
      <c r="I42" s="19"/>
      <c r="J42" s="19"/>
      <c r="K42" s="19"/>
      <c r="L42" s="19"/>
      <c r="M42" s="19">
        <f>SUMPRODUCT($H$33:$L$33,H42:L42)</f>
        <v>50000</v>
      </c>
      <c r="N42" s="19" t="s">
        <v>174</v>
      </c>
      <c r="O42" s="19">
        <f>20%*O45</f>
        <v>50000</v>
      </c>
    </row>
    <row r="43" spans="1:16" ht="28.5">
      <c r="A43" s="40" t="s">
        <v>221</v>
      </c>
      <c r="B43" s="174">
        <v>6.8</v>
      </c>
      <c r="C43" s="182" t="s">
        <v>226</v>
      </c>
      <c r="G43" s="181" t="s">
        <v>225</v>
      </c>
      <c r="H43" s="19"/>
      <c r="I43" s="19">
        <v>1</v>
      </c>
      <c r="J43" s="19">
        <v>1</v>
      </c>
      <c r="K43" s="19">
        <v>1</v>
      </c>
      <c r="L43" s="19"/>
      <c r="M43" s="19">
        <f>SUMPRODUCT($H$33:$L$33,H43:L43)</f>
        <v>175000</v>
      </c>
      <c r="N43" s="19" t="s">
        <v>174</v>
      </c>
      <c r="O43" s="19">
        <f>40%*O45</f>
        <v>100000</v>
      </c>
    </row>
    <row r="44" spans="1:16" ht="42.75">
      <c r="A44" s="40" t="s">
        <v>222</v>
      </c>
      <c r="B44" s="174">
        <v>4.9000000000000004</v>
      </c>
      <c r="C44" s="182" t="s">
        <v>226</v>
      </c>
      <c r="G44" s="181" t="s">
        <v>216</v>
      </c>
      <c r="H44" s="185">
        <v>-0.5</v>
      </c>
      <c r="I44" s="19"/>
      <c r="J44" s="19"/>
      <c r="K44" s="19"/>
      <c r="L44" s="19">
        <v>1</v>
      </c>
      <c r="M44" s="19">
        <f>SUMPRODUCT($H$33:$L$33,H44:L44)</f>
        <v>0</v>
      </c>
      <c r="N44" s="19" t="s">
        <v>175</v>
      </c>
      <c r="O44" s="19">
        <v>0</v>
      </c>
    </row>
    <row r="45" spans="1:16">
      <c r="A45" s="40" t="s">
        <v>223</v>
      </c>
      <c r="B45" s="174">
        <v>8.4</v>
      </c>
      <c r="C45" s="182" t="s">
        <v>226</v>
      </c>
      <c r="G45" s="181" t="s">
        <v>34</v>
      </c>
      <c r="H45" s="19">
        <v>1</v>
      </c>
      <c r="I45" s="19">
        <v>1</v>
      </c>
      <c r="J45" s="19">
        <v>1</v>
      </c>
      <c r="K45" s="19">
        <v>1</v>
      </c>
      <c r="L45" s="19">
        <v>1</v>
      </c>
      <c r="M45" s="19">
        <f>SUMPRODUCT($H$33:$L$33,H45:L45)</f>
        <v>250000</v>
      </c>
      <c r="N45" s="19" t="s">
        <v>175</v>
      </c>
      <c r="O45" s="19">
        <v>250000</v>
      </c>
    </row>
    <row r="46" spans="1:16">
      <c r="A46" s="40" t="s">
        <v>224</v>
      </c>
      <c r="B46" s="174">
        <v>11.8</v>
      </c>
    </row>
    <row r="49" spans="1:25">
      <c r="A49" s="30" t="s">
        <v>231</v>
      </c>
    </row>
    <row r="50" spans="1:25" ht="17.25" thickBot="1">
      <c r="A50" s="22" t="s">
        <v>59</v>
      </c>
      <c r="B50" s="22"/>
      <c r="C50" s="22"/>
      <c r="D50" s="22"/>
      <c r="E50" s="22"/>
      <c r="G50" s="24" t="s">
        <v>227</v>
      </c>
    </row>
    <row r="51" spans="1:25" ht="15.75" thickTop="1" thickBot="1">
      <c r="A51" s="141" t="s">
        <v>232</v>
      </c>
      <c r="B51" s="141"/>
      <c r="C51" s="141"/>
      <c r="D51" s="141"/>
      <c r="E51" s="141"/>
    </row>
    <row r="52" spans="1:25" ht="15" customHeight="1">
      <c r="A52" s="142"/>
      <c r="B52" s="142"/>
      <c r="C52" s="142"/>
      <c r="D52" s="142"/>
      <c r="E52" s="142"/>
      <c r="H52" s="188" t="s">
        <v>258</v>
      </c>
      <c r="I52" s="189"/>
      <c r="J52" s="190"/>
      <c r="K52" s="188" t="s">
        <v>264</v>
      </c>
      <c r="L52" s="189"/>
      <c r="M52" s="190"/>
      <c r="N52" s="188" t="s">
        <v>265</v>
      </c>
      <c r="O52" s="189"/>
      <c r="P52" s="190"/>
      <c r="Q52" s="188" t="s">
        <v>266</v>
      </c>
      <c r="R52" s="189"/>
      <c r="S52" s="190"/>
      <c r="T52" s="188" t="s">
        <v>267</v>
      </c>
      <c r="U52" s="189"/>
      <c r="V52" s="190"/>
    </row>
    <row r="53" spans="1:25">
      <c r="A53" s="142"/>
      <c r="B53" s="142"/>
      <c r="C53" s="142"/>
      <c r="D53" s="142"/>
      <c r="E53" s="142"/>
      <c r="H53" s="191" t="s">
        <v>243</v>
      </c>
      <c r="I53" s="192" t="s">
        <v>244</v>
      </c>
      <c r="J53" s="193" t="s">
        <v>245</v>
      </c>
      <c r="K53" s="191" t="s">
        <v>246</v>
      </c>
      <c r="L53" s="192" t="s">
        <v>247</v>
      </c>
      <c r="M53" s="193" t="s">
        <v>248</v>
      </c>
      <c r="N53" s="191" t="s">
        <v>249</v>
      </c>
      <c r="O53" s="192" t="s">
        <v>250</v>
      </c>
      <c r="P53" s="193" t="s">
        <v>251</v>
      </c>
      <c r="Q53" s="191" t="s">
        <v>252</v>
      </c>
      <c r="R53" s="192" t="s">
        <v>253</v>
      </c>
      <c r="S53" s="193" t="s">
        <v>254</v>
      </c>
      <c r="T53" s="191" t="s">
        <v>255</v>
      </c>
      <c r="U53" s="192" t="s">
        <v>256</v>
      </c>
      <c r="V53" s="193" t="s">
        <v>257</v>
      </c>
    </row>
    <row r="54" spans="1:25">
      <c r="A54" s="142"/>
      <c r="B54" s="142"/>
      <c r="C54" s="142"/>
      <c r="D54" s="142"/>
      <c r="E54" s="142"/>
      <c r="G54" t="s">
        <v>186</v>
      </c>
      <c r="H54" s="194">
        <v>400</v>
      </c>
      <c r="I54" s="195">
        <v>0</v>
      </c>
      <c r="J54" s="196">
        <v>300</v>
      </c>
      <c r="K54" s="194">
        <v>500</v>
      </c>
      <c r="L54" s="195">
        <v>0</v>
      </c>
      <c r="M54" s="196">
        <v>0</v>
      </c>
      <c r="N54" s="194">
        <v>0</v>
      </c>
      <c r="O54" s="195">
        <v>100</v>
      </c>
      <c r="P54" s="196">
        <v>0</v>
      </c>
      <c r="Q54" s="194">
        <v>0</v>
      </c>
      <c r="R54" s="195">
        <v>800</v>
      </c>
      <c r="S54" s="196">
        <v>0</v>
      </c>
      <c r="T54" s="194">
        <v>0</v>
      </c>
      <c r="U54" s="195">
        <v>0</v>
      </c>
      <c r="V54" s="196">
        <v>400</v>
      </c>
    </row>
    <row r="55" spans="1:25" ht="15" thickBot="1">
      <c r="A55" s="142"/>
      <c r="B55" s="142"/>
      <c r="C55" s="142"/>
      <c r="D55" s="142"/>
      <c r="E55" s="142"/>
      <c r="G55" t="s">
        <v>260</v>
      </c>
      <c r="H55" s="197">
        <v>5</v>
      </c>
      <c r="I55" s="198">
        <v>8</v>
      </c>
      <c r="J55" s="199">
        <v>6</v>
      </c>
      <c r="K55" s="197">
        <v>0</v>
      </c>
      <c r="L55" s="198">
        <v>4</v>
      </c>
      <c r="M55" s="199">
        <v>12</v>
      </c>
      <c r="N55" s="197">
        <v>4</v>
      </c>
      <c r="O55" s="198">
        <v>0</v>
      </c>
      <c r="P55" s="199">
        <v>7</v>
      </c>
      <c r="Q55" s="197">
        <v>7</v>
      </c>
      <c r="R55" s="198">
        <v>2</v>
      </c>
      <c r="S55" s="199">
        <v>5</v>
      </c>
      <c r="T55" s="197">
        <v>12</v>
      </c>
      <c r="U55" s="198">
        <v>7</v>
      </c>
      <c r="V55" s="199">
        <v>0</v>
      </c>
    </row>
    <row r="56" spans="1:25">
      <c r="A56" s="142"/>
      <c r="B56" s="142"/>
      <c r="C56" s="142"/>
      <c r="D56" s="142"/>
      <c r="E56" s="142"/>
    </row>
    <row r="57" spans="1:25">
      <c r="A57" s="142"/>
      <c r="B57" s="142"/>
      <c r="C57" s="142"/>
      <c r="D57" s="142"/>
      <c r="E57" s="142"/>
      <c r="G57" t="s">
        <v>242</v>
      </c>
    </row>
    <row r="58" spans="1:25">
      <c r="A58" s="142"/>
      <c r="B58" s="142"/>
      <c r="C58" s="142"/>
      <c r="D58" s="142"/>
      <c r="E58" s="142"/>
      <c r="G58" t="s">
        <v>259</v>
      </c>
      <c r="H58" s="208">
        <f>SUMPRODUCT(H54:V54,H55:V55)</f>
        <v>5400</v>
      </c>
    </row>
    <row r="60" spans="1:25" ht="30">
      <c r="A60" s="173" t="s">
        <v>233</v>
      </c>
      <c r="B60" s="173" t="s">
        <v>234</v>
      </c>
      <c r="C60" s="173" t="s">
        <v>235</v>
      </c>
      <c r="D60" s="173" t="s">
        <v>236</v>
      </c>
      <c r="E60" s="173" t="s">
        <v>237</v>
      </c>
      <c r="G60" s="176" t="s">
        <v>187</v>
      </c>
      <c r="H60" s="200"/>
      <c r="I60" s="200"/>
      <c r="J60" s="200"/>
      <c r="K60" s="200"/>
      <c r="L60" s="200"/>
      <c r="M60" s="200"/>
      <c r="N60" s="200"/>
      <c r="O60" s="200"/>
      <c r="P60" s="200"/>
      <c r="Q60" s="200"/>
      <c r="R60" s="200"/>
      <c r="S60" s="200"/>
      <c r="T60" s="200"/>
      <c r="U60" s="200"/>
      <c r="V60" s="200"/>
      <c r="W60" s="201" t="s">
        <v>274</v>
      </c>
      <c r="X60" s="202"/>
      <c r="Y60" s="203"/>
    </row>
    <row r="61" spans="1:25">
      <c r="A61" s="174" t="s">
        <v>238</v>
      </c>
      <c r="B61" s="174">
        <v>5</v>
      </c>
      <c r="C61" s="174">
        <v>8</v>
      </c>
      <c r="D61" s="174">
        <v>6</v>
      </c>
      <c r="E61" s="174">
        <v>700</v>
      </c>
      <c r="G61" s="200" t="s">
        <v>261</v>
      </c>
      <c r="H61" s="19">
        <v>1</v>
      </c>
      <c r="I61" s="19"/>
      <c r="J61" s="19"/>
      <c r="K61" s="19">
        <v>1</v>
      </c>
      <c r="L61" s="19"/>
      <c r="M61" s="19"/>
      <c r="N61" s="19">
        <v>1</v>
      </c>
      <c r="O61" s="19"/>
      <c r="P61" s="19"/>
      <c r="Q61" s="19">
        <v>1</v>
      </c>
      <c r="R61" s="19"/>
      <c r="S61" s="19"/>
      <c r="T61" s="19">
        <v>1</v>
      </c>
      <c r="U61" s="19"/>
      <c r="V61" s="19"/>
      <c r="W61" s="19">
        <f>SUMPRODUCT($H$54:$V$54,H61:V61)</f>
        <v>900</v>
      </c>
      <c r="X61" s="19" t="s">
        <v>175</v>
      </c>
      <c r="Y61" s="19">
        <v>900</v>
      </c>
    </row>
    <row r="62" spans="1:25">
      <c r="A62" s="174" t="s">
        <v>239</v>
      </c>
      <c r="B62" s="174">
        <v>0</v>
      </c>
      <c r="C62" s="174">
        <v>4</v>
      </c>
      <c r="D62" s="174">
        <v>12</v>
      </c>
      <c r="E62" s="174">
        <v>500</v>
      </c>
      <c r="G62" s="200" t="s">
        <v>262</v>
      </c>
      <c r="H62" s="19"/>
      <c r="I62" s="19">
        <v>1</v>
      </c>
      <c r="J62" s="19"/>
      <c r="K62" s="19"/>
      <c r="L62" s="19">
        <v>1</v>
      </c>
      <c r="M62" s="19"/>
      <c r="N62" s="19"/>
      <c r="O62" s="19">
        <v>1</v>
      </c>
      <c r="P62" s="19"/>
      <c r="Q62" s="19"/>
      <c r="R62" s="19">
        <v>1</v>
      </c>
      <c r="S62" s="19"/>
      <c r="T62" s="19"/>
      <c r="U62" s="19">
        <v>1</v>
      </c>
      <c r="V62" s="19"/>
      <c r="W62" s="19">
        <f t="shared" ref="W62:W68" si="0">SUMPRODUCT($H$54:$V$54,H62:V62)</f>
        <v>900</v>
      </c>
      <c r="X62" s="19" t="s">
        <v>175</v>
      </c>
      <c r="Y62" s="19">
        <v>900</v>
      </c>
    </row>
    <row r="63" spans="1:25">
      <c r="A63" s="174" t="s">
        <v>96</v>
      </c>
      <c r="B63" s="174">
        <v>4</v>
      </c>
      <c r="C63" s="174">
        <v>0</v>
      </c>
      <c r="D63" s="174">
        <v>7</v>
      </c>
      <c r="E63" s="174">
        <v>100</v>
      </c>
      <c r="G63" s="200" t="s">
        <v>263</v>
      </c>
      <c r="H63" s="19"/>
      <c r="I63" s="19"/>
      <c r="J63" s="19">
        <v>1</v>
      </c>
      <c r="K63" s="19"/>
      <c r="L63" s="19"/>
      <c r="M63" s="19">
        <v>1</v>
      </c>
      <c r="N63" s="19"/>
      <c r="O63" s="19"/>
      <c r="P63" s="19">
        <v>1</v>
      </c>
      <c r="Q63" s="19"/>
      <c r="R63" s="19"/>
      <c r="S63" s="19">
        <v>1</v>
      </c>
      <c r="T63" s="19"/>
      <c r="U63" s="19"/>
      <c r="V63" s="19">
        <v>1</v>
      </c>
      <c r="W63" s="19">
        <f t="shared" si="0"/>
        <v>700</v>
      </c>
      <c r="X63" s="19" t="s">
        <v>175</v>
      </c>
      <c r="Y63" s="19">
        <v>900</v>
      </c>
    </row>
    <row r="64" spans="1:25">
      <c r="A64" s="174" t="s">
        <v>240</v>
      </c>
      <c r="B64" s="174">
        <v>7</v>
      </c>
      <c r="C64" s="174">
        <v>2</v>
      </c>
      <c r="D64" s="174">
        <v>5</v>
      </c>
      <c r="E64" s="174">
        <v>800</v>
      </c>
      <c r="G64" s="204" t="s">
        <v>268</v>
      </c>
      <c r="H64" s="19">
        <v>1</v>
      </c>
      <c r="I64" s="19">
        <v>1</v>
      </c>
      <c r="J64" s="19">
        <v>1</v>
      </c>
      <c r="K64" s="19"/>
      <c r="L64" s="19"/>
      <c r="M64" s="19"/>
      <c r="N64" s="19"/>
      <c r="O64" s="19"/>
      <c r="P64" s="19"/>
      <c r="Q64" s="19"/>
      <c r="R64" s="19"/>
      <c r="S64" s="19"/>
      <c r="T64" s="19"/>
      <c r="U64" s="19"/>
      <c r="V64" s="19"/>
      <c r="W64" s="19">
        <f t="shared" si="0"/>
        <v>700</v>
      </c>
      <c r="X64" s="19" t="s">
        <v>273</v>
      </c>
      <c r="Y64" s="19">
        <v>700</v>
      </c>
    </row>
    <row r="65" spans="1:25">
      <c r="A65" s="174" t="s">
        <v>241</v>
      </c>
      <c r="B65" s="174">
        <v>12</v>
      </c>
      <c r="C65" s="174">
        <v>7</v>
      </c>
      <c r="D65" s="174">
        <v>0</v>
      </c>
      <c r="E65" s="174">
        <v>400</v>
      </c>
      <c r="G65" s="204" t="s">
        <v>269</v>
      </c>
      <c r="H65" s="19"/>
      <c r="I65" s="19"/>
      <c r="J65" s="19"/>
      <c r="K65" s="19">
        <v>1</v>
      </c>
      <c r="L65" s="19">
        <v>1</v>
      </c>
      <c r="M65" s="19">
        <v>1</v>
      </c>
      <c r="N65" s="19"/>
      <c r="O65" s="19"/>
      <c r="P65" s="19"/>
      <c r="Q65" s="19"/>
      <c r="R65" s="19"/>
      <c r="S65" s="19"/>
      <c r="T65" s="19"/>
      <c r="U65" s="19"/>
      <c r="V65" s="19"/>
      <c r="W65" s="19">
        <f t="shared" si="0"/>
        <v>500</v>
      </c>
      <c r="X65" s="19" t="s">
        <v>273</v>
      </c>
      <c r="Y65" s="19">
        <v>500</v>
      </c>
    </row>
    <row r="66" spans="1:25">
      <c r="G66" s="204" t="s">
        <v>270</v>
      </c>
      <c r="H66" s="19"/>
      <c r="I66" s="19"/>
      <c r="J66" s="19"/>
      <c r="K66" s="19"/>
      <c r="L66" s="19"/>
      <c r="M66" s="19"/>
      <c r="N66" s="19">
        <v>1</v>
      </c>
      <c r="O66" s="19">
        <v>1</v>
      </c>
      <c r="P66" s="19">
        <v>1</v>
      </c>
      <c r="Q66" s="19"/>
      <c r="R66" s="19"/>
      <c r="S66" s="19"/>
      <c r="T66" s="19"/>
      <c r="U66" s="19"/>
      <c r="V66" s="19"/>
      <c r="W66" s="19">
        <f t="shared" si="0"/>
        <v>100</v>
      </c>
      <c r="X66" s="19" t="s">
        <v>273</v>
      </c>
      <c r="Y66" s="19">
        <v>100</v>
      </c>
    </row>
    <row r="67" spans="1:25">
      <c r="G67" s="204" t="s">
        <v>271</v>
      </c>
      <c r="H67" s="19"/>
      <c r="I67" s="19"/>
      <c r="J67" s="19"/>
      <c r="K67" s="19"/>
      <c r="L67" s="19"/>
      <c r="M67" s="19"/>
      <c r="N67" s="19"/>
      <c r="O67" s="19"/>
      <c r="P67" s="19"/>
      <c r="Q67" s="19">
        <v>1</v>
      </c>
      <c r="R67" s="19">
        <v>1</v>
      </c>
      <c r="S67" s="19">
        <v>1</v>
      </c>
      <c r="T67" s="19"/>
      <c r="U67" s="19"/>
      <c r="V67" s="19"/>
      <c r="W67" s="19">
        <f t="shared" si="0"/>
        <v>800</v>
      </c>
      <c r="X67" s="19" t="s">
        <v>273</v>
      </c>
      <c r="Y67" s="19">
        <v>800</v>
      </c>
    </row>
    <row r="68" spans="1:25">
      <c r="G68" s="204" t="s">
        <v>272</v>
      </c>
      <c r="H68" s="19"/>
      <c r="I68" s="19"/>
      <c r="J68" s="19"/>
      <c r="K68" s="19"/>
      <c r="L68" s="19"/>
      <c r="M68" s="19"/>
      <c r="N68" s="19"/>
      <c r="O68" s="19"/>
      <c r="P68" s="19"/>
      <c r="Q68" s="19"/>
      <c r="R68" s="19"/>
      <c r="S68" s="19"/>
      <c r="T68" s="19">
        <v>1</v>
      </c>
      <c r="U68" s="19">
        <v>1</v>
      </c>
      <c r="V68" s="19">
        <v>1</v>
      </c>
      <c r="W68" s="19">
        <f>SUMPRODUCT($H$54:$V$54,H68:V68)</f>
        <v>400</v>
      </c>
      <c r="X68" s="19" t="s">
        <v>273</v>
      </c>
      <c r="Y68" s="19">
        <v>400</v>
      </c>
    </row>
    <row r="70" spans="1:25" ht="15">
      <c r="G70" s="206" t="s">
        <v>180</v>
      </c>
    </row>
    <row r="71" spans="1:25">
      <c r="G71" s="205" t="s">
        <v>278</v>
      </c>
    </row>
    <row r="72" spans="1:25">
      <c r="G72" s="207" t="s">
        <v>275</v>
      </c>
    </row>
    <row r="73" spans="1:25">
      <c r="G73" s="187" t="s">
        <v>277</v>
      </c>
    </row>
    <row r="74" spans="1:25">
      <c r="G74" s="187" t="s">
        <v>276</v>
      </c>
    </row>
  </sheetData>
  <mergeCells count="11">
    <mergeCell ref="T52:V52"/>
    <mergeCell ref="W60:Y60"/>
    <mergeCell ref="A51:E58"/>
    <mergeCell ref="H52:J52"/>
    <mergeCell ref="K52:M52"/>
    <mergeCell ref="N52:P52"/>
    <mergeCell ref="Q52:S52"/>
    <mergeCell ref="A4:E24"/>
    <mergeCell ref="J22:L22"/>
    <mergeCell ref="A31:E40"/>
    <mergeCell ref="M41:O41"/>
  </mergeCells>
  <phoneticPr fontId="22" type="noConversion"/>
  <pageMargins left="0.7" right="0.7" top="0.75" bottom="0.75" header="0.3" footer="0.3"/>
  <extLst>
    <ext xmlns:x15="http://schemas.microsoft.com/office/spreadsheetml/2010/11/main" uri="{F7C9EE02-42E1-4005-9D12-6889AFFD525C}">
      <x15:webExtensions xmlns:xm="http://schemas.microsoft.com/office/excel/2006/main">
        <x15:webExtension appRef="{49F15552-878A-48F7-AAE8-A3AAF6FA7E15}">
          <xm:f>'4. Biz Optimization (Lin. Prg.)'!1:1048576</xm:f>
        </x15:webExtension>
        <x15:webExtension appRef="{C3428D60-327A-4CB3-B579-EC8CC7EEF58B}">
          <xm:f>'4. Biz Optimization (Lin. Prg.)'!#REF!</xm:f>
        </x15:webExtension>
        <x15:webExtension appRef="{424FCC44-A235-4724-9FD8-B000A03481DC}">
          <xm:f>'4. Biz Optimization (Lin. Prg.)'!#REF!</xm:f>
        </x15:webExtension>
        <x15:webExtension appRef="{6832E5CF-44BB-4D76-AC6E-D9A0BB4D0735}">
          <xm:f>'4. Biz Optimization (Lin. Prg.)'!1:1048576</xm:f>
        </x15:webExtension>
        <x15:webExtension appRef="{050409B8-6362-40A2-8589-27C8D4C32F30}">
          <xm:f>'4. Biz Optimization (Lin. Prg.)'!#REF!</xm:f>
        </x15:webExtension>
        <x15:webExtension appRef="{9375CD2D-3952-4C82-A9E6-0A6DCF8EB488}">
          <xm:f>'4. Biz Optimization (Lin. Prg.)'!1:1048576</xm:f>
        </x15:webExtension>
        <x15:webExtension appRef="{BAAF54CA-B7EE-4ACC-BE09-2C590142A1EB}">
          <xm:f>'4. Biz Optimization (Lin. Prg.)'!#REF!</xm:f>
        </x15:webExtension>
        <x15:webExtension appRef="{A7E982D9-A771-434D-95AC-61CFAD21CFDF}">
          <xm:f>'4. Biz Optimization (Lin. Prg.)'!#REF!</xm:f>
        </x15:webExtension>
        <x15:webExtension appRef="{7F73C38E-0D7E-48C0-A77E-7971BC97B09F}">
          <xm:f>'4. Biz Optimization (Lin. Prg.)'!#REF!</xm:f>
        </x15:webExtension>
      </x15:webExtens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3E2C3-2F06-49D5-AAE6-4CFD26C226C8}">
  <dimension ref="A3:L18"/>
  <sheetViews>
    <sheetView workbookViewId="0">
      <selection activeCell="C23" sqref="C23"/>
    </sheetView>
  </sheetViews>
  <sheetFormatPr defaultRowHeight="14.25"/>
  <sheetData>
    <row r="3" spans="1:12">
      <c r="H3" t="s">
        <v>182</v>
      </c>
      <c r="I3" t="s">
        <v>183</v>
      </c>
    </row>
    <row r="4" spans="1:12">
      <c r="A4" s="142" t="s">
        <v>169</v>
      </c>
      <c r="B4" s="142"/>
      <c r="C4" s="142"/>
      <c r="D4" s="142"/>
      <c r="E4" s="142"/>
      <c r="G4" t="s">
        <v>170</v>
      </c>
      <c r="H4" s="134">
        <v>0</v>
      </c>
      <c r="I4" s="134">
        <v>80</v>
      </c>
    </row>
    <row r="5" spans="1:12">
      <c r="A5" s="142"/>
      <c r="B5" s="142"/>
      <c r="C5" s="142"/>
      <c r="D5" s="142"/>
      <c r="E5" s="142"/>
      <c r="H5">
        <v>3</v>
      </c>
      <c r="I5">
        <v>6</v>
      </c>
      <c r="J5" t="s">
        <v>173</v>
      </c>
    </row>
    <row r="6" spans="1:12">
      <c r="A6" s="142"/>
      <c r="B6" s="142"/>
      <c r="C6" s="142"/>
      <c r="D6" s="142"/>
      <c r="E6" s="142"/>
      <c r="G6" t="s">
        <v>172</v>
      </c>
    </row>
    <row r="7" spans="1:12">
      <c r="A7" s="142"/>
      <c r="B7" s="142"/>
      <c r="C7" s="142"/>
      <c r="D7" s="142"/>
      <c r="E7" s="142"/>
      <c r="G7" t="s">
        <v>78</v>
      </c>
      <c r="H7" s="137">
        <f>SUMPRODUCT($J$5:$K$5,H5:I5)</f>
        <v>0</v>
      </c>
    </row>
    <row r="8" spans="1:12">
      <c r="A8" s="142"/>
      <c r="B8" s="142"/>
      <c r="C8" s="142"/>
      <c r="D8" s="142"/>
      <c r="E8" s="142"/>
    </row>
    <row r="9" spans="1:12">
      <c r="A9" s="142"/>
      <c r="B9" s="142"/>
      <c r="C9" s="142"/>
      <c r="D9" s="142"/>
      <c r="E9" s="142"/>
    </row>
    <row r="10" spans="1:12">
      <c r="A10" s="142"/>
      <c r="B10" s="142"/>
      <c r="C10" s="142"/>
      <c r="D10" s="142"/>
      <c r="E10" s="142"/>
      <c r="J10" t="s">
        <v>176</v>
      </c>
    </row>
    <row r="11" spans="1:12">
      <c r="A11" s="142"/>
      <c r="B11" s="142"/>
      <c r="C11" s="142"/>
      <c r="D11" s="142"/>
      <c r="E11" s="142"/>
      <c r="G11" s="135" t="s">
        <v>171</v>
      </c>
      <c r="H11" s="135"/>
      <c r="I11" s="135"/>
      <c r="J11" s="135" t="s">
        <v>179</v>
      </c>
      <c r="K11" s="135" t="s">
        <v>177</v>
      </c>
      <c r="L11" s="135" t="s">
        <v>178</v>
      </c>
    </row>
    <row r="12" spans="1:12">
      <c r="A12" s="142"/>
      <c r="B12" s="142"/>
      <c r="C12" s="142"/>
      <c r="D12" s="142"/>
      <c r="E12" s="142"/>
      <c r="G12" s="135"/>
      <c r="H12" s="136">
        <v>2</v>
      </c>
      <c r="I12" s="136">
        <v>1</v>
      </c>
      <c r="J12" s="136">
        <f>SUMPRODUCT($J$5:$K$5,H12:I12)</f>
        <v>0</v>
      </c>
      <c r="K12" s="135" t="s">
        <v>175</v>
      </c>
      <c r="L12" s="136">
        <v>120</v>
      </c>
    </row>
    <row r="13" spans="1:12">
      <c r="A13" s="142"/>
      <c r="B13" s="142"/>
      <c r="C13" s="142"/>
      <c r="D13" s="142"/>
      <c r="E13" s="142"/>
      <c r="G13" s="135"/>
      <c r="H13" s="135">
        <v>2</v>
      </c>
      <c r="I13" s="135">
        <v>3</v>
      </c>
      <c r="J13" s="136">
        <f>SUMPRODUCT($J$5:$K$5,H13:I13)</f>
        <v>0</v>
      </c>
      <c r="K13" s="135" t="s">
        <v>175</v>
      </c>
      <c r="L13" s="135">
        <v>240</v>
      </c>
    </row>
    <row r="14" spans="1:12">
      <c r="A14" s="142"/>
      <c r="B14" s="142"/>
      <c r="C14" s="142"/>
      <c r="D14" s="142"/>
      <c r="E14" s="142"/>
      <c r="G14" s="135"/>
      <c r="H14" s="135"/>
      <c r="I14" s="135"/>
      <c r="J14" s="136"/>
      <c r="K14" s="135"/>
      <c r="L14" s="135"/>
    </row>
    <row r="15" spans="1:12">
      <c r="A15" s="142"/>
      <c r="B15" s="142"/>
      <c r="C15" s="142"/>
      <c r="D15" s="142"/>
      <c r="E15" s="142"/>
      <c r="G15" s="135"/>
      <c r="H15" s="135"/>
      <c r="I15" s="135"/>
      <c r="J15" s="136"/>
      <c r="K15" s="135"/>
      <c r="L15" s="135"/>
    </row>
    <row r="16" spans="1:12">
      <c r="A16" s="142"/>
      <c r="B16" s="142"/>
      <c r="C16" s="142"/>
      <c r="D16" s="142"/>
      <c r="E16" s="142"/>
    </row>
    <row r="17" spans="1:7">
      <c r="A17" s="142"/>
      <c r="B17" s="142"/>
      <c r="C17" s="142"/>
      <c r="D17" s="142"/>
      <c r="E17" s="142"/>
      <c r="G17" t="s">
        <v>180</v>
      </c>
    </row>
    <row r="18" spans="1:7">
      <c r="G18" t="s">
        <v>181</v>
      </c>
    </row>
  </sheetData>
  <mergeCells count="1">
    <mergeCell ref="A4: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How to read</vt:lpstr>
      <vt:lpstr>1. Basic Budgeting</vt:lpstr>
      <vt:lpstr>2. Modeling Profit &amp; Break-Even</vt:lpstr>
      <vt:lpstr>3. Decision Analysis (Reg. NPV)</vt:lpstr>
      <vt:lpstr>4. Biz Optimization (Lin. Prg.)</vt:lpstr>
      <vt:lpstr>LP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trangquynh205@outlook.com</dc:creator>
  <cp:lastModifiedBy>Quynh Trang Nguyen</cp:lastModifiedBy>
  <dcterms:created xsi:type="dcterms:W3CDTF">2023-10-14T16:18:20Z</dcterms:created>
  <dcterms:modified xsi:type="dcterms:W3CDTF">2024-01-14T16:10:00Z</dcterms:modified>
</cp:coreProperties>
</file>