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ongkieu/Documents/ExcelProject - Data Analysis/"/>
    </mc:Choice>
  </mc:AlternateContent>
  <xr:revisionPtr revIDLastSave="0" documentId="8_{718E05A0-FAEC-F04A-90C5-D08FE3ABA346}" xr6:coauthVersionLast="47" xr6:coauthVersionMax="47" xr10:uidLastSave="{00000000-0000-0000-0000-000000000000}"/>
  <bookViews>
    <workbookView xWindow="9220" yWindow="760" windowWidth="21160" windowHeight="17760" activeTab="2" xr2:uid="{D6F40422-C4A9-7C44-A844-FD97086FBBD7}"/>
  </bookViews>
  <sheets>
    <sheet name="Order Summary" sheetId="6" r:id="rId1"/>
    <sheet name="Inventory" sheetId="4" r:id="rId2"/>
    <sheet name="Vendor 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F13" i="6"/>
  <c r="G21" i="4"/>
  <c r="H21" i="4"/>
  <c r="J21" i="4"/>
  <c r="K9" i="4"/>
  <c r="K11" i="4"/>
  <c r="G4" i="4"/>
  <c r="G5" i="4" s="1"/>
  <c r="J9" i="4"/>
  <c r="J10" i="4"/>
  <c r="J11" i="4"/>
  <c r="J12" i="4"/>
  <c r="K12" i="4" s="1"/>
  <c r="J13" i="4"/>
  <c r="K13" i="4" s="1"/>
  <c r="J14" i="4"/>
  <c r="K14" i="4" s="1"/>
  <c r="J15" i="4"/>
  <c r="K15" i="4" s="1"/>
  <c r="J16" i="4"/>
  <c r="J17" i="4"/>
  <c r="K17" i="4" s="1"/>
  <c r="J18" i="4"/>
  <c r="J19" i="4"/>
  <c r="K19" i="4" s="1"/>
  <c r="J20" i="4"/>
  <c r="K20" i="4" s="1"/>
  <c r="J8" i="4"/>
  <c r="D5" i="4"/>
  <c r="H10" i="4"/>
  <c r="H12" i="4"/>
  <c r="H13" i="4"/>
  <c r="H14" i="4"/>
  <c r="H15" i="4"/>
  <c r="D8" i="4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G20" i="4"/>
  <c r="H20" i="4" s="1"/>
  <c r="G19" i="4"/>
  <c r="H19" i="4" s="1"/>
  <c r="G18" i="4"/>
  <c r="H18" i="4" s="1"/>
  <c r="G17" i="4"/>
  <c r="H17" i="4" s="1"/>
  <c r="G16" i="4"/>
  <c r="H16" i="4" s="1"/>
  <c r="G15" i="4"/>
  <c r="G14" i="4"/>
  <c r="G13" i="4"/>
  <c r="G12" i="4"/>
  <c r="G11" i="4"/>
  <c r="H11" i="4" s="1"/>
  <c r="G10" i="4"/>
  <c r="G9" i="4"/>
  <c r="H9" i="4" s="1"/>
  <c r="G8" i="4"/>
  <c r="H8" i="4" s="1"/>
  <c r="D13" i="4" l="1"/>
  <c r="D12" i="4"/>
  <c r="D11" i="4"/>
  <c r="D10" i="4"/>
  <c r="D9" i="4"/>
  <c r="G12" i="6" a="1"/>
  <c r="G12" i="6" s="1"/>
  <c r="D21" i="4"/>
  <c r="D20" i="4"/>
  <c r="D19" i="4"/>
  <c r="D17" i="4"/>
  <c r="D16" i="4"/>
  <c r="C7" i="6" s="1" a="1"/>
  <c r="D15" i="4"/>
  <c r="G13" i="6" a="1"/>
  <c r="G13" i="6" s="1"/>
  <c r="D18" i="4"/>
  <c r="D14" i="4"/>
  <c r="D4" i="4"/>
  <c r="K21" i="4"/>
  <c r="K18" i="4"/>
  <c r="K16" i="4"/>
  <c r="K10" i="4"/>
  <c r="K8" i="4"/>
  <c r="G11" i="6" l="1" a="1"/>
  <c r="G11" i="6" s="1"/>
  <c r="E11" i="6"/>
  <c r="F11" i="6" s="1"/>
  <c r="E10" i="6"/>
  <c r="F10" i="6" s="1"/>
  <c r="E8" i="6"/>
  <c r="F8" i="6" s="1"/>
  <c r="E9" i="6"/>
  <c r="F9" i="6" s="1"/>
  <c r="G10" i="6" a="1"/>
  <c r="G10" i="6" s="1"/>
  <c r="G9" i="6" a="1"/>
  <c r="G9" i="6" s="1"/>
  <c r="G8" i="6" a="1"/>
  <c r="G8" i="6" s="1"/>
  <c r="C7" i="6"/>
  <c r="E7" i="6" s="1"/>
  <c r="F7" i="6" s="1"/>
  <c r="D4" i="6" s="1"/>
  <c r="G7" i="6" l="1" a="1"/>
  <c r="G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<sst xmlns="http://schemas.openxmlformats.org/spreadsheetml/2006/main" count="152" uniqueCount="90">
  <si>
    <t>Description</t>
  </si>
  <si>
    <t>Reorder?</t>
  </si>
  <si>
    <t>Vendor</t>
  </si>
  <si>
    <t>Contact</t>
  </si>
  <si>
    <t>Website</t>
  </si>
  <si>
    <t>Contact Name</t>
  </si>
  <si>
    <t>Email Address</t>
  </si>
  <si>
    <t>Vendor &amp; Product Information</t>
  </si>
  <si>
    <t>Inventory Management System</t>
  </si>
  <si>
    <t>Current Date</t>
  </si>
  <si>
    <t>Day of Week</t>
  </si>
  <si>
    <t>Quantity</t>
  </si>
  <si>
    <t>Total Cost</t>
  </si>
  <si>
    <t>Total Order</t>
  </si>
  <si>
    <t>Daily Order Summary</t>
  </si>
  <si>
    <t>Product ID</t>
  </si>
  <si>
    <t>Product</t>
  </si>
  <si>
    <t>Typical 
Order Time</t>
  </si>
  <si>
    <t>Josh Smith</t>
  </si>
  <si>
    <t>Mike Dean</t>
  </si>
  <si>
    <t>Mikel Artena</t>
  </si>
  <si>
    <t>Sam Allargine</t>
  </si>
  <si>
    <t>Arya Janne</t>
  </si>
  <si>
    <t>Miriam Adelson</t>
  </si>
  <si>
    <t>Ken Griffin</t>
  </si>
  <si>
    <t>Jeff Yass</t>
  </si>
  <si>
    <t>Jim Simons</t>
  </si>
  <si>
    <t>Link</t>
  </si>
  <si>
    <t>Total Value</t>
  </si>
  <si>
    <t>Quantity in 
Stock</t>
  </si>
  <si>
    <t>Reorder
Threshold</t>
  </si>
  <si>
    <t>Unique Products</t>
  </si>
  <si>
    <t>Inventory Value</t>
  </si>
  <si>
    <t>ETA</t>
  </si>
  <si>
    <t>Sale Price 
per Unit</t>
  </si>
  <si>
    <t>Email</t>
  </si>
  <si>
    <t>ID</t>
  </si>
  <si>
    <t>Fading Light</t>
  </si>
  <si>
    <t>Silent Echo</t>
  </si>
  <si>
    <t>Iron Sky</t>
  </si>
  <si>
    <t>Wanderlust</t>
  </si>
  <si>
    <t>Lost Horizon</t>
  </si>
  <si>
    <t>Silver Veil</t>
  </si>
  <si>
    <t>The Win</t>
  </si>
  <si>
    <t>The Hollow</t>
  </si>
  <si>
    <t>Broker</t>
  </si>
  <si>
    <t>Frostfire</t>
  </si>
  <si>
    <t>The Tide</t>
  </si>
  <si>
    <t>Crimson</t>
  </si>
  <si>
    <t>Shattered</t>
  </si>
  <si>
    <t>Voidwalker</t>
  </si>
  <si>
    <t>Hidden Path</t>
  </si>
  <si>
    <t>Blackthron</t>
  </si>
  <si>
    <t>Echofall</t>
  </si>
  <si>
    <t>The Nexus</t>
  </si>
  <si>
    <t>Moonshade</t>
  </si>
  <si>
    <t>Shadowfall</t>
  </si>
  <si>
    <t>Thriller</t>
  </si>
  <si>
    <t>Mystery</t>
  </si>
  <si>
    <t>Sci-Fi</t>
  </si>
  <si>
    <t>Travel</t>
  </si>
  <si>
    <t>Fantasy</t>
  </si>
  <si>
    <t>History</t>
  </si>
  <si>
    <t>Horror</t>
  </si>
  <si>
    <t>Drama</t>
  </si>
  <si>
    <t>Dystopian</t>
  </si>
  <si>
    <t>Action</t>
  </si>
  <si>
    <t>Romance</t>
  </si>
  <si>
    <t>Urban</t>
  </si>
  <si>
    <t>Starlight Publishing</t>
  </si>
  <si>
    <t>Ironclad Books</t>
  </si>
  <si>
    <t>EchoBay Press</t>
  </si>
  <si>
    <t>Silverleaf Editions</t>
  </si>
  <si>
    <t>Moonlit House</t>
  </si>
  <si>
    <t>Phoenix Publishers</t>
  </si>
  <si>
    <t>Shadow Media</t>
  </si>
  <si>
    <t>Nexus Literary</t>
  </si>
  <si>
    <t>Veilbound House</t>
  </si>
  <si>
    <t>Shattered Sky</t>
  </si>
  <si>
    <t>josh.smith@gmail.com</t>
  </si>
  <si>
    <t>mike.dean@gmail.com</t>
  </si>
  <si>
    <t>mikel.artena@gmail.com</t>
  </si>
  <si>
    <t>sam.allargine@gmail.com</t>
  </si>
  <si>
    <t>arya.janne@gmail.com</t>
  </si>
  <si>
    <t>miriam.adelson@gmail.com</t>
  </si>
  <si>
    <t>ken.griffin@gmail.com</t>
  </si>
  <si>
    <t>jim.simons@gmail.com</t>
  </si>
  <si>
    <t>jeff.yass@gmail.com</t>
  </si>
  <si>
    <t>Cost per 
Unit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</si>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</sst>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rgb="FF07367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0" borderId="0" xfId="1" applyFill="1" applyBorder="1" applyAlignment="1">
      <alignment horizontal="center"/>
    </xf>
    <xf numFmtId="0" fontId="3" fillId="0" borderId="0" xfId="1" applyFill="1" applyBorder="1"/>
    <xf numFmtId="165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5" fillId="0" borderId="1" xfId="0" applyFont="1" applyBorder="1"/>
    <xf numFmtId="14" fontId="1" fillId="2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numFmt numFmtId="19" formatCode="m/d/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65" formatCode="#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F5865-9B96-8E04-2522-FD9C7304C4E4}"/>
            </a:ext>
          </a:extLst>
        </xdr:cNvPr>
        <xdr:cNvSpPr/>
      </xdr:nvSpPr>
      <xdr:spPr>
        <a:xfrm>
          <a:off x="22088" y="1071217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953B6E-2B6F-8349-8A9B-9231A403E359}"/>
            </a:ext>
          </a:extLst>
        </xdr:cNvPr>
        <xdr:cNvSpPr/>
      </xdr:nvSpPr>
      <xdr:spPr>
        <a:xfrm>
          <a:off x="22087" y="1643269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25FE74-9817-D84E-8C72-0D33BB0A8F67}"/>
            </a:ext>
          </a:extLst>
        </xdr:cNvPr>
        <xdr:cNvSpPr/>
      </xdr:nvSpPr>
      <xdr:spPr>
        <a:xfrm>
          <a:off x="22088" y="2215321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93B7C-F828-BE4C-9CB0-D5D82E7245BB}"/>
            </a:ext>
          </a:extLst>
        </xdr:cNvPr>
        <xdr:cNvSpPr/>
      </xdr:nvSpPr>
      <xdr:spPr>
        <a:xfrm>
          <a:off x="22088" y="1092200"/>
          <a:ext cx="1512956" cy="37989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112D81-3091-3A43-A125-979929006CF3}"/>
            </a:ext>
          </a:extLst>
        </xdr:cNvPr>
        <xdr:cNvSpPr/>
      </xdr:nvSpPr>
      <xdr:spPr>
        <a:xfrm>
          <a:off x="22087" y="1673086"/>
          <a:ext cx="1512956" cy="3843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A2E087-3ADF-964D-8480-9699F19DB648}"/>
            </a:ext>
          </a:extLst>
        </xdr:cNvPr>
        <xdr:cNvSpPr/>
      </xdr:nvSpPr>
      <xdr:spPr>
        <a:xfrm>
          <a:off x="22088" y="2258391"/>
          <a:ext cx="1512956" cy="3843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5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2843-30D8-DE44-8050-B669081CA3A2}"/>
            </a:ext>
          </a:extLst>
        </xdr:cNvPr>
        <xdr:cNvSpPr/>
      </xdr:nvSpPr>
      <xdr:spPr>
        <a:xfrm>
          <a:off x="22088" y="1092200"/>
          <a:ext cx="1512956" cy="37989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6" name="Rounded 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B3033D-2289-4442-9364-EB39EE7461C0}"/>
            </a:ext>
          </a:extLst>
        </xdr:cNvPr>
        <xdr:cNvSpPr/>
      </xdr:nvSpPr>
      <xdr:spPr>
        <a:xfrm>
          <a:off x="22087" y="1673086"/>
          <a:ext cx="1512956" cy="3843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7" name="Rounded 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96C358-E12F-164D-8C4B-5D8073AE0C40}"/>
            </a:ext>
          </a:extLst>
        </xdr:cNvPr>
        <xdr:cNvSpPr/>
      </xdr:nvSpPr>
      <xdr:spPr>
        <a:xfrm>
          <a:off x="22088" y="2258391"/>
          <a:ext cx="1512956" cy="3843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D1758-01C6-034B-A255-F00B7096F8C4}" name="Table2" displayName="Table2" ref="C7:K21" totalsRowShown="0" headerRowDxfId="5" dataDxfId="6">
  <autoFilter ref="C7:K21" xr:uid="{789D1758-01C6-034B-A255-F00B7096F8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DFF33AE-2DED-1F45-A824-90DA4E1E084D}" name="Product ID" dataDxfId="11"/>
    <tableColumn id="2" xr3:uid="{2E231CDC-EE5A-8041-BC60-505A0265EAB5}" name="Product" dataDxfId="4">
      <calculatedColumnFormula>_xlfn.XLOOKUP(Table2[[#This Row],[Product ID]],Table1[ID],Table1[Product])</calculatedColumnFormula>
    </tableColumn>
    <tableColumn id="3" xr3:uid="{E887BECE-050C-B248-BA7E-FD9B85DB3898}" name="Quantity in _x000a_Stock" dataDxfId="10"/>
    <tableColumn id="4" xr3:uid="{4C0AF6DB-54CC-C14F-8EB6-56DDE86CCF45}" name="Cost per _x000a_Unit" dataDxfId="9"/>
    <tableColumn id="5" xr3:uid="{7035D124-C1F4-784B-9C14-2F0D388A9D5A}" name="Sale Price _x000a_per Unit" dataDxfId="8">
      <calculatedColumnFormula>F8*3</calculatedColumnFormula>
    </tableColumn>
    <tableColumn id="6" xr3:uid="{10855F42-996F-CD45-B382-725D4B5F317E}" name="Total Value" dataDxfId="3">
      <calculatedColumnFormula>Table2[[#This Row],[Sale Price 
per Unit]]*Table2[[#This Row],[Quantity in 
Stock]]</calculatedColumnFormula>
    </tableColumn>
    <tableColumn id="7" xr3:uid="{A1F7A9A7-1F4D-EA40-BA18-0F0C35F50489}" name="Reorder_x000a_Threshold" dataDxfId="7"/>
    <tableColumn id="8" xr3:uid="{923155A8-8195-BE46-8C35-2E4752AF4EA0}" name="Reorder?" dataDxfId="2">
      <calculatedColumnFormula>IF(Table2[[#This Row],[Quantity in 
Stock]]&lt;=Table2[[#This Row],[Reorder
Threshold]],"Yes","No")</calculatedColumnFormula>
    </tableColumn>
    <tableColumn id="9" xr3:uid="{FF6DC133-9E10-0F4B-BE8B-93DB71196D4F}" name="ETA" dataDxfId="1">
      <calculatedColumnFormula>IF(Table2[[#This Row],[Reorder?]]="Yes",$G$4+_xlfn.XLOOKUP(Table2[[#This Row],[Product ID]],Table1[ID],Table1[Typical 
Order Time]),"")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2220D-B345-3C42-885A-F96916BD4EC9}" name="Table1" displayName="Table1" ref="C4:K24" totalsRowShown="0" headerRowDxfId="12">
  <autoFilter ref="C4:K24" xr:uid="{39B2220D-B345-3C42-885A-F96916BD4EC9}"/>
  <tableColumns count="9">
    <tableColumn id="1" xr3:uid="{A76D525D-3FF7-E848-8A9B-E94D41F042A9}" name="ID" dataDxfId="17">
      <calculatedColumnFormula>C4+1</calculatedColumnFormula>
    </tableColumn>
    <tableColumn id="2" xr3:uid="{2AB63A0B-9616-604A-85A1-DFDC67D44038}" name="Product"/>
    <tableColumn id="3" xr3:uid="{9F82E2FC-9ACF-664F-830D-E2E40EA30871}" name="Description"/>
    <tableColumn id="4" xr3:uid="{4A999931-F9C7-2C46-A971-653BFB2AA2C9}" name="Vendor"/>
    <tableColumn id="5" xr3:uid="{190ACAFD-C93D-A34F-AD70-54F8A5BDFD9F}" name="Typical _x000a_Order Time" dataDxfId="16"/>
    <tableColumn id="6" xr3:uid="{D37941CE-99FA-2742-895E-A8A3D977156F}" name="Reorder" dataDxfId="15"/>
    <tableColumn id="7" xr3:uid="{241857C4-3DDC-9C4A-889D-9269828A7D72}" name="Contact Name"/>
    <tableColumn id="8" xr3:uid="{52C57168-478C-134F-92C2-EECD7CEC36DA}" name="Email Address" dataDxfId="14" dataCellStyle="Hyperlink"/>
    <tableColumn id="9" xr3:uid="{0BCEC768-23B0-5943-B6F3-18E276B2FCD9}" name="Website" dataDxfId="1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6AC4-9043-1147-98FB-218254C56D0A}">
  <dimension ref="A2:H24"/>
  <sheetViews>
    <sheetView zoomScale="115" zoomScaleNormal="115" workbookViewId="0">
      <selection activeCell="E25" sqref="E25"/>
    </sheetView>
  </sheetViews>
  <sheetFormatPr baseColWidth="10" defaultColWidth="11.1640625" defaultRowHeight="16" x14ac:dyDescent="0.2"/>
  <cols>
    <col min="1" max="1" width="20.33203125" style="18" customWidth="1"/>
    <col min="2" max="2" width="4.5" customWidth="1"/>
    <col min="7" max="7" width="13.5" bestFit="1" customWidth="1"/>
    <col min="8" max="8" width="24" bestFit="1" customWidth="1"/>
  </cols>
  <sheetData>
    <row r="2" spans="3:8" ht="22" x14ac:dyDescent="0.3">
      <c r="C2" s="15" t="s">
        <v>14</v>
      </c>
      <c r="D2" s="1"/>
      <c r="E2" s="1"/>
      <c r="F2" s="1"/>
      <c r="G2" s="1"/>
      <c r="H2" s="1"/>
    </row>
    <row r="4" spans="3:8" x14ac:dyDescent="0.2">
      <c r="C4" t="s">
        <v>13</v>
      </c>
      <c r="D4" s="6">
        <f>SUM(F7:F10)</f>
        <v>89.917254600439179</v>
      </c>
    </row>
    <row r="6" spans="3:8" x14ac:dyDescent="0.2">
      <c r="C6" s="7" t="s">
        <v>15</v>
      </c>
      <c r="D6" s="7" t="s">
        <v>16</v>
      </c>
      <c r="E6" s="7" t="s">
        <v>11</v>
      </c>
      <c r="F6" s="7" t="s">
        <v>12</v>
      </c>
      <c r="G6" s="7" t="s">
        <v>3</v>
      </c>
      <c r="H6" s="7" t="s">
        <v>35</v>
      </c>
    </row>
    <row r="7" spans="3:8" x14ac:dyDescent="0.2">
      <c r="C7" s="2" cm="1">
        <f t="array" ref="C7:D11">_xlfn._xlws.FILTER(Table2[[Product ID]:[Product]],Table2[Reorder?]="Yes")</f>
        <v>101</v>
      </c>
      <c r="D7" s="2" t="str">
        <v>Fading Light</v>
      </c>
      <c r="E7" s="2">
        <f>_xlfn.XLOOKUP(C7,Table1[ID],Table1[Reorder])</f>
        <v>2</v>
      </c>
      <c r="F7" s="5">
        <f>IFERROR(E7*_xlfn.XLOOKUP(C7,Table2[Product ID],Table2[Cost per 
Unit]),"")</f>
        <v>13.071526219692572</v>
      </c>
      <c r="G7" t="str" cm="1">
        <f t="array" ref="G7:H7">_xlfn.XLOOKUP(C7,Table1[ID],Table1[[Contact Name]:[Email Address]],"")</f>
        <v>Josh Smith</v>
      </c>
      <c r="H7" t="str">
        <v>josh.smith@gmail.com</v>
      </c>
    </row>
    <row r="8" spans="3:8" x14ac:dyDescent="0.2">
      <c r="C8" s="2">
        <v>103</v>
      </c>
      <c r="D8" s="2" t="str">
        <v>Iron Sky</v>
      </c>
      <c r="E8" s="2">
        <f>_xlfn.XLOOKUP(C8,Table1[ID],Table1[Reorder])</f>
        <v>4</v>
      </c>
      <c r="F8" s="5">
        <f>IFERROR(E8*_xlfn.XLOOKUP(C8,Table2[Product ID],Table2[Cost per 
Unit]),"")</f>
        <v>38.646021258512086</v>
      </c>
      <c r="G8" t="str" cm="1">
        <f t="array" ref="G8:H8">_xlfn.XLOOKUP(C8,Table1[ID],Table1[[Contact Name]:[Email Address]],"")</f>
        <v>Mikel Artena</v>
      </c>
      <c r="H8" t="str">
        <v>mikel.artena@gmail.com</v>
      </c>
    </row>
    <row r="9" spans="3:8" x14ac:dyDescent="0.2">
      <c r="C9" s="2">
        <v>110</v>
      </c>
      <c r="D9" s="2" t="str">
        <v>Frostfire</v>
      </c>
      <c r="E9" s="2">
        <f>_xlfn.XLOOKUP(C9,Table1[ID],Table1[Reorder])</f>
        <v>4</v>
      </c>
      <c r="F9" s="5">
        <f>IFERROR(E9*_xlfn.XLOOKUP(C9,Table2[Product ID],Table2[Cost per 
Unit]),"")</f>
        <v>6.2708205620990185</v>
      </c>
      <c r="G9" t="str" cm="1">
        <f t="array" ref="G9:H9">_xlfn.XLOOKUP(C9,Table1[ID],Table1[[Contact Name]:[Email Address]],"")</f>
        <v>Mikel Artena</v>
      </c>
      <c r="H9" t="str">
        <v>mikel.artena@gmail.com</v>
      </c>
    </row>
    <row r="10" spans="3:8" x14ac:dyDescent="0.2">
      <c r="C10" s="2">
        <v>112</v>
      </c>
      <c r="D10" s="2" t="str">
        <v>Crimson</v>
      </c>
      <c r="E10" s="2">
        <f>_xlfn.XLOOKUP(C10,Table1[ID],Table1[Reorder])</f>
        <v>4</v>
      </c>
      <c r="F10" s="5">
        <f>IFERROR(E10*_xlfn.XLOOKUP(C10,Table2[Product ID],Table2[Cost per 
Unit]),"")</f>
        <v>31.928886560135496</v>
      </c>
      <c r="G10" t="str" cm="1">
        <f t="array" ref="G10:H10">_xlfn.XLOOKUP(C10,Table1[ID],Table1[[Contact Name]:[Email Address]],"")</f>
        <v>Miriam Adelson</v>
      </c>
      <c r="H10" t="str">
        <v>miriam.adelson@gmail.com</v>
      </c>
    </row>
    <row r="11" spans="3:8" x14ac:dyDescent="0.2">
      <c r="C11" s="2">
        <v>118</v>
      </c>
      <c r="D11" t="str">
        <v>The Nexus</v>
      </c>
      <c r="E11" s="2">
        <f>_xlfn.XLOOKUP(C11,Table1[ID],Table1[Reorder])</f>
        <v>4</v>
      </c>
      <c r="F11" s="5">
        <f>IFERROR(E11*_xlfn.XLOOKUP(C11,Table2[Product ID],Table2[Cost per 
Unit]),"")</f>
        <v>19.96</v>
      </c>
      <c r="G11" t="str" cm="1">
        <f t="array" ref="G11:H11">_xlfn.XLOOKUP(C11,Table1[ID],Table1[[Contact Name]:[Email Address]],"")</f>
        <v>Jim Simons</v>
      </c>
      <c r="H11" t="str">
        <v>jim.simons@gmail.com</v>
      </c>
    </row>
    <row r="12" spans="3:8" x14ac:dyDescent="0.2">
      <c r="E12" s="2"/>
      <c r="F12" s="5" t="str">
        <f>IFERROR(E12*_xlfn.XLOOKUP(C12,Table2[Product ID],Table2[Cost per 
Unit]),"")</f>
        <v/>
      </c>
      <c r="G12" t="str" cm="1">
        <f t="array" ref="G12">_xlfn.XLOOKUP(C12,Table1[ID],Table1[[Contact Name]:[Email Address]],"")</f>
        <v/>
      </c>
    </row>
    <row r="13" spans="3:8" x14ac:dyDescent="0.2">
      <c r="E13" s="2"/>
      <c r="F13" s="5" t="str">
        <f>IFERROR(E13*_xlfn.XLOOKUP(C13,Table2[Product ID],Table2[Cost per 
Unit]),"")</f>
        <v/>
      </c>
      <c r="G13" t="str" cm="1">
        <f t="array" ref="G13">_xlfn.XLOOKUP(C13,Table1[ID],Table1[[Contact Name]:[Email Address]],"")</f>
        <v/>
      </c>
    </row>
    <row r="14" spans="3:8" x14ac:dyDescent="0.2">
      <c r="F14" s="5"/>
    </row>
    <row r="15" spans="3:8" x14ac:dyDescent="0.2">
      <c r="F15" s="5"/>
    </row>
    <row r="16" spans="3:8" x14ac:dyDescent="0.2">
      <c r="F16" s="5"/>
    </row>
    <row r="17" spans="6:6" x14ac:dyDescent="0.2">
      <c r="F17" s="5"/>
    </row>
    <row r="18" spans="6:6" x14ac:dyDescent="0.2">
      <c r="F18" s="5"/>
    </row>
    <row r="19" spans="6:6" x14ac:dyDescent="0.2">
      <c r="F19" s="5"/>
    </row>
    <row r="20" spans="6:6" x14ac:dyDescent="0.2">
      <c r="F20" s="5"/>
    </row>
    <row r="21" spans="6:6" x14ac:dyDescent="0.2">
      <c r="F21" s="5"/>
    </row>
    <row r="22" spans="6:6" x14ac:dyDescent="0.2">
      <c r="F22" s="5"/>
    </row>
    <row r="23" spans="6:6" x14ac:dyDescent="0.2">
      <c r="F23" s="5"/>
    </row>
    <row r="24" spans="6:6" x14ac:dyDescent="0.2">
      <c r="F2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B3A3-07D3-1F45-91DB-E7072DE9AAF7}">
  <dimension ref="A1:K32"/>
  <sheetViews>
    <sheetView zoomScale="115" zoomScaleNormal="115" workbookViewId="0">
      <selection activeCell="E25" sqref="E25"/>
    </sheetView>
  </sheetViews>
  <sheetFormatPr baseColWidth="10" defaultColWidth="11.1640625" defaultRowHeight="16" x14ac:dyDescent="0.2"/>
  <cols>
    <col min="1" max="1" width="20.33203125" style="18" customWidth="1"/>
    <col min="2" max="2" width="4" customWidth="1"/>
    <col min="3" max="3" width="14.33203125" customWidth="1"/>
    <col min="4" max="4" width="11.83203125" customWidth="1"/>
    <col min="5" max="5" width="10" bestFit="1" customWidth="1"/>
    <col min="6" max="6" width="11.33203125" bestFit="1" customWidth="1"/>
    <col min="7" max="7" width="12.1640625" bestFit="1" customWidth="1"/>
    <col min="8" max="8" width="12.33203125" customWidth="1"/>
    <col min="9" max="9" width="13.6640625" customWidth="1"/>
    <col min="10" max="10" width="11.1640625" customWidth="1"/>
    <col min="11" max="11" width="13.1640625" style="13" customWidth="1"/>
  </cols>
  <sheetData>
    <row r="1" spans="3:11" x14ac:dyDescent="0.2">
      <c r="K1"/>
    </row>
    <row r="2" spans="3:11" ht="22" x14ac:dyDescent="0.3">
      <c r="C2" s="15" t="s">
        <v>8</v>
      </c>
      <c r="D2" s="1"/>
      <c r="E2" s="1"/>
      <c r="F2" s="1"/>
      <c r="G2" s="1"/>
      <c r="H2" s="1"/>
      <c r="I2" s="1"/>
      <c r="J2" s="1"/>
      <c r="K2" s="1"/>
    </row>
    <row r="3" spans="3:11" x14ac:dyDescent="0.2">
      <c r="K3"/>
    </row>
    <row r="4" spans="3:11" x14ac:dyDescent="0.2">
      <c r="C4" t="s">
        <v>32</v>
      </c>
      <c r="D4" s="4">
        <f>SUM(Table2[Total Value])</f>
        <v>2771.520604450383</v>
      </c>
      <c r="F4" t="s">
        <v>9</v>
      </c>
      <c r="G4" s="16">
        <f ca="1">TODAY()</f>
        <v>45784</v>
      </c>
      <c r="K4"/>
    </row>
    <row r="5" spans="3:11" x14ac:dyDescent="0.2">
      <c r="C5" t="s">
        <v>31</v>
      </c>
      <c r="D5" s="4">
        <f>COUNT(_xlfn.UNIQUE(Table2[Product ID]))</f>
        <v>14</v>
      </c>
      <c r="F5" t="s">
        <v>10</v>
      </c>
      <c r="G5" s="4" t="str">
        <f ca="1">TEXT(G4,"dddd")</f>
        <v>Wednesday</v>
      </c>
      <c r="K5"/>
    </row>
    <row r="6" spans="3:11" x14ac:dyDescent="0.2">
      <c r="K6"/>
    </row>
    <row r="7" spans="3:11" ht="33" customHeight="1" x14ac:dyDescent="0.2">
      <c r="C7" s="8" t="s">
        <v>15</v>
      </c>
      <c r="D7" s="8" t="s">
        <v>16</v>
      </c>
      <c r="E7" s="9" t="s">
        <v>29</v>
      </c>
      <c r="F7" s="9" t="s">
        <v>88</v>
      </c>
      <c r="G7" s="9" t="s">
        <v>34</v>
      </c>
      <c r="H7" s="8" t="s">
        <v>28</v>
      </c>
      <c r="I7" s="9" t="s">
        <v>30</v>
      </c>
      <c r="J7" s="8" t="s">
        <v>1</v>
      </c>
      <c r="K7" s="8" t="s">
        <v>33</v>
      </c>
    </row>
    <row r="8" spans="3:11" x14ac:dyDescent="0.2">
      <c r="C8" s="2">
        <v>101</v>
      </c>
      <c r="D8" s="2" t="str">
        <f>_xlfn.XLOOKUP(Table2[[#This Row],[Product ID]],Table1[ID],Table1[Product])</f>
        <v>Fading Light</v>
      </c>
      <c r="E8" s="2">
        <v>3</v>
      </c>
      <c r="F8" s="3">
        <v>6.5357631098462861</v>
      </c>
      <c r="G8" s="3">
        <f>F8*3</f>
        <v>19.607289329538858</v>
      </c>
      <c r="H8" s="3">
        <f>Table2[[#This Row],[Sale Price 
per Unit]]*Table2[[#This Row],[Quantity in 
Stock]]</f>
        <v>58.821867988616575</v>
      </c>
      <c r="I8" s="2">
        <v>4</v>
      </c>
      <c r="J8" s="2" t="str">
        <f>IF(Table2[[#This Row],[Quantity in 
Stock]]&lt;=Table2[[#This Row],[Reorder
Threshold]],"Yes","No")</f>
        <v>Yes</v>
      </c>
      <c r="K8" s="14">
        <f ca="1">IF(Table2[[#This Row],[Reorder?]]="Yes",$G$4+_xlfn.XLOOKUP(Table2[[#This Row],[Product ID]],Table1[ID],Table1[Typical 
Order Time]),"")</f>
        <v>45791</v>
      </c>
    </row>
    <row r="9" spans="3:11" x14ac:dyDescent="0.2">
      <c r="C9" s="2">
        <v>102</v>
      </c>
      <c r="D9" s="2" t="str">
        <f>_xlfn.XLOOKUP(Table2[[#This Row],[Product ID]],Table1[ID],Table1[Product])</f>
        <v>Silent Echo</v>
      </c>
      <c r="E9" s="2">
        <v>12</v>
      </c>
      <c r="F9" s="3">
        <v>8.1162716224706184</v>
      </c>
      <c r="G9" s="3">
        <f t="shared" ref="G9:G20" si="0">F9*3</f>
        <v>24.348814867411853</v>
      </c>
      <c r="H9" s="3">
        <f>Table2[[#This Row],[Sale Price 
per Unit]]*Table2[[#This Row],[Quantity in 
Stock]]</f>
        <v>292.18577840894227</v>
      </c>
      <c r="I9" s="2">
        <v>6</v>
      </c>
      <c r="J9" s="2" t="str">
        <f>IF(Table2[[#This Row],[Quantity in 
Stock]]&lt;=Table2[[#This Row],[Reorder
Threshold]],"Yes","No")</f>
        <v>No</v>
      </c>
      <c r="K9" s="14" t="str">
        <f>IF(Table2[[#This Row],[Reorder?]]="Yes",$G$4+_xlfn.XLOOKUP(Table2[[#This Row],[Product ID]],Table1[ID],Table1[Typical 
Order Time]),"")</f>
        <v/>
      </c>
    </row>
    <row r="10" spans="3:11" x14ac:dyDescent="0.2">
      <c r="C10" s="2">
        <v>103</v>
      </c>
      <c r="D10" s="2" t="str">
        <f>_xlfn.XLOOKUP(Table2[[#This Row],[Product ID]],Table1[ID],Table1[Product])</f>
        <v>Iron Sky</v>
      </c>
      <c r="E10" s="2">
        <v>4</v>
      </c>
      <c r="F10" s="3">
        <v>9.6615053146280214</v>
      </c>
      <c r="G10" s="3">
        <f t="shared" si="0"/>
        <v>28.984515943884062</v>
      </c>
      <c r="H10" s="3">
        <f>Table2[[#This Row],[Sale Price 
per Unit]]*Table2[[#This Row],[Quantity in 
Stock]]</f>
        <v>115.93806377553625</v>
      </c>
      <c r="I10" s="2">
        <v>7</v>
      </c>
      <c r="J10" s="2" t="str">
        <f>IF(Table2[[#This Row],[Quantity in 
Stock]]&lt;=Table2[[#This Row],[Reorder
Threshold]],"Yes","No")</f>
        <v>Yes</v>
      </c>
      <c r="K10" s="14">
        <f ca="1">IF(Table2[[#This Row],[Reorder?]]="Yes",$G$4+_xlfn.XLOOKUP(Table2[[#This Row],[Product ID]],Table1[ID],Table1[Typical 
Order Time]),"")</f>
        <v>45814</v>
      </c>
    </row>
    <row r="11" spans="3:11" x14ac:dyDescent="0.2">
      <c r="C11" s="2">
        <v>104</v>
      </c>
      <c r="D11" s="2" t="str">
        <f>_xlfn.XLOOKUP(Table2[[#This Row],[Product ID]],Table1[ID],Table1[Product])</f>
        <v>Wanderlust</v>
      </c>
      <c r="E11" s="2">
        <v>22</v>
      </c>
      <c r="F11" s="3">
        <v>7.1428555517562238</v>
      </c>
      <c r="G11" s="3">
        <f t="shared" si="0"/>
        <v>21.428566655268671</v>
      </c>
      <c r="H11" s="3">
        <f>Table2[[#This Row],[Sale Price 
per Unit]]*Table2[[#This Row],[Quantity in 
Stock]]</f>
        <v>471.42846641591075</v>
      </c>
      <c r="I11" s="2">
        <v>2</v>
      </c>
      <c r="J11" s="2" t="str">
        <f>IF(Table2[[#This Row],[Quantity in 
Stock]]&lt;=Table2[[#This Row],[Reorder
Threshold]],"Yes","No")</f>
        <v>No</v>
      </c>
      <c r="K11" s="14" t="str">
        <f>IF(Table2[[#This Row],[Reorder?]]="Yes",$G$4+_xlfn.XLOOKUP(Table2[[#This Row],[Product ID]],Table1[ID],Table1[Typical 
Order Time]),"")</f>
        <v/>
      </c>
    </row>
    <row r="12" spans="3:11" x14ac:dyDescent="0.2">
      <c r="C12" s="2">
        <v>105</v>
      </c>
      <c r="D12" s="2" t="str">
        <f>_xlfn.XLOOKUP(Table2[[#This Row],[Product ID]],Table1[ID],Table1[Product])</f>
        <v>Lost Horizon</v>
      </c>
      <c r="E12" s="2">
        <v>7</v>
      </c>
      <c r="F12" s="3">
        <v>3.7669670588735187</v>
      </c>
      <c r="G12" s="3">
        <f t="shared" si="0"/>
        <v>11.300901176620556</v>
      </c>
      <c r="H12" s="3">
        <f>Table2[[#This Row],[Sale Price 
per Unit]]*Table2[[#This Row],[Quantity in 
Stock]]</f>
        <v>79.106308236343892</v>
      </c>
      <c r="I12" s="2">
        <v>3</v>
      </c>
      <c r="J12" s="2" t="str">
        <f>IF(Table2[[#This Row],[Quantity in 
Stock]]&lt;=Table2[[#This Row],[Reorder
Threshold]],"Yes","No")</f>
        <v>No</v>
      </c>
      <c r="K12" s="14" t="str">
        <f>IF(Table2[[#This Row],[Reorder?]]="Yes",$G$4+_xlfn.XLOOKUP(Table2[[#This Row],[Product ID]],Table1[ID],Table1[Typical 
Order Time]),"")</f>
        <v/>
      </c>
    </row>
    <row r="13" spans="3:11" x14ac:dyDescent="0.2">
      <c r="C13" s="2">
        <v>106</v>
      </c>
      <c r="D13" s="2" t="str">
        <f>_xlfn.XLOOKUP(Table2[[#This Row],[Product ID]],Table1[ID],Table1[Product])</f>
        <v>Silver Veil</v>
      </c>
      <c r="E13" s="2">
        <v>19</v>
      </c>
      <c r="F13" s="3">
        <v>7.5821485560321005</v>
      </c>
      <c r="G13" s="3">
        <f t="shared" si="0"/>
        <v>22.7464456680963</v>
      </c>
      <c r="H13" s="3">
        <f>Table2[[#This Row],[Sale Price 
per Unit]]*Table2[[#This Row],[Quantity in 
Stock]]</f>
        <v>432.18246769382972</v>
      </c>
      <c r="I13" s="2">
        <v>5</v>
      </c>
      <c r="J13" s="2" t="str">
        <f>IF(Table2[[#This Row],[Quantity in 
Stock]]&lt;=Table2[[#This Row],[Reorder
Threshold]],"Yes","No")</f>
        <v>No</v>
      </c>
      <c r="K13" s="14" t="str">
        <f>IF(Table2[[#This Row],[Reorder?]]="Yes",$G$4+_xlfn.XLOOKUP(Table2[[#This Row],[Product ID]],Table1[ID],Table1[Typical 
Order Time]),"")</f>
        <v/>
      </c>
    </row>
    <row r="14" spans="3:11" x14ac:dyDescent="0.2">
      <c r="C14" s="2">
        <v>108</v>
      </c>
      <c r="D14" s="2" t="str">
        <f>_xlfn.XLOOKUP(Table2[[#This Row],[Product ID]],Table1[ID],Table1[Product])</f>
        <v>The Hollow</v>
      </c>
      <c r="E14" s="2">
        <v>21</v>
      </c>
      <c r="F14" s="3">
        <v>7.3073497384215322</v>
      </c>
      <c r="G14" s="3">
        <f t="shared" si="0"/>
        <v>21.922049215264597</v>
      </c>
      <c r="H14" s="3">
        <f>Table2[[#This Row],[Sale Price 
per Unit]]*Table2[[#This Row],[Quantity in 
Stock]]</f>
        <v>460.36303352055654</v>
      </c>
      <c r="I14" s="2">
        <v>8</v>
      </c>
      <c r="J14" s="2" t="str">
        <f>IF(Table2[[#This Row],[Quantity in 
Stock]]&lt;=Table2[[#This Row],[Reorder
Threshold]],"Yes","No")</f>
        <v>No</v>
      </c>
      <c r="K14" s="14" t="str">
        <f>IF(Table2[[#This Row],[Reorder?]]="Yes",$G$4+_xlfn.XLOOKUP(Table2[[#This Row],[Product ID]],Table1[ID],Table1[Typical 
Order Time]),"")</f>
        <v/>
      </c>
    </row>
    <row r="15" spans="3:11" x14ac:dyDescent="0.2">
      <c r="C15" s="2">
        <v>109</v>
      </c>
      <c r="D15" s="2" t="str">
        <f>_xlfn.XLOOKUP(Table2[[#This Row],[Product ID]],Table1[ID],Table1[Product])</f>
        <v>Broker</v>
      </c>
      <c r="E15" s="2">
        <v>24</v>
      </c>
      <c r="F15" s="3">
        <v>6.1967947656993907</v>
      </c>
      <c r="G15" s="3">
        <f t="shared" si="0"/>
        <v>18.590384297098172</v>
      </c>
      <c r="H15" s="3">
        <f>Table2[[#This Row],[Sale Price 
per Unit]]*Table2[[#This Row],[Quantity in 
Stock]]</f>
        <v>446.16922313035616</v>
      </c>
      <c r="I15" s="2">
        <v>4</v>
      </c>
      <c r="J15" s="2" t="str">
        <f>IF(Table2[[#This Row],[Quantity in 
Stock]]&lt;=Table2[[#This Row],[Reorder
Threshold]],"Yes","No")</f>
        <v>No</v>
      </c>
      <c r="K15" s="14" t="str">
        <f>IF(Table2[[#This Row],[Reorder?]]="Yes",$G$4+_xlfn.XLOOKUP(Table2[[#This Row],[Product ID]],Table1[ID],Table1[Typical 
Order Time]),"")</f>
        <v/>
      </c>
    </row>
    <row r="16" spans="3:11" x14ac:dyDescent="0.2">
      <c r="C16" s="2">
        <v>110</v>
      </c>
      <c r="D16" s="2" t="str">
        <f>_xlfn.XLOOKUP(Table2[[#This Row],[Product ID]],Table1[ID],Table1[Product])</f>
        <v>Frostfire</v>
      </c>
      <c r="E16" s="2">
        <v>5</v>
      </c>
      <c r="F16" s="3">
        <v>1.5677051405247546</v>
      </c>
      <c r="G16" s="3">
        <f t="shared" si="0"/>
        <v>4.7031154215742639</v>
      </c>
      <c r="H16" s="3">
        <f>Table2[[#This Row],[Sale Price 
per Unit]]*Table2[[#This Row],[Quantity in 
Stock]]</f>
        <v>23.515577107871319</v>
      </c>
      <c r="I16" s="2">
        <v>8</v>
      </c>
      <c r="J16" s="2" t="str">
        <f>IF(Table2[[#This Row],[Quantity in 
Stock]]&lt;=Table2[[#This Row],[Reorder
Threshold]],"Yes","No")</f>
        <v>Yes</v>
      </c>
      <c r="K16" s="14">
        <f ca="1">IF(Table2[[#This Row],[Reorder?]]="Yes",$G$4+_xlfn.XLOOKUP(Table2[[#This Row],[Product ID]],Table1[ID],Table1[Typical 
Order Time]),"")</f>
        <v>45814</v>
      </c>
    </row>
    <row r="17" spans="3:11" x14ac:dyDescent="0.2">
      <c r="C17" s="2">
        <v>111</v>
      </c>
      <c r="D17" s="2" t="str">
        <f>_xlfn.XLOOKUP(Table2[[#This Row],[Product ID]],Table1[ID],Table1[Product])</f>
        <v>The Tide</v>
      </c>
      <c r="E17" s="2">
        <v>5</v>
      </c>
      <c r="F17" s="3">
        <v>3.5378489709328811</v>
      </c>
      <c r="G17" s="3">
        <f t="shared" si="0"/>
        <v>10.613546912798643</v>
      </c>
      <c r="H17" s="3">
        <f>Table2[[#This Row],[Sale Price 
per Unit]]*Table2[[#This Row],[Quantity in 
Stock]]</f>
        <v>53.067734563993213</v>
      </c>
      <c r="I17" s="2">
        <v>2</v>
      </c>
      <c r="J17" s="2" t="str">
        <f>IF(Table2[[#This Row],[Quantity in 
Stock]]&lt;=Table2[[#This Row],[Reorder
Threshold]],"Yes","No")</f>
        <v>No</v>
      </c>
      <c r="K17" s="14" t="str">
        <f>IF(Table2[[#This Row],[Reorder?]]="Yes",$G$4+_xlfn.XLOOKUP(Table2[[#This Row],[Product ID]],Table1[ID],Table1[Typical 
Order Time]),"")</f>
        <v/>
      </c>
    </row>
    <row r="18" spans="3:11" x14ac:dyDescent="0.2">
      <c r="C18" s="2">
        <v>112</v>
      </c>
      <c r="D18" s="2" t="str">
        <f>_xlfn.XLOOKUP(Table2[[#This Row],[Product ID]],Table1[ID],Table1[Product])</f>
        <v>Crimson</v>
      </c>
      <c r="E18" s="2">
        <v>5</v>
      </c>
      <c r="F18" s="3">
        <v>7.9822216400338739</v>
      </c>
      <c r="G18" s="3">
        <f t="shared" si="0"/>
        <v>23.946664920101622</v>
      </c>
      <c r="H18" s="3">
        <f>Table2[[#This Row],[Sale Price 
per Unit]]*Table2[[#This Row],[Quantity in 
Stock]]</f>
        <v>119.73332460050811</v>
      </c>
      <c r="I18" s="2">
        <v>8</v>
      </c>
      <c r="J18" s="2" t="str">
        <f>IF(Table2[[#This Row],[Quantity in 
Stock]]&lt;=Table2[[#This Row],[Reorder
Threshold]],"Yes","No")</f>
        <v>Yes</v>
      </c>
      <c r="K18" s="14">
        <f ca="1">IF(Table2[[#This Row],[Reorder?]]="Yes",$G$4+_xlfn.XLOOKUP(Table2[[#This Row],[Product ID]],Table1[ID],Table1[Typical 
Order Time]),"")</f>
        <v>45844</v>
      </c>
    </row>
    <row r="19" spans="3:11" x14ac:dyDescent="0.2">
      <c r="C19" s="2">
        <v>113</v>
      </c>
      <c r="D19" s="2" t="str">
        <f>_xlfn.XLOOKUP(Table2[[#This Row],[Product ID]],Table1[ID],Table1[Product])</f>
        <v>Shattered</v>
      </c>
      <c r="E19" s="2">
        <v>8</v>
      </c>
      <c r="F19" s="3">
        <v>2.1895287319506238</v>
      </c>
      <c r="G19" s="3">
        <f t="shared" si="0"/>
        <v>6.5685861958518714</v>
      </c>
      <c r="H19" s="3">
        <f>Table2[[#This Row],[Sale Price 
per Unit]]*Table2[[#This Row],[Quantity in 
Stock]]</f>
        <v>52.548689566814971</v>
      </c>
      <c r="I19" s="2">
        <v>7</v>
      </c>
      <c r="J19" s="2" t="str">
        <f>IF(Table2[[#This Row],[Quantity in 
Stock]]&lt;=Table2[[#This Row],[Reorder
Threshold]],"Yes","No")</f>
        <v>No</v>
      </c>
      <c r="K19" s="14" t="str">
        <f>IF(Table2[[#This Row],[Reorder?]]="Yes",$G$4+_xlfn.XLOOKUP(Table2[[#This Row],[Product ID]],Table1[ID],Table1[Typical 
Order Time]),"")</f>
        <v/>
      </c>
    </row>
    <row r="20" spans="3:11" x14ac:dyDescent="0.2">
      <c r="C20" s="2">
        <v>116</v>
      </c>
      <c r="D20" s="2" t="str">
        <f>_xlfn.XLOOKUP(Table2[[#This Row],[Product ID]],Table1[ID],Table1[Product])</f>
        <v>Blackthron</v>
      </c>
      <c r="E20" s="2">
        <v>11</v>
      </c>
      <c r="F20" s="3">
        <v>5.0442445285182647</v>
      </c>
      <c r="G20" s="3">
        <f t="shared" si="0"/>
        <v>15.132733585554794</v>
      </c>
      <c r="H20" s="3">
        <f>Table2[[#This Row],[Sale Price 
per Unit]]*Table2[[#This Row],[Quantity in 
Stock]]</f>
        <v>166.46006944110275</v>
      </c>
      <c r="I20" s="2">
        <v>2</v>
      </c>
      <c r="J20" s="2" t="str">
        <f>IF(Table2[[#This Row],[Quantity in 
Stock]]&lt;=Table2[[#This Row],[Reorder
Threshold]],"Yes","No")</f>
        <v>No</v>
      </c>
      <c r="K20" s="14" t="str">
        <f>IF(Table2[[#This Row],[Reorder?]]="Yes",$G$4+_xlfn.XLOOKUP(Table2[[#This Row],[Product ID]],Table1[ID],Table1[Typical 
Order Time]),"")</f>
        <v/>
      </c>
    </row>
    <row r="21" spans="3:11" x14ac:dyDescent="0.2">
      <c r="C21" s="2">
        <v>118</v>
      </c>
      <c r="D21" s="17" t="str">
        <f>_xlfn.XLOOKUP(Table2[[#This Row],[Product ID]],Table1[ID],Table1[Product])</f>
        <v>The Nexus</v>
      </c>
      <c r="E21" s="2">
        <v>0</v>
      </c>
      <c r="F21" s="3">
        <v>4.99</v>
      </c>
      <c r="G21" s="3">
        <f>F21*3</f>
        <v>14.97</v>
      </c>
      <c r="H21" s="3">
        <f>Table2[[#This Row],[Sale Price 
per Unit]]*Table2[[#This Row],[Quantity in 
Stock]]</f>
        <v>0</v>
      </c>
      <c r="I21" s="2">
        <v>2</v>
      </c>
      <c r="J21" s="17" t="str">
        <f>IF(Table2[[#This Row],[Quantity in 
Stock]]&lt;=Table2[[#This Row],[Reorder
Threshold]],"Yes","No")</f>
        <v>Yes</v>
      </c>
      <c r="K21" s="14">
        <f ca="1">IF(Table2[[#This Row],[Reorder?]]="Yes",$G$4+_xlfn.XLOOKUP(Table2[[#This Row],[Product ID]],Table1[ID],Table1[Typical 
Order Time]),"")</f>
        <v>45814</v>
      </c>
    </row>
    <row r="29" spans="3:11" x14ac:dyDescent="0.2">
      <c r="G29" s="3"/>
    </row>
    <row r="30" spans="3:11" x14ac:dyDescent="0.2">
      <c r="G30" s="3"/>
    </row>
    <row r="31" spans="3:11" x14ac:dyDescent="0.2">
      <c r="G31" s="3"/>
    </row>
    <row r="32" spans="3:11" x14ac:dyDescent="0.2">
      <c r="G32" s="3"/>
    </row>
  </sheetData>
  <conditionalFormatting sqref="J8:J21">
    <cfRule type="containsText" dxfId="0" priority="1" operator="containsText" text="Yes">
      <formula>NOT(ISERROR(SEARCH("Yes",J8)))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F16-6C46-674E-89BA-5D2A5E60E662}">
  <dimension ref="A2:K24"/>
  <sheetViews>
    <sheetView tabSelected="1" zoomScale="115" zoomScaleNormal="115" workbookViewId="0">
      <selection activeCell="E27" sqref="E27"/>
    </sheetView>
  </sheetViews>
  <sheetFormatPr baseColWidth="10" defaultColWidth="11.1640625" defaultRowHeight="16" x14ac:dyDescent="0.2"/>
  <cols>
    <col min="1" max="1" width="20.33203125" style="18" customWidth="1"/>
    <col min="2" max="2" width="4.5" customWidth="1"/>
    <col min="3" max="3" width="6.33203125" customWidth="1"/>
    <col min="4" max="4" width="9.5" customWidth="1"/>
    <col min="5" max="5" width="12.83203125" customWidth="1"/>
    <col min="7" max="7" width="10.1640625" bestFit="1" customWidth="1"/>
    <col min="8" max="8" width="10.33203125" customWidth="1"/>
    <col min="9" max="10" width="15" customWidth="1"/>
    <col min="11" max="11" width="9.83203125" customWidth="1"/>
  </cols>
  <sheetData>
    <row r="2" spans="3:11" ht="22" x14ac:dyDescent="0.3">
      <c r="C2" s="15" t="s">
        <v>7</v>
      </c>
      <c r="D2" s="1"/>
      <c r="E2" s="1"/>
      <c r="F2" s="1"/>
      <c r="G2" s="1"/>
      <c r="H2" s="1"/>
      <c r="I2" s="1"/>
      <c r="J2" s="1"/>
      <c r="K2" s="1"/>
    </row>
    <row r="4" spans="3:11" ht="34" x14ac:dyDescent="0.2">
      <c r="C4" s="8" t="s">
        <v>36</v>
      </c>
      <c r="D4" s="8" t="s">
        <v>16</v>
      </c>
      <c r="E4" s="8" t="s">
        <v>0</v>
      </c>
      <c r="F4" s="8" t="s">
        <v>2</v>
      </c>
      <c r="G4" s="9" t="s">
        <v>17</v>
      </c>
      <c r="H4" s="9" t="s">
        <v>89</v>
      </c>
      <c r="I4" s="8" t="s">
        <v>5</v>
      </c>
      <c r="J4" s="8" t="s">
        <v>6</v>
      </c>
      <c r="K4" s="8" t="s">
        <v>4</v>
      </c>
    </row>
    <row r="5" spans="3:11" x14ac:dyDescent="0.2">
      <c r="C5" s="2">
        <v>101</v>
      </c>
      <c r="D5" t="s">
        <v>37</v>
      </c>
      <c r="E5" t="s">
        <v>57</v>
      </c>
      <c r="F5" t="s">
        <v>69</v>
      </c>
      <c r="G5" s="12">
        <v>7</v>
      </c>
      <c r="H5" s="2">
        <v>2</v>
      </c>
      <c r="I5" t="s">
        <v>18</v>
      </c>
      <c r="J5" s="11" t="s">
        <v>79</v>
      </c>
      <c r="K5" s="10" t="s">
        <v>27</v>
      </c>
    </row>
    <row r="6" spans="3:11" x14ac:dyDescent="0.2">
      <c r="C6" s="2">
        <f>C5+1</f>
        <v>102</v>
      </c>
      <c r="D6" t="s">
        <v>38</v>
      </c>
      <c r="E6" t="s">
        <v>58</v>
      </c>
      <c r="F6" t="s">
        <v>70</v>
      </c>
      <c r="G6" s="12">
        <v>14</v>
      </c>
      <c r="H6" s="2">
        <v>3</v>
      </c>
      <c r="I6" t="s">
        <v>19</v>
      </c>
      <c r="J6" s="11" t="s">
        <v>80</v>
      </c>
      <c r="K6" s="10" t="s">
        <v>27</v>
      </c>
    </row>
    <row r="7" spans="3:11" x14ac:dyDescent="0.2">
      <c r="C7" s="2">
        <f t="shared" ref="C7:C24" si="0">C6+1</f>
        <v>103</v>
      </c>
      <c r="D7" t="s">
        <v>39</v>
      </c>
      <c r="E7" t="s">
        <v>59</v>
      </c>
      <c r="F7" t="s">
        <v>71</v>
      </c>
      <c r="G7" s="12">
        <v>30</v>
      </c>
      <c r="H7" s="2">
        <v>4</v>
      </c>
      <c r="I7" t="s">
        <v>20</v>
      </c>
      <c r="J7" s="11" t="s">
        <v>81</v>
      </c>
      <c r="K7" s="10" t="s">
        <v>27</v>
      </c>
    </row>
    <row r="8" spans="3:11" x14ac:dyDescent="0.2">
      <c r="C8" s="2">
        <f t="shared" si="0"/>
        <v>104</v>
      </c>
      <c r="D8" t="s">
        <v>40</v>
      </c>
      <c r="E8" t="s">
        <v>60</v>
      </c>
      <c r="F8" t="s">
        <v>72</v>
      </c>
      <c r="G8" s="12">
        <v>7</v>
      </c>
      <c r="H8" s="2">
        <v>1</v>
      </c>
      <c r="I8" t="s">
        <v>21</v>
      </c>
      <c r="J8" s="11" t="s">
        <v>82</v>
      </c>
      <c r="K8" s="10" t="s">
        <v>27</v>
      </c>
    </row>
    <row r="9" spans="3:11" x14ac:dyDescent="0.2">
      <c r="C9" s="2">
        <f t="shared" si="0"/>
        <v>105</v>
      </c>
      <c r="D9" t="s">
        <v>41</v>
      </c>
      <c r="E9" t="s">
        <v>62</v>
      </c>
      <c r="F9" t="s">
        <v>69</v>
      </c>
      <c r="G9" s="12">
        <v>7</v>
      </c>
      <c r="H9" s="2">
        <v>2</v>
      </c>
      <c r="I9" t="s">
        <v>18</v>
      </c>
      <c r="J9" s="11" t="s">
        <v>79</v>
      </c>
      <c r="K9" s="10" t="s">
        <v>27</v>
      </c>
    </row>
    <row r="10" spans="3:11" x14ac:dyDescent="0.2">
      <c r="C10" s="2">
        <f t="shared" si="0"/>
        <v>106</v>
      </c>
      <c r="D10" t="s">
        <v>42</v>
      </c>
      <c r="E10" t="s">
        <v>61</v>
      </c>
      <c r="F10" t="s">
        <v>69</v>
      </c>
      <c r="G10" s="12">
        <v>7</v>
      </c>
      <c r="H10" s="2">
        <v>2</v>
      </c>
      <c r="I10" t="s">
        <v>18</v>
      </c>
      <c r="J10" s="11" t="s">
        <v>79</v>
      </c>
      <c r="K10" s="10" t="s">
        <v>27</v>
      </c>
    </row>
    <row r="11" spans="3:11" x14ac:dyDescent="0.2">
      <c r="C11" s="2">
        <f t="shared" si="0"/>
        <v>107</v>
      </c>
      <c r="D11" t="s">
        <v>43</v>
      </c>
      <c r="E11" t="s">
        <v>63</v>
      </c>
      <c r="F11" t="s">
        <v>69</v>
      </c>
      <c r="G11" s="12">
        <v>7</v>
      </c>
      <c r="H11" s="2">
        <v>2</v>
      </c>
      <c r="I11" t="s">
        <v>18</v>
      </c>
      <c r="J11" s="11" t="s">
        <v>79</v>
      </c>
      <c r="K11" s="10" t="s">
        <v>27</v>
      </c>
    </row>
    <row r="12" spans="3:11" x14ac:dyDescent="0.2">
      <c r="C12" s="2">
        <f t="shared" si="0"/>
        <v>108</v>
      </c>
      <c r="D12" t="s">
        <v>44</v>
      </c>
      <c r="E12" t="s">
        <v>64</v>
      </c>
      <c r="F12" t="s">
        <v>71</v>
      </c>
      <c r="G12" s="12">
        <v>30</v>
      </c>
      <c r="H12" s="2">
        <v>4</v>
      </c>
      <c r="I12" t="s">
        <v>20</v>
      </c>
      <c r="J12" s="11" t="s">
        <v>81</v>
      </c>
      <c r="K12" s="10" t="s">
        <v>27</v>
      </c>
    </row>
    <row r="13" spans="3:11" x14ac:dyDescent="0.2">
      <c r="C13" s="2">
        <f t="shared" si="0"/>
        <v>109</v>
      </c>
      <c r="D13" t="s">
        <v>45</v>
      </c>
      <c r="E13" t="s">
        <v>61</v>
      </c>
      <c r="F13" t="s">
        <v>71</v>
      </c>
      <c r="G13" s="12">
        <v>30</v>
      </c>
      <c r="H13" s="2">
        <v>4</v>
      </c>
      <c r="I13" t="s">
        <v>20</v>
      </c>
      <c r="J13" s="11" t="s">
        <v>81</v>
      </c>
      <c r="K13" s="10" t="s">
        <v>27</v>
      </c>
    </row>
    <row r="14" spans="3:11" x14ac:dyDescent="0.2">
      <c r="C14" s="2">
        <f t="shared" si="0"/>
        <v>110</v>
      </c>
      <c r="D14" t="s">
        <v>46</v>
      </c>
      <c r="E14" t="s">
        <v>65</v>
      </c>
      <c r="F14" t="s">
        <v>71</v>
      </c>
      <c r="G14" s="12">
        <v>30</v>
      </c>
      <c r="H14" s="2">
        <v>4</v>
      </c>
      <c r="I14" t="s">
        <v>20</v>
      </c>
      <c r="J14" s="11" t="s">
        <v>81</v>
      </c>
      <c r="K14" s="10" t="s">
        <v>27</v>
      </c>
    </row>
    <row r="15" spans="3:11" x14ac:dyDescent="0.2">
      <c r="C15" s="2">
        <f t="shared" si="0"/>
        <v>111</v>
      </c>
      <c r="D15" t="s">
        <v>47</v>
      </c>
      <c r="E15" t="s">
        <v>66</v>
      </c>
      <c r="F15" t="s">
        <v>73</v>
      </c>
      <c r="G15" s="12">
        <v>7</v>
      </c>
      <c r="H15" s="2">
        <v>1</v>
      </c>
      <c r="I15" t="s">
        <v>22</v>
      </c>
      <c r="J15" s="11" t="s">
        <v>83</v>
      </c>
      <c r="K15" s="10" t="s">
        <v>27</v>
      </c>
    </row>
    <row r="16" spans="3:11" x14ac:dyDescent="0.2">
      <c r="C16" s="2">
        <f t="shared" si="0"/>
        <v>112</v>
      </c>
      <c r="D16" t="s">
        <v>48</v>
      </c>
      <c r="E16" t="s">
        <v>67</v>
      </c>
      <c r="F16" t="s">
        <v>74</v>
      </c>
      <c r="G16" s="12">
        <v>60</v>
      </c>
      <c r="H16" s="2">
        <v>4</v>
      </c>
      <c r="I16" t="s">
        <v>23</v>
      </c>
      <c r="J16" s="11" t="s">
        <v>84</v>
      </c>
      <c r="K16" s="10" t="s">
        <v>27</v>
      </c>
    </row>
    <row r="17" spans="3:11" x14ac:dyDescent="0.2">
      <c r="C17" s="2">
        <f t="shared" si="0"/>
        <v>113</v>
      </c>
      <c r="D17" t="s">
        <v>49</v>
      </c>
      <c r="E17" t="s">
        <v>59</v>
      </c>
      <c r="F17" t="s">
        <v>75</v>
      </c>
      <c r="G17" s="12">
        <v>5</v>
      </c>
      <c r="H17" s="2">
        <v>4</v>
      </c>
      <c r="I17" t="s">
        <v>24</v>
      </c>
      <c r="J17" s="11" t="s">
        <v>85</v>
      </c>
      <c r="K17" s="10" t="s">
        <v>27</v>
      </c>
    </row>
    <row r="18" spans="3:11" x14ac:dyDescent="0.2">
      <c r="C18" s="2">
        <f t="shared" si="0"/>
        <v>114</v>
      </c>
      <c r="D18" t="s">
        <v>50</v>
      </c>
      <c r="E18" t="s">
        <v>58</v>
      </c>
      <c r="F18" t="s">
        <v>74</v>
      </c>
      <c r="G18" s="12">
        <v>60</v>
      </c>
      <c r="H18" s="2">
        <v>4</v>
      </c>
      <c r="I18" t="s">
        <v>23</v>
      </c>
      <c r="J18" s="11" t="s">
        <v>84</v>
      </c>
      <c r="K18" s="10" t="s">
        <v>27</v>
      </c>
    </row>
    <row r="19" spans="3:11" x14ac:dyDescent="0.2">
      <c r="C19" s="2">
        <f t="shared" si="0"/>
        <v>115</v>
      </c>
      <c r="D19" t="s">
        <v>51</v>
      </c>
      <c r="E19" t="s">
        <v>61</v>
      </c>
      <c r="F19" t="s">
        <v>74</v>
      </c>
      <c r="G19" s="12">
        <v>60</v>
      </c>
      <c r="H19" s="2">
        <v>4</v>
      </c>
      <c r="I19" t="s">
        <v>23</v>
      </c>
      <c r="J19" s="11" t="s">
        <v>84</v>
      </c>
      <c r="K19" s="10" t="s">
        <v>27</v>
      </c>
    </row>
    <row r="20" spans="3:11" x14ac:dyDescent="0.2">
      <c r="C20" s="2">
        <f t="shared" si="0"/>
        <v>116</v>
      </c>
      <c r="D20" t="s">
        <v>52</v>
      </c>
      <c r="E20" t="s">
        <v>67</v>
      </c>
      <c r="F20" t="s">
        <v>74</v>
      </c>
      <c r="G20" s="12">
        <v>60</v>
      </c>
      <c r="H20" s="2">
        <v>4</v>
      </c>
      <c r="I20" t="s">
        <v>23</v>
      </c>
      <c r="J20" s="11" t="s">
        <v>84</v>
      </c>
      <c r="K20" s="10" t="s">
        <v>27</v>
      </c>
    </row>
    <row r="21" spans="3:11" x14ac:dyDescent="0.2">
      <c r="C21" s="2">
        <f t="shared" si="0"/>
        <v>117</v>
      </c>
      <c r="D21" t="s">
        <v>53</v>
      </c>
      <c r="E21" t="s">
        <v>61</v>
      </c>
      <c r="F21" t="s">
        <v>74</v>
      </c>
      <c r="G21" s="12">
        <v>60</v>
      </c>
      <c r="H21" s="2">
        <v>4</v>
      </c>
      <c r="I21" t="s">
        <v>23</v>
      </c>
      <c r="J21" s="11" t="s">
        <v>84</v>
      </c>
      <c r="K21" s="10" t="s">
        <v>27</v>
      </c>
    </row>
    <row r="22" spans="3:11" x14ac:dyDescent="0.2">
      <c r="C22" s="2">
        <f t="shared" si="0"/>
        <v>118</v>
      </c>
      <c r="D22" t="s">
        <v>54</v>
      </c>
      <c r="E22" t="s">
        <v>59</v>
      </c>
      <c r="F22" t="s">
        <v>76</v>
      </c>
      <c r="G22" s="12">
        <v>30</v>
      </c>
      <c r="H22" s="2">
        <v>4</v>
      </c>
      <c r="I22" t="s">
        <v>26</v>
      </c>
      <c r="J22" s="11" t="s">
        <v>86</v>
      </c>
      <c r="K22" s="10" t="s">
        <v>27</v>
      </c>
    </row>
    <row r="23" spans="3:11" x14ac:dyDescent="0.2">
      <c r="C23" s="2">
        <f t="shared" si="0"/>
        <v>119</v>
      </c>
      <c r="D23" t="s">
        <v>55</v>
      </c>
      <c r="E23" t="s">
        <v>61</v>
      </c>
      <c r="F23" t="s">
        <v>77</v>
      </c>
      <c r="G23" s="12">
        <v>60</v>
      </c>
      <c r="H23" s="2">
        <v>2</v>
      </c>
      <c r="I23" t="s">
        <v>25</v>
      </c>
      <c r="J23" s="11" t="s">
        <v>87</v>
      </c>
      <c r="K23" s="10" t="s">
        <v>27</v>
      </c>
    </row>
    <row r="24" spans="3:11" x14ac:dyDescent="0.2">
      <c r="C24" s="2">
        <f t="shared" si="0"/>
        <v>120</v>
      </c>
      <c r="D24" t="s">
        <v>56</v>
      </c>
      <c r="E24" t="s">
        <v>68</v>
      </c>
      <c r="F24" t="s">
        <v>78</v>
      </c>
      <c r="G24" s="12">
        <v>60</v>
      </c>
      <c r="H24" s="2">
        <v>4</v>
      </c>
      <c r="I24" t="s">
        <v>26</v>
      </c>
      <c r="J24" s="11" t="s">
        <v>86</v>
      </c>
      <c r="K24" s="10" t="s">
        <v>27</v>
      </c>
    </row>
  </sheetData>
  <hyperlinks>
    <hyperlink ref="J5" r:id="rId1" xr:uid="{3BFF100D-5F26-3A40-BA6B-32906D0AB0C2}"/>
    <hyperlink ref="J6" r:id="rId2" xr:uid="{DAEC3547-A625-E141-9E05-E08210726355}"/>
    <hyperlink ref="J7" r:id="rId3" xr:uid="{7CD3C45A-B007-F34A-9D2B-9BF6E49698E1}"/>
    <hyperlink ref="J8" r:id="rId4" xr:uid="{CDBF5EF3-61AB-4F41-AB2E-458A0C776AC6}"/>
    <hyperlink ref="J9" r:id="rId5" xr:uid="{85442B39-6DEA-AA46-BA99-D65AA8C7CC9E}"/>
    <hyperlink ref="J10" r:id="rId6" xr:uid="{EE1067CB-3D1A-2D44-A50D-EB936EAF84CE}"/>
    <hyperlink ref="J11" r:id="rId7" xr:uid="{38123834-18FA-4B4C-983F-0AF8411856E7}"/>
    <hyperlink ref="J12" r:id="rId8" xr:uid="{F644D934-049D-DD45-B9D6-0326EB2A1399}"/>
    <hyperlink ref="J13" r:id="rId9" xr:uid="{B19601FC-7FAF-574D-8972-38D366AC531D}"/>
    <hyperlink ref="J14" r:id="rId10" xr:uid="{2BC32264-3AFA-C643-99D9-61411A191E3C}"/>
    <hyperlink ref="J15" r:id="rId11" xr:uid="{1F8B5EA1-841C-5341-9B9D-68383A21FF61}"/>
    <hyperlink ref="J16" r:id="rId12" xr:uid="{CCD91297-9CA0-F04F-BA45-FBB83CC6C9BC}"/>
    <hyperlink ref="J17" r:id="rId13" xr:uid="{D557152C-8568-8543-B2D3-EBBE66BFC6EB}"/>
    <hyperlink ref="J18" r:id="rId14" xr:uid="{AFBF0F02-0E1C-DB47-8734-77585256700C}"/>
    <hyperlink ref="J19" r:id="rId15" xr:uid="{0B086BE2-05B1-894C-BEA9-AF83922BB7C2}"/>
    <hyperlink ref="J20" r:id="rId16" xr:uid="{7DDFDBD9-3CDF-B948-8508-C335182A8D74}"/>
    <hyperlink ref="J21" r:id="rId17" xr:uid="{08398281-FD76-0040-8D7F-136D440A6335}"/>
    <hyperlink ref="J22" r:id="rId18" xr:uid="{2A2D4036-5CC2-8542-BBD4-1A36326FEB45}"/>
    <hyperlink ref="J23" r:id="rId19" xr:uid="{ABC2AC51-CF52-2F45-987F-6B1F6C310DE1}"/>
    <hyperlink ref="J24" r:id="rId20" xr:uid="{A85332C4-7871-444D-9170-246B18C24AEE}"/>
  </hyperlinks>
  <pageMargins left="0.7" right="0.7" top="0.75" bottom="0.75" header="0.3" footer="0.3"/>
  <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Summary</vt:lpstr>
      <vt:lpstr>Inventory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Microsoft Office User</cp:lastModifiedBy>
  <dcterms:created xsi:type="dcterms:W3CDTF">2024-08-31T08:46:09Z</dcterms:created>
  <dcterms:modified xsi:type="dcterms:W3CDTF">2025-05-08T02:25:52Z</dcterms:modified>
</cp:coreProperties>
</file>