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merry-vally/Downloads/"/>
    </mc:Choice>
  </mc:AlternateContent>
  <xr:revisionPtr revIDLastSave="0" documentId="13_ncr:1_{77A2BC83-1A3D-CD41-995F-06786704C7A8}" xr6:coauthVersionLast="47" xr6:coauthVersionMax="47" xr10:uidLastSave="{00000000-0000-0000-0000-000000000000}"/>
  <bookViews>
    <workbookView xWindow="0" yWindow="600" windowWidth="28800" windowHeight="15860" activeTab="3" xr2:uid="{00000000-000D-0000-FFFF-FFFF00000000}"/>
  </bookViews>
  <sheets>
    <sheet name="Продажи" sheetId="1" r:id="rId1"/>
    <sheet name="Реестр" sheetId="2" r:id="rId2"/>
    <sheet name="Действия" sheetId="3" r:id="rId3"/>
    <sheet name="Визуальное оформление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106" i="3" l="1"/>
  <c r="V106" i="3"/>
  <c r="N106" i="3"/>
  <c r="Y106" i="3" s="1"/>
  <c r="M106" i="3"/>
  <c r="L106" i="3"/>
  <c r="W105" i="3"/>
  <c r="V105" i="3"/>
  <c r="M105" i="3"/>
  <c r="L105" i="3"/>
  <c r="N105" i="3" s="1"/>
  <c r="W104" i="3"/>
  <c r="V104" i="3"/>
  <c r="R104" i="3"/>
  <c r="M104" i="3"/>
  <c r="L104" i="3"/>
  <c r="N104" i="3" s="1"/>
  <c r="W103" i="3"/>
  <c r="V103" i="3"/>
  <c r="S103" i="3"/>
  <c r="T103" i="3" s="1"/>
  <c r="U103" i="3" s="1"/>
  <c r="P103" i="3"/>
  <c r="N103" i="3"/>
  <c r="R103" i="3" s="1"/>
  <c r="M103" i="3"/>
  <c r="L103" i="3"/>
  <c r="W102" i="3"/>
  <c r="V102" i="3"/>
  <c r="N102" i="3"/>
  <c r="M102" i="3"/>
  <c r="L102" i="3"/>
  <c r="W101" i="3"/>
  <c r="V101" i="3"/>
  <c r="R101" i="3"/>
  <c r="O101" i="3"/>
  <c r="N101" i="3"/>
  <c r="M101" i="3"/>
  <c r="L101" i="3"/>
  <c r="W100" i="3"/>
  <c r="V100" i="3"/>
  <c r="M100" i="3"/>
  <c r="L100" i="3"/>
  <c r="N100" i="3" s="1"/>
  <c r="R100" i="3" s="1"/>
  <c r="W99" i="3"/>
  <c r="V99" i="3"/>
  <c r="N99" i="3"/>
  <c r="M99" i="3"/>
  <c r="L99" i="3"/>
  <c r="W98" i="3"/>
  <c r="V98" i="3"/>
  <c r="M98" i="3"/>
  <c r="L98" i="3"/>
  <c r="N98" i="3" s="1"/>
  <c r="W97" i="3"/>
  <c r="V97" i="3"/>
  <c r="M97" i="3"/>
  <c r="L97" i="3"/>
  <c r="N97" i="3" s="1"/>
  <c r="Y96" i="3"/>
  <c r="W96" i="3"/>
  <c r="V96" i="3"/>
  <c r="R96" i="3"/>
  <c r="Q96" i="3"/>
  <c r="P96" i="3"/>
  <c r="O96" i="3"/>
  <c r="M96" i="3"/>
  <c r="L96" i="3"/>
  <c r="N96" i="3" s="1"/>
  <c r="S96" i="3" s="1"/>
  <c r="T96" i="3" s="1"/>
  <c r="U96" i="3" s="1"/>
  <c r="W95" i="3"/>
  <c r="V95" i="3"/>
  <c r="S95" i="3"/>
  <c r="T95" i="3" s="1"/>
  <c r="U95" i="3" s="1"/>
  <c r="R95" i="3"/>
  <c r="O95" i="3"/>
  <c r="N95" i="3"/>
  <c r="M95" i="3"/>
  <c r="L95" i="3"/>
  <c r="W94" i="3"/>
  <c r="V94" i="3"/>
  <c r="N94" i="3"/>
  <c r="M94" i="3"/>
  <c r="L94" i="3"/>
  <c r="W93" i="3"/>
  <c r="V93" i="3"/>
  <c r="R93" i="3"/>
  <c r="N93" i="3"/>
  <c r="P93" i="3" s="1"/>
  <c r="M93" i="3"/>
  <c r="L93" i="3"/>
  <c r="Y92" i="3"/>
  <c r="W92" i="3"/>
  <c r="V92" i="3"/>
  <c r="P92" i="3"/>
  <c r="O92" i="3"/>
  <c r="M92" i="3"/>
  <c r="L92" i="3"/>
  <c r="N92" i="3" s="1"/>
  <c r="W91" i="3"/>
  <c r="V91" i="3"/>
  <c r="S91" i="3"/>
  <c r="T91" i="3" s="1"/>
  <c r="U91" i="3" s="1"/>
  <c r="R91" i="3"/>
  <c r="P91" i="3"/>
  <c r="O91" i="3"/>
  <c r="N91" i="3"/>
  <c r="M91" i="3"/>
  <c r="L91" i="3"/>
  <c r="W90" i="3"/>
  <c r="V90" i="3"/>
  <c r="N90" i="3"/>
  <c r="M90" i="3"/>
  <c r="L90" i="3"/>
  <c r="W89" i="3"/>
  <c r="V89" i="3"/>
  <c r="M89" i="3"/>
  <c r="L89" i="3"/>
  <c r="N89" i="3" s="1"/>
  <c r="W88" i="3"/>
  <c r="V88" i="3"/>
  <c r="M88" i="3"/>
  <c r="L88" i="3"/>
  <c r="N88" i="3" s="1"/>
  <c r="W87" i="3"/>
  <c r="V87" i="3"/>
  <c r="P87" i="3"/>
  <c r="N87" i="3"/>
  <c r="M87" i="3"/>
  <c r="L87" i="3"/>
  <c r="W86" i="3"/>
  <c r="V86" i="3"/>
  <c r="M86" i="3"/>
  <c r="L86" i="3"/>
  <c r="N86" i="3" s="1"/>
  <c r="W85" i="3"/>
  <c r="V85" i="3"/>
  <c r="M85" i="3"/>
  <c r="L85" i="3"/>
  <c r="N85" i="3" s="1"/>
  <c r="W84" i="3"/>
  <c r="V84" i="3"/>
  <c r="O84" i="3"/>
  <c r="M84" i="3"/>
  <c r="L84" i="3"/>
  <c r="N84" i="3" s="1"/>
  <c r="S84" i="3" s="1"/>
  <c r="W83" i="3"/>
  <c r="V83" i="3"/>
  <c r="S83" i="3"/>
  <c r="T83" i="3" s="1"/>
  <c r="U83" i="3" s="1"/>
  <c r="N83" i="3"/>
  <c r="O83" i="3" s="1"/>
  <c r="Q83" i="3" s="1"/>
  <c r="M83" i="3"/>
  <c r="L83" i="3"/>
  <c r="Y82" i="3"/>
  <c r="W82" i="3"/>
  <c r="V82" i="3"/>
  <c r="P82" i="3"/>
  <c r="N82" i="3"/>
  <c r="R82" i="3" s="1"/>
  <c r="M82" i="3"/>
  <c r="L82" i="3"/>
  <c r="W81" i="3"/>
  <c r="V81" i="3"/>
  <c r="M81" i="3"/>
  <c r="L81" i="3"/>
  <c r="N81" i="3" s="1"/>
  <c r="W80" i="3"/>
  <c r="V80" i="3"/>
  <c r="R80" i="3"/>
  <c r="P80" i="3"/>
  <c r="M80" i="3"/>
  <c r="L80" i="3"/>
  <c r="N80" i="3" s="1"/>
  <c r="S80" i="3" s="1"/>
  <c r="W79" i="3"/>
  <c r="V79" i="3"/>
  <c r="N79" i="3"/>
  <c r="R79" i="3" s="1"/>
  <c r="M79" i="3"/>
  <c r="L79" i="3"/>
  <c r="W78" i="3"/>
  <c r="V78" i="3"/>
  <c r="N78" i="3"/>
  <c r="R78" i="3" s="1"/>
  <c r="M78" i="3"/>
  <c r="L78" i="3"/>
  <c r="Y77" i="3"/>
  <c r="W77" i="3"/>
  <c r="V77" i="3"/>
  <c r="O77" i="3"/>
  <c r="N77" i="3"/>
  <c r="P77" i="3" s="1"/>
  <c r="M77" i="3"/>
  <c r="S77" i="3" s="1"/>
  <c r="L77" i="3"/>
  <c r="W76" i="3"/>
  <c r="V76" i="3"/>
  <c r="M76" i="3"/>
  <c r="L76" i="3"/>
  <c r="N76" i="3" s="1"/>
  <c r="Y76" i="3" s="1"/>
  <c r="Y75" i="3"/>
  <c r="X75" i="3"/>
  <c r="W75" i="3"/>
  <c r="V75" i="3"/>
  <c r="U75" i="3"/>
  <c r="S75" i="3"/>
  <c r="T75" i="3" s="1"/>
  <c r="R75" i="3"/>
  <c r="Q75" i="3"/>
  <c r="P75" i="3"/>
  <c r="O75" i="3"/>
  <c r="N75" i="3"/>
  <c r="M75" i="3"/>
  <c r="L75" i="3"/>
  <c r="W74" i="3"/>
  <c r="V74" i="3"/>
  <c r="N74" i="3"/>
  <c r="R74" i="3" s="1"/>
  <c r="M74" i="3"/>
  <c r="L74" i="3"/>
  <c r="W73" i="3"/>
  <c r="V73" i="3"/>
  <c r="M73" i="3"/>
  <c r="L73" i="3"/>
  <c r="N73" i="3" s="1"/>
  <c r="Y72" i="3"/>
  <c r="W72" i="3"/>
  <c r="V72" i="3"/>
  <c r="R72" i="3"/>
  <c r="P72" i="3"/>
  <c r="O72" i="3"/>
  <c r="Q72" i="3" s="1"/>
  <c r="M72" i="3"/>
  <c r="S72" i="3" s="1"/>
  <c r="L72" i="3"/>
  <c r="N72" i="3" s="1"/>
  <c r="W71" i="3"/>
  <c r="V71" i="3"/>
  <c r="R71" i="3"/>
  <c r="O71" i="3"/>
  <c r="N71" i="3"/>
  <c r="Y71" i="3" s="1"/>
  <c r="M71" i="3"/>
  <c r="L71" i="3"/>
  <c r="W70" i="3"/>
  <c r="V70" i="3"/>
  <c r="M70" i="3"/>
  <c r="L70" i="3"/>
  <c r="N70" i="3" s="1"/>
  <c r="W69" i="3"/>
  <c r="V69" i="3"/>
  <c r="M69" i="3"/>
  <c r="L69" i="3"/>
  <c r="N69" i="3" s="1"/>
  <c r="Y68" i="3"/>
  <c r="W68" i="3"/>
  <c r="V68" i="3"/>
  <c r="S68" i="3"/>
  <c r="T68" i="3" s="1"/>
  <c r="U68" i="3" s="1"/>
  <c r="M68" i="3"/>
  <c r="L68" i="3"/>
  <c r="N68" i="3" s="1"/>
  <c r="O68" i="3" s="1"/>
  <c r="Q68" i="3" s="1"/>
  <c r="W67" i="3"/>
  <c r="V67" i="3"/>
  <c r="R67" i="3"/>
  <c r="O67" i="3"/>
  <c r="Q67" i="3" s="1"/>
  <c r="N67" i="3"/>
  <c r="S67" i="3" s="1"/>
  <c r="M67" i="3"/>
  <c r="L67" i="3"/>
  <c r="W66" i="3"/>
  <c r="V66" i="3"/>
  <c r="M66" i="3"/>
  <c r="L66" i="3"/>
  <c r="N66" i="3" s="1"/>
  <c r="W65" i="3"/>
  <c r="V65" i="3"/>
  <c r="N65" i="3"/>
  <c r="P65" i="3" s="1"/>
  <c r="M65" i="3"/>
  <c r="L65" i="3"/>
  <c r="Y64" i="3"/>
  <c r="W64" i="3"/>
  <c r="V64" i="3"/>
  <c r="P64" i="3"/>
  <c r="M64" i="3"/>
  <c r="L64" i="3"/>
  <c r="N64" i="3" s="1"/>
  <c r="R64" i="3" s="1"/>
  <c r="Y63" i="3"/>
  <c r="W63" i="3"/>
  <c r="V63" i="3"/>
  <c r="R63" i="3"/>
  <c r="Q63" i="3"/>
  <c r="P63" i="3"/>
  <c r="O63" i="3"/>
  <c r="N63" i="3"/>
  <c r="M63" i="3"/>
  <c r="S63" i="3" s="1"/>
  <c r="L63" i="3"/>
  <c r="W62" i="3"/>
  <c r="V62" i="3"/>
  <c r="O62" i="3"/>
  <c r="Q62" i="3" s="1"/>
  <c r="N62" i="3"/>
  <c r="R62" i="3" s="1"/>
  <c r="M62" i="3"/>
  <c r="S62" i="3" s="1"/>
  <c r="L62" i="3"/>
  <c r="W61" i="3"/>
  <c r="V61" i="3"/>
  <c r="R61" i="3"/>
  <c r="N61" i="3"/>
  <c r="P61" i="3" s="1"/>
  <c r="M61" i="3"/>
  <c r="L61" i="3"/>
  <c r="Y60" i="3"/>
  <c r="W60" i="3"/>
  <c r="V60" i="3"/>
  <c r="S60" i="3"/>
  <c r="T60" i="3" s="1"/>
  <c r="U60" i="3" s="1"/>
  <c r="R60" i="3"/>
  <c r="Q60" i="3"/>
  <c r="P60" i="3"/>
  <c r="O60" i="3"/>
  <c r="M60" i="3"/>
  <c r="L60" i="3"/>
  <c r="N60" i="3" s="1"/>
  <c r="Y59" i="3"/>
  <c r="W59" i="3"/>
  <c r="V59" i="3"/>
  <c r="P59" i="3"/>
  <c r="O59" i="3"/>
  <c r="N59" i="3"/>
  <c r="Q59" i="3" s="1"/>
  <c r="M59" i="3"/>
  <c r="S59" i="3" s="1"/>
  <c r="L59" i="3"/>
  <c r="W58" i="3"/>
  <c r="V58" i="3"/>
  <c r="M58" i="3"/>
  <c r="L58" i="3"/>
  <c r="N58" i="3" s="1"/>
  <c r="W57" i="3"/>
  <c r="V57" i="3"/>
  <c r="N57" i="3"/>
  <c r="P57" i="3" s="1"/>
  <c r="M57" i="3"/>
  <c r="L57" i="3"/>
  <c r="W56" i="3"/>
  <c r="V56" i="3"/>
  <c r="R56" i="3"/>
  <c r="O56" i="3"/>
  <c r="M56" i="3"/>
  <c r="S56" i="3" s="1"/>
  <c r="L56" i="3"/>
  <c r="N56" i="3" s="1"/>
  <c r="P56" i="3" s="1"/>
  <c r="Y55" i="3"/>
  <c r="W55" i="3"/>
  <c r="V55" i="3"/>
  <c r="P55" i="3"/>
  <c r="N55" i="3"/>
  <c r="S55" i="3" s="1"/>
  <c r="M55" i="3"/>
  <c r="L55" i="3"/>
  <c r="W54" i="3"/>
  <c r="V54" i="3"/>
  <c r="M54" i="3"/>
  <c r="L54" i="3"/>
  <c r="N54" i="3" s="1"/>
  <c r="W53" i="3"/>
  <c r="V53" i="3"/>
  <c r="M53" i="3"/>
  <c r="L53" i="3"/>
  <c r="N53" i="3" s="1"/>
  <c r="W52" i="3"/>
  <c r="V52" i="3"/>
  <c r="O52" i="3"/>
  <c r="M52" i="3"/>
  <c r="L52" i="3"/>
  <c r="N52" i="3" s="1"/>
  <c r="S52" i="3" s="1"/>
  <c r="W51" i="3"/>
  <c r="V51" i="3"/>
  <c r="S51" i="3"/>
  <c r="T51" i="3" s="1"/>
  <c r="U51" i="3" s="1"/>
  <c r="N51" i="3"/>
  <c r="O51" i="3" s="1"/>
  <c r="Q51" i="3" s="1"/>
  <c r="M51" i="3"/>
  <c r="L51" i="3"/>
  <c r="Y50" i="3"/>
  <c r="W50" i="3"/>
  <c r="V50" i="3"/>
  <c r="P50" i="3"/>
  <c r="N50" i="3"/>
  <c r="R50" i="3" s="1"/>
  <c r="M50" i="3"/>
  <c r="L50" i="3"/>
  <c r="W49" i="3"/>
  <c r="V49" i="3"/>
  <c r="M49" i="3"/>
  <c r="L49" i="3"/>
  <c r="N49" i="3" s="1"/>
  <c r="W48" i="3"/>
  <c r="V48" i="3"/>
  <c r="R48" i="3"/>
  <c r="P48" i="3"/>
  <c r="M48" i="3"/>
  <c r="L48" i="3"/>
  <c r="N48" i="3" s="1"/>
  <c r="S48" i="3" s="1"/>
  <c r="W47" i="3"/>
  <c r="V47" i="3"/>
  <c r="N47" i="3"/>
  <c r="R47" i="3" s="1"/>
  <c r="M47" i="3"/>
  <c r="L47" i="3"/>
  <c r="W46" i="3"/>
  <c r="V46" i="3"/>
  <c r="N46" i="3"/>
  <c r="R46" i="3" s="1"/>
  <c r="M46" i="3"/>
  <c r="L46" i="3"/>
  <c r="Y45" i="3"/>
  <c r="W45" i="3"/>
  <c r="V45" i="3"/>
  <c r="R45" i="3"/>
  <c r="O45" i="3"/>
  <c r="N45" i="3"/>
  <c r="P45" i="3" s="1"/>
  <c r="M45" i="3"/>
  <c r="S45" i="3" s="1"/>
  <c r="L45" i="3"/>
  <c r="W44" i="3"/>
  <c r="V44" i="3"/>
  <c r="M44" i="3"/>
  <c r="L44" i="3"/>
  <c r="N44" i="3" s="1"/>
  <c r="Y44" i="3" s="1"/>
  <c r="Y43" i="3"/>
  <c r="X43" i="3"/>
  <c r="W43" i="3"/>
  <c r="V43" i="3"/>
  <c r="S43" i="3"/>
  <c r="T43" i="3" s="1"/>
  <c r="U43" i="3" s="1"/>
  <c r="R43" i="3"/>
  <c r="Q43" i="3"/>
  <c r="P43" i="3"/>
  <c r="O43" i="3"/>
  <c r="N43" i="3"/>
  <c r="M43" i="3"/>
  <c r="L43" i="3"/>
  <c r="W42" i="3"/>
  <c r="V42" i="3"/>
  <c r="N42" i="3"/>
  <c r="R42" i="3" s="1"/>
  <c r="M42" i="3"/>
  <c r="L42" i="3"/>
  <c r="W41" i="3"/>
  <c r="V41" i="3"/>
  <c r="M41" i="3"/>
  <c r="L41" i="3"/>
  <c r="N41" i="3" s="1"/>
  <c r="Y40" i="3"/>
  <c r="W40" i="3"/>
  <c r="V40" i="3"/>
  <c r="R40" i="3"/>
  <c r="P40" i="3"/>
  <c r="O40" i="3"/>
  <c r="Q40" i="3" s="1"/>
  <c r="M40" i="3"/>
  <c r="S40" i="3" s="1"/>
  <c r="L40" i="3"/>
  <c r="N40" i="3" s="1"/>
  <c r="W39" i="3"/>
  <c r="V39" i="3"/>
  <c r="M39" i="3"/>
  <c r="L39" i="3"/>
  <c r="N39" i="3" s="1"/>
  <c r="W38" i="3"/>
  <c r="V38" i="3"/>
  <c r="M38" i="3"/>
  <c r="L38" i="3"/>
  <c r="N38" i="3" s="1"/>
  <c r="W37" i="3"/>
  <c r="V37" i="3"/>
  <c r="P37" i="3"/>
  <c r="N37" i="3"/>
  <c r="S37" i="3" s="1"/>
  <c r="M37" i="3"/>
  <c r="L37" i="3"/>
  <c r="W36" i="3"/>
  <c r="V36" i="3"/>
  <c r="N36" i="3"/>
  <c r="R36" i="3" s="1"/>
  <c r="M36" i="3"/>
  <c r="L36" i="3"/>
  <c r="W35" i="3"/>
  <c r="V35" i="3"/>
  <c r="M35" i="3"/>
  <c r="L35" i="3"/>
  <c r="N35" i="3" s="1"/>
  <c r="W34" i="3"/>
  <c r="V34" i="3"/>
  <c r="M34" i="3"/>
  <c r="L34" i="3"/>
  <c r="N34" i="3" s="1"/>
  <c r="W33" i="3"/>
  <c r="V33" i="3"/>
  <c r="P33" i="3"/>
  <c r="N33" i="3"/>
  <c r="S33" i="3" s="1"/>
  <c r="M33" i="3"/>
  <c r="L33" i="3"/>
  <c r="W32" i="3"/>
  <c r="V32" i="3"/>
  <c r="N32" i="3"/>
  <c r="R32" i="3" s="1"/>
  <c r="M32" i="3"/>
  <c r="L32" i="3"/>
  <c r="W31" i="3"/>
  <c r="V31" i="3"/>
  <c r="M31" i="3"/>
  <c r="L31" i="3"/>
  <c r="N31" i="3" s="1"/>
  <c r="W30" i="3"/>
  <c r="V30" i="3"/>
  <c r="M30" i="3"/>
  <c r="L30" i="3"/>
  <c r="N30" i="3" s="1"/>
  <c r="W29" i="3"/>
  <c r="V29" i="3"/>
  <c r="P29" i="3"/>
  <c r="N29" i="3"/>
  <c r="S29" i="3" s="1"/>
  <c r="M29" i="3"/>
  <c r="L29" i="3"/>
  <c r="W28" i="3"/>
  <c r="V28" i="3"/>
  <c r="N28" i="3"/>
  <c r="R28" i="3" s="1"/>
  <c r="M28" i="3"/>
  <c r="L28" i="3"/>
  <c r="W27" i="3"/>
  <c r="V27" i="3"/>
  <c r="M27" i="3"/>
  <c r="L27" i="3"/>
  <c r="N27" i="3" s="1"/>
  <c r="W26" i="3"/>
  <c r="V26" i="3"/>
  <c r="M26" i="3"/>
  <c r="L26" i="3"/>
  <c r="N26" i="3" s="1"/>
  <c r="W25" i="3"/>
  <c r="V25" i="3"/>
  <c r="P25" i="3"/>
  <c r="N25" i="3"/>
  <c r="S25" i="3" s="1"/>
  <c r="M25" i="3"/>
  <c r="L25" i="3"/>
  <c r="W24" i="3"/>
  <c r="M24" i="3"/>
  <c r="L24" i="3"/>
  <c r="W23" i="3"/>
  <c r="M23" i="3"/>
  <c r="L23" i="3"/>
  <c r="W22" i="3"/>
  <c r="M22" i="3"/>
  <c r="L22" i="3"/>
  <c r="W21" i="3"/>
  <c r="M21" i="3"/>
  <c r="L21" i="3"/>
  <c r="N21" i="3" s="1"/>
  <c r="W20" i="3"/>
  <c r="M20" i="3"/>
  <c r="L20" i="3"/>
  <c r="W19" i="3"/>
  <c r="M19" i="3"/>
  <c r="L19" i="3"/>
  <c r="W18" i="3"/>
  <c r="M18" i="3"/>
  <c r="L18" i="3"/>
  <c r="N18" i="3" s="1"/>
  <c r="W17" i="3"/>
  <c r="M17" i="3"/>
  <c r="L17" i="3"/>
  <c r="N17" i="3" s="1"/>
  <c r="W16" i="3"/>
  <c r="M16" i="3"/>
  <c r="L16" i="3"/>
  <c r="W15" i="3"/>
  <c r="M15" i="3"/>
  <c r="L15" i="3"/>
  <c r="W14" i="3"/>
  <c r="M14" i="3"/>
  <c r="L14" i="3"/>
  <c r="W13" i="3"/>
  <c r="M13" i="3"/>
  <c r="L13" i="3"/>
  <c r="N13" i="3" s="1"/>
  <c r="W12" i="3"/>
  <c r="M12" i="3"/>
  <c r="L12" i="3"/>
  <c r="W11" i="3"/>
  <c r="M11" i="3"/>
  <c r="L11" i="3"/>
  <c r="W10" i="3"/>
  <c r="M10" i="3"/>
  <c r="L10" i="3"/>
  <c r="W9" i="3"/>
  <c r="M9" i="3"/>
  <c r="L9" i="3"/>
  <c r="N9" i="3" s="1"/>
  <c r="W8" i="3"/>
  <c r="M8" i="3"/>
  <c r="L8" i="3"/>
  <c r="W7" i="3"/>
  <c r="M7" i="3"/>
  <c r="L7" i="3"/>
  <c r="AB106" i="2"/>
  <c r="AA106" i="2"/>
  <c r="Z106" i="2"/>
  <c r="Y106" i="2"/>
  <c r="X106" i="2"/>
  <c r="W106" i="2"/>
  <c r="V106" i="2"/>
  <c r="AC106" i="2" s="1"/>
  <c r="AB105" i="2"/>
  <c r="AA105" i="2"/>
  <c r="Z105" i="2"/>
  <c r="Y105" i="2"/>
  <c r="X105" i="2"/>
  <c r="W105" i="2"/>
  <c r="V105" i="2"/>
  <c r="AC105" i="2" s="1"/>
  <c r="AB104" i="2"/>
  <c r="AA104" i="2"/>
  <c r="Z104" i="2"/>
  <c r="Y104" i="2"/>
  <c r="X104" i="2"/>
  <c r="W104" i="2"/>
  <c r="V104" i="2"/>
  <c r="AC104" i="2" s="1"/>
  <c r="AB103" i="2"/>
  <c r="AA103" i="2"/>
  <c r="Z103" i="2"/>
  <c r="Y103" i="2"/>
  <c r="X103" i="2"/>
  <c r="W103" i="2"/>
  <c r="V103" i="2"/>
  <c r="AC103" i="2" s="1"/>
  <c r="AB102" i="2"/>
  <c r="AA102" i="2"/>
  <c r="Z102" i="2"/>
  <c r="Y102" i="2"/>
  <c r="X102" i="2"/>
  <c r="W102" i="2"/>
  <c r="V102" i="2"/>
  <c r="AC102" i="2" s="1"/>
  <c r="AB101" i="2"/>
  <c r="AA101" i="2"/>
  <c r="Z101" i="2"/>
  <c r="Y101" i="2"/>
  <c r="X101" i="2"/>
  <c r="W101" i="2"/>
  <c r="V101" i="2"/>
  <c r="AC101" i="2" s="1"/>
  <c r="AB100" i="2"/>
  <c r="AA100" i="2"/>
  <c r="Z100" i="2"/>
  <c r="Y100" i="2"/>
  <c r="X100" i="2"/>
  <c r="W100" i="2"/>
  <c r="V100" i="2"/>
  <c r="AC100" i="2" s="1"/>
  <c r="AB99" i="2"/>
  <c r="AA99" i="2"/>
  <c r="Z99" i="2"/>
  <c r="Y99" i="2"/>
  <c r="X99" i="2"/>
  <c r="W99" i="2"/>
  <c r="V99" i="2"/>
  <c r="AC99" i="2" s="1"/>
  <c r="AB98" i="2"/>
  <c r="AA98" i="2"/>
  <c r="Z98" i="2"/>
  <c r="Y98" i="2"/>
  <c r="X98" i="2"/>
  <c r="W98" i="2"/>
  <c r="V98" i="2"/>
  <c r="AC98" i="2" s="1"/>
  <c r="AB97" i="2"/>
  <c r="AA97" i="2"/>
  <c r="Z97" i="2"/>
  <c r="Y97" i="2"/>
  <c r="X97" i="2"/>
  <c r="W97" i="2"/>
  <c r="V97" i="2"/>
  <c r="AC97" i="2" s="1"/>
  <c r="AB96" i="2"/>
  <c r="AA96" i="2"/>
  <c r="Z96" i="2"/>
  <c r="Y96" i="2"/>
  <c r="X96" i="2"/>
  <c r="W96" i="2"/>
  <c r="V96" i="2"/>
  <c r="AC96" i="2" s="1"/>
  <c r="AB95" i="2"/>
  <c r="AA95" i="2"/>
  <c r="Z95" i="2"/>
  <c r="Y95" i="2"/>
  <c r="X95" i="2"/>
  <c r="W95" i="2"/>
  <c r="V95" i="2"/>
  <c r="AC95" i="2" s="1"/>
  <c r="AB94" i="2"/>
  <c r="AA94" i="2"/>
  <c r="Z94" i="2"/>
  <c r="Y94" i="2"/>
  <c r="X94" i="2"/>
  <c r="W94" i="2"/>
  <c r="V94" i="2"/>
  <c r="AC94" i="2" s="1"/>
  <c r="AB93" i="2"/>
  <c r="AA93" i="2"/>
  <c r="Z93" i="2"/>
  <c r="Y93" i="2"/>
  <c r="X93" i="2"/>
  <c r="W93" i="2"/>
  <c r="V93" i="2"/>
  <c r="AC93" i="2" s="1"/>
  <c r="AB92" i="2"/>
  <c r="AA92" i="2"/>
  <c r="Z92" i="2"/>
  <c r="Y92" i="2"/>
  <c r="X92" i="2"/>
  <c r="W92" i="2"/>
  <c r="V92" i="2"/>
  <c r="AC92" i="2" s="1"/>
  <c r="AB91" i="2"/>
  <c r="AA91" i="2"/>
  <c r="Z91" i="2"/>
  <c r="Y91" i="2"/>
  <c r="X91" i="2"/>
  <c r="W91" i="2"/>
  <c r="V91" i="2"/>
  <c r="AC91" i="2" s="1"/>
  <c r="AB90" i="2"/>
  <c r="AA90" i="2"/>
  <c r="Z90" i="2"/>
  <c r="Y90" i="2"/>
  <c r="X90" i="2"/>
  <c r="W90" i="2"/>
  <c r="V90" i="2"/>
  <c r="AC90" i="2" s="1"/>
  <c r="AB89" i="2"/>
  <c r="AA89" i="2"/>
  <c r="Z89" i="2"/>
  <c r="Y89" i="2"/>
  <c r="X89" i="2"/>
  <c r="W89" i="2"/>
  <c r="V89" i="2"/>
  <c r="AC89" i="2" s="1"/>
  <c r="AB88" i="2"/>
  <c r="AA88" i="2"/>
  <c r="Z88" i="2"/>
  <c r="Y88" i="2"/>
  <c r="X88" i="2"/>
  <c r="W88" i="2"/>
  <c r="V88" i="2"/>
  <c r="AC88" i="2" s="1"/>
  <c r="AB87" i="2"/>
  <c r="AA87" i="2"/>
  <c r="Z87" i="2"/>
  <c r="Y87" i="2"/>
  <c r="X87" i="2"/>
  <c r="W87" i="2"/>
  <c r="V87" i="2"/>
  <c r="AC87" i="2" s="1"/>
  <c r="AB86" i="2"/>
  <c r="AA86" i="2"/>
  <c r="Z86" i="2"/>
  <c r="Y86" i="2"/>
  <c r="X86" i="2"/>
  <c r="W86" i="2"/>
  <c r="V86" i="2"/>
  <c r="AC86" i="2" s="1"/>
  <c r="AB85" i="2"/>
  <c r="AA85" i="2"/>
  <c r="Z85" i="2"/>
  <c r="Y85" i="2"/>
  <c r="X85" i="2"/>
  <c r="W85" i="2"/>
  <c r="V85" i="2"/>
  <c r="AC85" i="2" s="1"/>
  <c r="AB84" i="2"/>
  <c r="AA84" i="2"/>
  <c r="Z84" i="2"/>
  <c r="Y84" i="2"/>
  <c r="X84" i="2"/>
  <c r="W84" i="2"/>
  <c r="V84" i="2"/>
  <c r="AC84" i="2" s="1"/>
  <c r="AB83" i="2"/>
  <c r="AA83" i="2"/>
  <c r="Z83" i="2"/>
  <c r="Y83" i="2"/>
  <c r="X83" i="2"/>
  <c r="W83" i="2"/>
  <c r="V83" i="2"/>
  <c r="AC83" i="2" s="1"/>
  <c r="AB82" i="2"/>
  <c r="AA82" i="2"/>
  <c r="Z82" i="2"/>
  <c r="Y82" i="2"/>
  <c r="X82" i="2"/>
  <c r="W82" i="2"/>
  <c r="V82" i="2"/>
  <c r="AC82" i="2" s="1"/>
  <c r="AB81" i="2"/>
  <c r="AA81" i="2"/>
  <c r="Z81" i="2"/>
  <c r="Y81" i="2"/>
  <c r="X81" i="2"/>
  <c r="W81" i="2"/>
  <c r="V81" i="2"/>
  <c r="AC81" i="2" s="1"/>
  <c r="AB80" i="2"/>
  <c r="AA80" i="2"/>
  <c r="Z80" i="2"/>
  <c r="Y80" i="2"/>
  <c r="X80" i="2"/>
  <c r="W80" i="2"/>
  <c r="V80" i="2"/>
  <c r="AC80" i="2" s="1"/>
  <c r="AB79" i="2"/>
  <c r="AA79" i="2"/>
  <c r="Z79" i="2"/>
  <c r="Y79" i="2"/>
  <c r="X79" i="2"/>
  <c r="W79" i="2"/>
  <c r="V79" i="2"/>
  <c r="AC79" i="2" s="1"/>
  <c r="AB78" i="2"/>
  <c r="AA78" i="2"/>
  <c r="Z78" i="2"/>
  <c r="Y78" i="2"/>
  <c r="X78" i="2"/>
  <c r="W78" i="2"/>
  <c r="V78" i="2"/>
  <c r="AC78" i="2" s="1"/>
  <c r="AB77" i="2"/>
  <c r="AA77" i="2"/>
  <c r="Z77" i="2"/>
  <c r="Y77" i="2"/>
  <c r="X77" i="2"/>
  <c r="W77" i="2"/>
  <c r="V77" i="2"/>
  <c r="AC77" i="2" s="1"/>
  <c r="AB76" i="2"/>
  <c r="AA76" i="2"/>
  <c r="Z76" i="2"/>
  <c r="Y76" i="2"/>
  <c r="X76" i="2"/>
  <c r="W76" i="2"/>
  <c r="V76" i="2"/>
  <c r="AC76" i="2" s="1"/>
  <c r="AB75" i="2"/>
  <c r="AA75" i="2"/>
  <c r="Z75" i="2"/>
  <c r="Y75" i="2"/>
  <c r="X75" i="2"/>
  <c r="W75" i="2"/>
  <c r="V75" i="2"/>
  <c r="AC75" i="2" s="1"/>
  <c r="AB74" i="2"/>
  <c r="AA74" i="2"/>
  <c r="Z74" i="2"/>
  <c r="Y74" i="2"/>
  <c r="X74" i="2"/>
  <c r="W74" i="2"/>
  <c r="V74" i="2"/>
  <c r="AC74" i="2" s="1"/>
  <c r="AB73" i="2"/>
  <c r="AA73" i="2"/>
  <c r="Z73" i="2"/>
  <c r="Y73" i="2"/>
  <c r="X73" i="2"/>
  <c r="W73" i="2"/>
  <c r="V73" i="2"/>
  <c r="AC73" i="2" s="1"/>
  <c r="AB72" i="2"/>
  <c r="AA72" i="2"/>
  <c r="Z72" i="2"/>
  <c r="Y72" i="2"/>
  <c r="X72" i="2"/>
  <c r="W72" i="2"/>
  <c r="V72" i="2"/>
  <c r="AC72" i="2" s="1"/>
  <c r="AB71" i="2"/>
  <c r="AA71" i="2"/>
  <c r="Z71" i="2"/>
  <c r="Y71" i="2"/>
  <c r="X71" i="2"/>
  <c r="W71" i="2"/>
  <c r="V71" i="2"/>
  <c r="AC71" i="2" s="1"/>
  <c r="AB70" i="2"/>
  <c r="AA70" i="2"/>
  <c r="Z70" i="2"/>
  <c r="Y70" i="2"/>
  <c r="X70" i="2"/>
  <c r="W70" i="2"/>
  <c r="V70" i="2"/>
  <c r="AC70" i="2" s="1"/>
  <c r="AB69" i="2"/>
  <c r="AA69" i="2"/>
  <c r="Z69" i="2"/>
  <c r="Y69" i="2"/>
  <c r="X69" i="2"/>
  <c r="W69" i="2"/>
  <c r="V69" i="2"/>
  <c r="AC69" i="2" s="1"/>
  <c r="AB68" i="2"/>
  <c r="AA68" i="2"/>
  <c r="Z68" i="2"/>
  <c r="Y68" i="2"/>
  <c r="X68" i="2"/>
  <c r="W68" i="2"/>
  <c r="V68" i="2"/>
  <c r="AC68" i="2" s="1"/>
  <c r="AB67" i="2"/>
  <c r="AA67" i="2"/>
  <c r="Z67" i="2"/>
  <c r="Y67" i="2"/>
  <c r="X67" i="2"/>
  <c r="W67" i="2"/>
  <c r="V67" i="2"/>
  <c r="AC67" i="2" s="1"/>
  <c r="AB66" i="2"/>
  <c r="AA66" i="2"/>
  <c r="Z66" i="2"/>
  <c r="Y66" i="2"/>
  <c r="X66" i="2"/>
  <c r="W66" i="2"/>
  <c r="V66" i="2"/>
  <c r="AC66" i="2" s="1"/>
  <c r="AB65" i="2"/>
  <c r="AA65" i="2"/>
  <c r="Z65" i="2"/>
  <c r="Y65" i="2"/>
  <c r="X65" i="2"/>
  <c r="W65" i="2"/>
  <c r="V65" i="2"/>
  <c r="AC65" i="2" s="1"/>
  <c r="AB64" i="2"/>
  <c r="AA64" i="2"/>
  <c r="Z64" i="2"/>
  <c r="Y64" i="2"/>
  <c r="X64" i="2"/>
  <c r="W64" i="2"/>
  <c r="V64" i="2"/>
  <c r="AC64" i="2" s="1"/>
  <c r="AB63" i="2"/>
  <c r="AA63" i="2"/>
  <c r="Z63" i="2"/>
  <c r="Y63" i="2"/>
  <c r="X63" i="2"/>
  <c r="W63" i="2"/>
  <c r="V63" i="2"/>
  <c r="AC63" i="2" s="1"/>
  <c r="AB62" i="2"/>
  <c r="AA62" i="2"/>
  <c r="Z62" i="2"/>
  <c r="Y62" i="2"/>
  <c r="X62" i="2"/>
  <c r="W62" i="2"/>
  <c r="V62" i="2"/>
  <c r="AC62" i="2" s="1"/>
  <c r="AB61" i="2"/>
  <c r="AA61" i="2"/>
  <c r="Z61" i="2"/>
  <c r="Y61" i="2"/>
  <c r="X61" i="2"/>
  <c r="W61" i="2"/>
  <c r="V61" i="2"/>
  <c r="AC61" i="2" s="1"/>
  <c r="AB60" i="2"/>
  <c r="AA60" i="2"/>
  <c r="Z60" i="2"/>
  <c r="Y60" i="2"/>
  <c r="X60" i="2"/>
  <c r="W60" i="2"/>
  <c r="V60" i="2"/>
  <c r="AC60" i="2" s="1"/>
  <c r="AB59" i="2"/>
  <c r="AA59" i="2"/>
  <c r="Z59" i="2"/>
  <c r="Y59" i="2"/>
  <c r="X59" i="2"/>
  <c r="W59" i="2"/>
  <c r="V59" i="2"/>
  <c r="AC59" i="2" s="1"/>
  <c r="AB58" i="2"/>
  <c r="AA58" i="2"/>
  <c r="Z58" i="2"/>
  <c r="Y58" i="2"/>
  <c r="X58" i="2"/>
  <c r="W58" i="2"/>
  <c r="V58" i="2"/>
  <c r="AC58" i="2" s="1"/>
  <c r="AB57" i="2"/>
  <c r="AA57" i="2"/>
  <c r="Z57" i="2"/>
  <c r="Y57" i="2"/>
  <c r="X57" i="2"/>
  <c r="W57" i="2"/>
  <c r="V57" i="2"/>
  <c r="AC57" i="2" s="1"/>
  <c r="AB56" i="2"/>
  <c r="AA56" i="2"/>
  <c r="Z56" i="2"/>
  <c r="Y56" i="2"/>
  <c r="X56" i="2"/>
  <c r="W56" i="2"/>
  <c r="V56" i="2"/>
  <c r="AC56" i="2" s="1"/>
  <c r="AB55" i="2"/>
  <c r="AA55" i="2"/>
  <c r="Z55" i="2"/>
  <c r="Y55" i="2"/>
  <c r="X55" i="2"/>
  <c r="W55" i="2"/>
  <c r="V55" i="2"/>
  <c r="AC55" i="2" s="1"/>
  <c r="AB54" i="2"/>
  <c r="AA54" i="2"/>
  <c r="Z54" i="2"/>
  <c r="Y54" i="2"/>
  <c r="X54" i="2"/>
  <c r="W54" i="2"/>
  <c r="V54" i="2"/>
  <c r="AC54" i="2" s="1"/>
  <c r="AB53" i="2"/>
  <c r="AA53" i="2"/>
  <c r="Z53" i="2"/>
  <c r="Y53" i="2"/>
  <c r="X53" i="2"/>
  <c r="W53" i="2"/>
  <c r="V53" i="2"/>
  <c r="AC53" i="2" s="1"/>
  <c r="AB52" i="2"/>
  <c r="AA52" i="2"/>
  <c r="Z52" i="2"/>
  <c r="Y52" i="2"/>
  <c r="X52" i="2"/>
  <c r="W52" i="2"/>
  <c r="V52" i="2"/>
  <c r="AC52" i="2" s="1"/>
  <c r="AB51" i="2"/>
  <c r="AA51" i="2"/>
  <c r="Z51" i="2"/>
  <c r="Y51" i="2"/>
  <c r="X51" i="2"/>
  <c r="W51" i="2"/>
  <c r="V51" i="2"/>
  <c r="AC51" i="2" s="1"/>
  <c r="AB50" i="2"/>
  <c r="AA50" i="2"/>
  <c r="Z50" i="2"/>
  <c r="Y50" i="2"/>
  <c r="X50" i="2"/>
  <c r="W50" i="2"/>
  <c r="V50" i="2"/>
  <c r="AC50" i="2" s="1"/>
  <c r="AB49" i="2"/>
  <c r="AA49" i="2"/>
  <c r="Z49" i="2"/>
  <c r="Y49" i="2"/>
  <c r="X49" i="2"/>
  <c r="W49" i="2"/>
  <c r="V49" i="2"/>
  <c r="AC49" i="2" s="1"/>
  <c r="AB48" i="2"/>
  <c r="AA48" i="2"/>
  <c r="Z48" i="2"/>
  <c r="Y48" i="2"/>
  <c r="X48" i="2"/>
  <c r="W48" i="2"/>
  <c r="V48" i="2"/>
  <c r="AC48" i="2" s="1"/>
  <c r="AB47" i="2"/>
  <c r="AA47" i="2"/>
  <c r="Z47" i="2"/>
  <c r="Y47" i="2"/>
  <c r="X47" i="2"/>
  <c r="W47" i="2"/>
  <c r="V47" i="2"/>
  <c r="AC47" i="2" s="1"/>
  <c r="AB46" i="2"/>
  <c r="AA46" i="2"/>
  <c r="Z46" i="2"/>
  <c r="Y46" i="2"/>
  <c r="X46" i="2"/>
  <c r="W46" i="2"/>
  <c r="V46" i="2"/>
  <c r="AC46" i="2" s="1"/>
  <c r="AB45" i="2"/>
  <c r="AA45" i="2"/>
  <c r="Z45" i="2"/>
  <c r="Y45" i="2"/>
  <c r="X45" i="2"/>
  <c r="W45" i="2"/>
  <c r="V45" i="2"/>
  <c r="AC45" i="2" s="1"/>
  <c r="AB44" i="2"/>
  <c r="AA44" i="2"/>
  <c r="Z44" i="2"/>
  <c r="Y44" i="2"/>
  <c r="X44" i="2"/>
  <c r="W44" i="2"/>
  <c r="V44" i="2"/>
  <c r="AC44" i="2" s="1"/>
  <c r="AB43" i="2"/>
  <c r="AA43" i="2"/>
  <c r="Z43" i="2"/>
  <c r="Y43" i="2"/>
  <c r="X43" i="2"/>
  <c r="W43" i="2"/>
  <c r="V43" i="2"/>
  <c r="AC43" i="2" s="1"/>
  <c r="AB42" i="2"/>
  <c r="AA42" i="2"/>
  <c r="Z42" i="2"/>
  <c r="Y42" i="2"/>
  <c r="X42" i="2"/>
  <c r="W42" i="2"/>
  <c r="V42" i="2"/>
  <c r="AC42" i="2" s="1"/>
  <c r="AB41" i="2"/>
  <c r="AA41" i="2"/>
  <c r="Z41" i="2"/>
  <c r="Y41" i="2"/>
  <c r="X41" i="2"/>
  <c r="W41" i="2"/>
  <c r="V41" i="2"/>
  <c r="AC41" i="2" s="1"/>
  <c r="AB40" i="2"/>
  <c r="AA40" i="2"/>
  <c r="Z40" i="2"/>
  <c r="Y40" i="2"/>
  <c r="X40" i="2"/>
  <c r="W40" i="2"/>
  <c r="V40" i="2"/>
  <c r="AC40" i="2" s="1"/>
  <c r="AB39" i="2"/>
  <c r="AA39" i="2"/>
  <c r="Z39" i="2"/>
  <c r="Y39" i="2"/>
  <c r="X39" i="2"/>
  <c r="W39" i="2"/>
  <c r="V39" i="2"/>
  <c r="AC39" i="2" s="1"/>
  <c r="AB38" i="2"/>
  <c r="AA38" i="2"/>
  <c r="Z38" i="2"/>
  <c r="Y38" i="2"/>
  <c r="X38" i="2"/>
  <c r="W38" i="2"/>
  <c r="V38" i="2"/>
  <c r="AC38" i="2" s="1"/>
  <c r="AB37" i="2"/>
  <c r="AA37" i="2"/>
  <c r="Z37" i="2"/>
  <c r="Y37" i="2"/>
  <c r="X37" i="2"/>
  <c r="W37" i="2"/>
  <c r="V37" i="2"/>
  <c r="AC37" i="2" s="1"/>
  <c r="AB36" i="2"/>
  <c r="AA36" i="2"/>
  <c r="Z36" i="2"/>
  <c r="Y36" i="2"/>
  <c r="X36" i="2"/>
  <c r="W36" i="2"/>
  <c r="V36" i="2"/>
  <c r="AC36" i="2" s="1"/>
  <c r="AB35" i="2"/>
  <c r="AA35" i="2"/>
  <c r="Z35" i="2"/>
  <c r="Y35" i="2"/>
  <c r="X35" i="2"/>
  <c r="W35" i="2"/>
  <c r="V35" i="2"/>
  <c r="AC35" i="2" s="1"/>
  <c r="AB34" i="2"/>
  <c r="AA34" i="2"/>
  <c r="Z34" i="2"/>
  <c r="Y34" i="2"/>
  <c r="X34" i="2"/>
  <c r="W34" i="2"/>
  <c r="V34" i="2"/>
  <c r="AC34" i="2" s="1"/>
  <c r="AB33" i="2"/>
  <c r="AA33" i="2"/>
  <c r="Z33" i="2"/>
  <c r="Y33" i="2"/>
  <c r="X33" i="2"/>
  <c r="W33" i="2"/>
  <c r="V33" i="2"/>
  <c r="AC33" i="2" s="1"/>
  <c r="AB32" i="2"/>
  <c r="AA32" i="2"/>
  <c r="Z32" i="2"/>
  <c r="Y32" i="2"/>
  <c r="X32" i="2"/>
  <c r="W32" i="2"/>
  <c r="V32" i="2"/>
  <c r="AC32" i="2" s="1"/>
  <c r="AB31" i="2"/>
  <c r="AA31" i="2"/>
  <c r="Z31" i="2"/>
  <c r="Y31" i="2"/>
  <c r="X31" i="2"/>
  <c r="W31" i="2"/>
  <c r="V31" i="2"/>
  <c r="AC31" i="2" s="1"/>
  <c r="AB30" i="2"/>
  <c r="AA30" i="2"/>
  <c r="Z30" i="2"/>
  <c r="Y30" i="2"/>
  <c r="X30" i="2"/>
  <c r="W30" i="2"/>
  <c r="V30" i="2"/>
  <c r="AC30" i="2" s="1"/>
  <c r="AB29" i="2"/>
  <c r="AA29" i="2"/>
  <c r="Z29" i="2"/>
  <c r="Y29" i="2"/>
  <c r="X29" i="2"/>
  <c r="W29" i="2"/>
  <c r="V29" i="2"/>
  <c r="AC29" i="2" s="1"/>
  <c r="AB28" i="2"/>
  <c r="AA28" i="2"/>
  <c r="Z28" i="2"/>
  <c r="Y28" i="2"/>
  <c r="X28" i="2"/>
  <c r="W28" i="2"/>
  <c r="V28" i="2"/>
  <c r="AC28" i="2" s="1"/>
  <c r="AB27" i="2"/>
  <c r="AA27" i="2"/>
  <c r="Z27" i="2"/>
  <c r="Y27" i="2"/>
  <c r="X27" i="2"/>
  <c r="W27" i="2"/>
  <c r="V27" i="2"/>
  <c r="AC27" i="2" s="1"/>
  <c r="AB26" i="2"/>
  <c r="AA26" i="2"/>
  <c r="Z26" i="2"/>
  <c r="Y26" i="2"/>
  <c r="X26" i="2"/>
  <c r="W26" i="2"/>
  <c r="V26" i="2"/>
  <c r="AC26" i="2" s="1"/>
  <c r="AB25" i="2"/>
  <c r="AA25" i="2"/>
  <c r="Z25" i="2"/>
  <c r="Y25" i="2"/>
  <c r="X25" i="2"/>
  <c r="W25" i="2"/>
  <c r="V25" i="2"/>
  <c r="AC25" i="2" s="1"/>
  <c r="AB24" i="2"/>
  <c r="AA24" i="2"/>
  <c r="Z24" i="2"/>
  <c r="Y24" i="2"/>
  <c r="X24" i="2"/>
  <c r="W24" i="2"/>
  <c r="V24" i="2"/>
  <c r="AC24" i="2" s="1"/>
  <c r="AB23" i="2"/>
  <c r="AA23" i="2"/>
  <c r="Z23" i="2"/>
  <c r="Y23" i="2"/>
  <c r="X23" i="2"/>
  <c r="W23" i="2"/>
  <c r="V23" i="2"/>
  <c r="AC23" i="2" s="1"/>
  <c r="AB22" i="2"/>
  <c r="AA22" i="2"/>
  <c r="Z22" i="2"/>
  <c r="Y22" i="2"/>
  <c r="X22" i="2"/>
  <c r="W22" i="2"/>
  <c r="V22" i="2"/>
  <c r="AC22" i="2" s="1"/>
  <c r="AB21" i="2"/>
  <c r="AA21" i="2"/>
  <c r="X21" i="2"/>
  <c r="V21" i="2"/>
  <c r="AC21" i="2" s="1"/>
  <c r="AB20" i="2"/>
  <c r="AA20" i="2"/>
  <c r="X20" i="2"/>
  <c r="V20" i="2"/>
  <c r="N22" i="3" s="1"/>
  <c r="AB19" i="2"/>
  <c r="AA19" i="2"/>
  <c r="X19" i="2"/>
  <c r="V19" i="2"/>
  <c r="AC19" i="2" s="1"/>
  <c r="AB18" i="2"/>
  <c r="AA18" i="2"/>
  <c r="X18" i="2"/>
  <c r="V18" i="2"/>
  <c r="AC18" i="2" s="1"/>
  <c r="AB17" i="2"/>
  <c r="AA17" i="2"/>
  <c r="X17" i="2"/>
  <c r="V17" i="2"/>
  <c r="AC17" i="2" s="1"/>
  <c r="AB16" i="2"/>
  <c r="AA16" i="2"/>
  <c r="X16" i="2"/>
  <c r="V16" i="2"/>
  <c r="AC16" i="2" s="1"/>
  <c r="AB15" i="2"/>
  <c r="AA15" i="2"/>
  <c r="X15" i="2"/>
  <c r="V15" i="2"/>
  <c r="AC15" i="2" s="1"/>
  <c r="AB14" i="2"/>
  <c r="AA14" i="2"/>
  <c r="Z14" i="2"/>
  <c r="X14" i="2"/>
  <c r="V14" i="2"/>
  <c r="AC14" i="2" s="1"/>
  <c r="AB13" i="2"/>
  <c r="AA13" i="2"/>
  <c r="X13" i="2"/>
  <c r="V13" i="2"/>
  <c r="AC13" i="2" s="1"/>
  <c r="AB12" i="2"/>
  <c r="AA12" i="2"/>
  <c r="X12" i="2"/>
  <c r="V12" i="2"/>
  <c r="AC12" i="2" s="1"/>
  <c r="AB11" i="2"/>
  <c r="AA11" i="2"/>
  <c r="X11" i="2"/>
  <c r="V11" i="2"/>
  <c r="AC11" i="2" s="1"/>
  <c r="AB10" i="2"/>
  <c r="AA10" i="2"/>
  <c r="X10" i="2"/>
  <c r="V10" i="2"/>
  <c r="AC10" i="2" s="1"/>
  <c r="AB9" i="2"/>
  <c r="AA9" i="2"/>
  <c r="X9" i="2"/>
  <c r="V9" i="2"/>
  <c r="AC9" i="2" s="1"/>
  <c r="AB8" i="2"/>
  <c r="AA8" i="2"/>
  <c r="X8" i="2"/>
  <c r="V8" i="2"/>
  <c r="AC8" i="2" s="1"/>
  <c r="AB7" i="2"/>
  <c r="AA7" i="2"/>
  <c r="X7" i="2"/>
  <c r="V7" i="2"/>
  <c r="AC7" i="2" s="1"/>
  <c r="B37" i="1"/>
  <c r="I37" i="1" s="1"/>
  <c r="I36" i="1"/>
  <c r="G36" i="1"/>
  <c r="B36" i="1"/>
  <c r="B35" i="1"/>
  <c r="G31" i="1"/>
  <c r="G30" i="1"/>
  <c r="G29" i="1"/>
  <c r="P28" i="1"/>
  <c r="G28" i="1"/>
  <c r="P27" i="1"/>
  <c r="G27" i="1"/>
  <c r="P26" i="1"/>
  <c r="G26" i="1"/>
  <c r="P25" i="1"/>
  <c r="G25" i="1"/>
  <c r="P24" i="1"/>
  <c r="G24" i="1"/>
  <c r="Y22" i="3" l="1"/>
  <c r="O22" i="3"/>
  <c r="Z20" i="2"/>
  <c r="S22" i="3"/>
  <c r="R22" i="3"/>
  <c r="Q22" i="3"/>
  <c r="P22" i="3"/>
  <c r="O9" i="3"/>
  <c r="Q9" i="3" s="1"/>
  <c r="S9" i="3"/>
  <c r="R9" i="3"/>
  <c r="Y9" i="3"/>
  <c r="P9" i="3"/>
  <c r="Z9" i="2"/>
  <c r="O17" i="3"/>
  <c r="Q17" i="3" s="1"/>
  <c r="Z16" i="2"/>
  <c r="S17" i="3"/>
  <c r="R17" i="3"/>
  <c r="Y17" i="3"/>
  <c r="P17" i="3"/>
  <c r="S21" i="3"/>
  <c r="R21" i="3"/>
  <c r="Q21" i="3"/>
  <c r="P21" i="3"/>
  <c r="O21" i="3"/>
  <c r="Y21" i="3"/>
  <c r="Z19" i="2"/>
  <c r="Q18" i="3"/>
  <c r="Y18" i="3"/>
  <c r="P18" i="3"/>
  <c r="O18" i="3"/>
  <c r="Z17" i="2"/>
  <c r="S18" i="3"/>
  <c r="R18" i="3"/>
  <c r="O13" i="3"/>
  <c r="Q13" i="3" s="1"/>
  <c r="Z12" i="2"/>
  <c r="S13" i="3"/>
  <c r="R13" i="3"/>
  <c r="Y13" i="3"/>
  <c r="P13" i="3"/>
  <c r="N8" i="3"/>
  <c r="N12" i="3"/>
  <c r="N16" i="3"/>
  <c r="S38" i="3"/>
  <c r="R38" i="3"/>
  <c r="Y38" i="3"/>
  <c r="P38" i="3"/>
  <c r="O38" i="3"/>
  <c r="Q38" i="3" s="1"/>
  <c r="P41" i="3"/>
  <c r="S41" i="3"/>
  <c r="R41" i="3"/>
  <c r="Y41" i="3"/>
  <c r="O41" i="3"/>
  <c r="Q41" i="3" s="1"/>
  <c r="R66" i="3"/>
  <c r="Y66" i="3"/>
  <c r="P66" i="3"/>
  <c r="O66" i="3"/>
  <c r="Q66" i="3" s="1"/>
  <c r="S66" i="3"/>
  <c r="P73" i="3"/>
  <c r="S73" i="3"/>
  <c r="R73" i="3"/>
  <c r="Y73" i="3"/>
  <c r="O73" i="3"/>
  <c r="Q73" i="3" s="1"/>
  <c r="G35" i="1"/>
  <c r="K36" i="1"/>
  <c r="W7" i="2"/>
  <c r="W8" i="2"/>
  <c r="W9" i="2"/>
  <c r="W10" i="2"/>
  <c r="W11" i="2"/>
  <c r="W12" i="2"/>
  <c r="W13" i="2"/>
  <c r="W14" i="2"/>
  <c r="Y14" i="2" s="1"/>
  <c r="W15" i="2"/>
  <c r="W16" i="2"/>
  <c r="W17" i="2"/>
  <c r="W18" i="2"/>
  <c r="W19" i="2"/>
  <c r="W20" i="2"/>
  <c r="W21" i="2"/>
  <c r="N19" i="3"/>
  <c r="T33" i="3"/>
  <c r="U33" i="3" s="1"/>
  <c r="X33" i="3"/>
  <c r="P35" i="3"/>
  <c r="O35" i="3"/>
  <c r="S35" i="3"/>
  <c r="R35" i="3"/>
  <c r="Y35" i="3"/>
  <c r="Q35" i="3"/>
  <c r="T40" i="3"/>
  <c r="U40" i="3" s="1"/>
  <c r="X40" i="3"/>
  <c r="P49" i="3"/>
  <c r="Y49" i="3"/>
  <c r="O49" i="3"/>
  <c r="Q49" i="3" s="1"/>
  <c r="S49" i="3"/>
  <c r="R49" i="3"/>
  <c r="T55" i="3"/>
  <c r="U55" i="3" s="1"/>
  <c r="X55" i="3"/>
  <c r="R58" i="3"/>
  <c r="S58" i="3"/>
  <c r="Q58" i="3"/>
  <c r="Y58" i="3"/>
  <c r="P58" i="3"/>
  <c r="O58" i="3"/>
  <c r="P69" i="3"/>
  <c r="R69" i="3"/>
  <c r="Y69" i="3"/>
  <c r="O69" i="3"/>
  <c r="Q69" i="3" s="1"/>
  <c r="S69" i="3"/>
  <c r="T72" i="3"/>
  <c r="U72" i="3" s="1"/>
  <c r="X72" i="3"/>
  <c r="P81" i="3"/>
  <c r="Q81" i="3"/>
  <c r="Y81" i="3"/>
  <c r="O81" i="3"/>
  <c r="S81" i="3"/>
  <c r="R81" i="3"/>
  <c r="P89" i="3"/>
  <c r="S89" i="3"/>
  <c r="R89" i="3"/>
  <c r="O89" i="3"/>
  <c r="Q89" i="3" s="1"/>
  <c r="Y89" i="3"/>
  <c r="I35" i="1"/>
  <c r="N7" i="3"/>
  <c r="N11" i="3"/>
  <c r="N15" i="3"/>
  <c r="S30" i="3"/>
  <c r="R30" i="3"/>
  <c r="Y30" i="3"/>
  <c r="P30" i="3"/>
  <c r="O30" i="3"/>
  <c r="Q30" i="3" s="1"/>
  <c r="X45" i="3"/>
  <c r="T45" i="3"/>
  <c r="U45" i="3" s="1"/>
  <c r="X52" i="3"/>
  <c r="T52" i="3"/>
  <c r="U52" i="3" s="1"/>
  <c r="X84" i="3"/>
  <c r="T84" i="3"/>
  <c r="U84" i="3" s="1"/>
  <c r="O98" i="3"/>
  <c r="Q98" i="3" s="1"/>
  <c r="R98" i="3"/>
  <c r="S98" i="3"/>
  <c r="Y98" i="3"/>
  <c r="P98" i="3"/>
  <c r="K37" i="1"/>
  <c r="K35" i="1"/>
  <c r="N20" i="3"/>
  <c r="T25" i="3"/>
  <c r="U25" i="3" s="1"/>
  <c r="X25" i="3"/>
  <c r="P27" i="3"/>
  <c r="O27" i="3"/>
  <c r="S27" i="3"/>
  <c r="R27" i="3"/>
  <c r="Y27" i="3"/>
  <c r="Q27" i="3"/>
  <c r="T48" i="3"/>
  <c r="U48" i="3" s="1"/>
  <c r="X48" i="3"/>
  <c r="R54" i="3"/>
  <c r="Q54" i="3"/>
  <c r="Y54" i="3"/>
  <c r="P54" i="3"/>
  <c r="O54" i="3"/>
  <c r="S54" i="3"/>
  <c r="X77" i="3"/>
  <c r="T77" i="3"/>
  <c r="U77" i="3" s="1"/>
  <c r="T80" i="3"/>
  <c r="U80" i="3" s="1"/>
  <c r="X80" i="3"/>
  <c r="R86" i="3"/>
  <c r="Q86" i="3"/>
  <c r="Y86" i="3"/>
  <c r="P86" i="3"/>
  <c r="O86" i="3"/>
  <c r="S86" i="3"/>
  <c r="N10" i="3"/>
  <c r="N14" i="3"/>
  <c r="T37" i="3"/>
  <c r="U37" i="3" s="1"/>
  <c r="X37" i="3"/>
  <c r="Y39" i="3"/>
  <c r="P39" i="3"/>
  <c r="O39" i="3"/>
  <c r="S39" i="3"/>
  <c r="R39" i="3"/>
  <c r="Q39" i="3"/>
  <c r="T63" i="3"/>
  <c r="U63" i="3" s="1"/>
  <c r="X63" i="3"/>
  <c r="G37" i="1"/>
  <c r="S34" i="3"/>
  <c r="R34" i="3"/>
  <c r="Y34" i="3"/>
  <c r="Q34" i="3"/>
  <c r="P34" i="3"/>
  <c r="O34" i="3"/>
  <c r="R70" i="3"/>
  <c r="S70" i="3"/>
  <c r="Q70" i="3"/>
  <c r="Y70" i="3"/>
  <c r="P70" i="3"/>
  <c r="O70" i="3"/>
  <c r="N23" i="3"/>
  <c r="N24" i="3"/>
  <c r="T29" i="3"/>
  <c r="U29" i="3" s="1"/>
  <c r="X29" i="3"/>
  <c r="P31" i="3"/>
  <c r="O31" i="3"/>
  <c r="S31" i="3"/>
  <c r="R31" i="3"/>
  <c r="Y31" i="3"/>
  <c r="Q31" i="3"/>
  <c r="T59" i="3"/>
  <c r="U59" i="3" s="1"/>
  <c r="X59" i="3"/>
  <c r="T62" i="3"/>
  <c r="U62" i="3" s="1"/>
  <c r="X62" i="3"/>
  <c r="T67" i="3"/>
  <c r="U67" i="3" s="1"/>
  <c r="X67" i="3"/>
  <c r="P97" i="3"/>
  <c r="R97" i="3"/>
  <c r="Q97" i="3"/>
  <c r="O97" i="3"/>
  <c r="Y97" i="3"/>
  <c r="S97" i="3"/>
  <c r="AC20" i="2"/>
  <c r="S26" i="3"/>
  <c r="R26" i="3"/>
  <c r="Y26" i="3"/>
  <c r="P26" i="3"/>
  <c r="O26" i="3"/>
  <c r="Q26" i="3" s="1"/>
  <c r="P53" i="3"/>
  <c r="S53" i="3"/>
  <c r="R53" i="3"/>
  <c r="Y53" i="3"/>
  <c r="O53" i="3"/>
  <c r="Q53" i="3" s="1"/>
  <c r="X56" i="3"/>
  <c r="T56" i="3"/>
  <c r="U56" i="3" s="1"/>
  <c r="P85" i="3"/>
  <c r="S85" i="3"/>
  <c r="R85" i="3"/>
  <c r="Y85" i="3"/>
  <c r="O85" i="3"/>
  <c r="Q85" i="3" s="1"/>
  <c r="S28" i="3"/>
  <c r="S32" i="3"/>
  <c r="S36" i="3"/>
  <c r="R44" i="3"/>
  <c r="P46" i="3"/>
  <c r="Y46" i="3"/>
  <c r="S47" i="3"/>
  <c r="O48" i="3"/>
  <c r="P51" i="3"/>
  <c r="Y51" i="3"/>
  <c r="Q56" i="3"/>
  <c r="Y56" i="3"/>
  <c r="R59" i="3"/>
  <c r="Q61" i="3"/>
  <c r="S64" i="3"/>
  <c r="P68" i="3"/>
  <c r="X68" i="3"/>
  <c r="Q71" i="3"/>
  <c r="R76" i="3"/>
  <c r="P78" i="3"/>
  <c r="Y78" i="3"/>
  <c r="S79" i="3"/>
  <c r="O80" i="3"/>
  <c r="Q80" i="3" s="1"/>
  <c r="P83" i="3"/>
  <c r="Y83" i="3"/>
  <c r="S92" i="3"/>
  <c r="X96" i="3"/>
  <c r="S44" i="3"/>
  <c r="S76" i="3"/>
  <c r="Y87" i="3"/>
  <c r="O94" i="3"/>
  <c r="Q94" i="3" s="1"/>
  <c r="R94" i="3"/>
  <c r="S101" i="3"/>
  <c r="Y101" i="3"/>
  <c r="Q101" i="3"/>
  <c r="P101" i="3"/>
  <c r="P102" i="3"/>
  <c r="O102" i="3"/>
  <c r="Q102" i="3" s="1"/>
  <c r="S102" i="3"/>
  <c r="R102" i="3"/>
  <c r="O25" i="3"/>
  <c r="O29" i="3"/>
  <c r="O33" i="3"/>
  <c r="O37" i="3"/>
  <c r="S46" i="3"/>
  <c r="Q48" i="3"/>
  <c r="Y48" i="3"/>
  <c r="O50" i="3"/>
  <c r="Q50" i="3" s="1"/>
  <c r="R51" i="3"/>
  <c r="O55" i="3"/>
  <c r="X60" i="3"/>
  <c r="S61" i="3"/>
  <c r="O65" i="3"/>
  <c r="Q65" i="3" s="1"/>
  <c r="Y65" i="3"/>
  <c r="R68" i="3"/>
  <c r="S71" i="3"/>
  <c r="S78" i="3"/>
  <c r="Y80" i="3"/>
  <c r="O82" i="3"/>
  <c r="Q82" i="3" s="1"/>
  <c r="R83" i="3"/>
  <c r="O87" i="3"/>
  <c r="Q87" i="3" s="1"/>
  <c r="S88" i="3"/>
  <c r="S93" i="3"/>
  <c r="P94" i="3"/>
  <c r="Y94" i="3"/>
  <c r="O90" i="3"/>
  <c r="R90" i="3"/>
  <c r="Y99" i="3"/>
  <c r="Q99" i="3"/>
  <c r="Q25" i="3"/>
  <c r="Y25" i="3"/>
  <c r="O28" i="3"/>
  <c r="Q29" i="3"/>
  <c r="Y29" i="3"/>
  <c r="O32" i="3"/>
  <c r="Q32" i="3" s="1"/>
  <c r="Q33" i="3"/>
  <c r="Y33" i="3"/>
  <c r="O36" i="3"/>
  <c r="Q36" i="3" s="1"/>
  <c r="Q37" i="3"/>
  <c r="Y37" i="3"/>
  <c r="O42" i="3"/>
  <c r="Q45" i="3"/>
  <c r="O47" i="3"/>
  <c r="P52" i="3"/>
  <c r="Q55" i="3"/>
  <c r="O57" i="3"/>
  <c r="Q57" i="3" s="1"/>
  <c r="Y57" i="3"/>
  <c r="P62" i="3"/>
  <c r="Y62" i="3"/>
  <c r="O64" i="3"/>
  <c r="Q64" i="3" s="1"/>
  <c r="R65" i="3"/>
  <c r="P67" i="3"/>
  <c r="Y67" i="3"/>
  <c r="O74" i="3"/>
  <c r="Q74" i="3" s="1"/>
  <c r="Q77" i="3"/>
  <c r="O79" i="3"/>
  <c r="P84" i="3"/>
  <c r="R87" i="3"/>
  <c r="O88" i="3"/>
  <c r="Q88" i="3" s="1"/>
  <c r="P90" i="3"/>
  <c r="Y90" i="3"/>
  <c r="Q92" i="3"/>
  <c r="S94" i="3"/>
  <c r="O99" i="3"/>
  <c r="S100" i="3"/>
  <c r="Y100" i="3"/>
  <c r="R25" i="3"/>
  <c r="P28" i="3"/>
  <c r="R29" i="3"/>
  <c r="P32" i="3"/>
  <c r="R33" i="3"/>
  <c r="P36" i="3"/>
  <c r="R37" i="3"/>
  <c r="P42" i="3"/>
  <c r="Y42" i="3"/>
  <c r="O44" i="3"/>
  <c r="P47" i="3"/>
  <c r="Y47" i="3"/>
  <c r="S50" i="3"/>
  <c r="Q52" i="3"/>
  <c r="Y52" i="3"/>
  <c r="R55" i="3"/>
  <c r="S65" i="3"/>
  <c r="P74" i="3"/>
  <c r="Y74" i="3"/>
  <c r="O76" i="3"/>
  <c r="R77" i="3"/>
  <c r="P79" i="3"/>
  <c r="Y79" i="3"/>
  <c r="S82" i="3"/>
  <c r="Q84" i="3"/>
  <c r="Y84" i="3"/>
  <c r="S87" i="3"/>
  <c r="P88" i="3"/>
  <c r="Y88" i="3"/>
  <c r="Q90" i="3"/>
  <c r="R92" i="3"/>
  <c r="Y95" i="3"/>
  <c r="Q95" i="3"/>
  <c r="X95" i="3"/>
  <c r="P99" i="3"/>
  <c r="S105" i="3"/>
  <c r="R105" i="3"/>
  <c r="Y105" i="3"/>
  <c r="P105" i="3"/>
  <c r="Q28" i="3"/>
  <c r="Y28" i="3"/>
  <c r="Y32" i="3"/>
  <c r="Y36" i="3"/>
  <c r="Q42" i="3"/>
  <c r="P44" i="3"/>
  <c r="Q47" i="3"/>
  <c r="R52" i="3"/>
  <c r="R57" i="3"/>
  <c r="P76" i="3"/>
  <c r="Q79" i="3"/>
  <c r="R84" i="3"/>
  <c r="S90" i="3"/>
  <c r="Y93" i="3"/>
  <c r="R99" i="3"/>
  <c r="O100" i="3"/>
  <c r="Q100" i="3" s="1"/>
  <c r="Y102" i="3"/>
  <c r="X103" i="3"/>
  <c r="S42" i="3"/>
  <c r="Q44" i="3"/>
  <c r="O46" i="3"/>
  <c r="Q46" i="3" s="1"/>
  <c r="X51" i="3"/>
  <c r="S57" i="3"/>
  <c r="O61" i="3"/>
  <c r="Y61" i="3"/>
  <c r="P71" i="3"/>
  <c r="S74" i="3"/>
  <c r="Q76" i="3"/>
  <c r="O78" i="3"/>
  <c r="Q78" i="3" s="1"/>
  <c r="X83" i="3"/>
  <c r="R88" i="3"/>
  <c r="Y91" i="3"/>
  <c r="Q91" i="3"/>
  <c r="X91" i="3"/>
  <c r="O93" i="3"/>
  <c r="Q93" i="3" s="1"/>
  <c r="P95" i="3"/>
  <c r="S99" i="3"/>
  <c r="P100" i="3"/>
  <c r="S104" i="3"/>
  <c r="Y104" i="3"/>
  <c r="P104" i="3"/>
  <c r="O104" i="3"/>
  <c r="Q104" i="3" s="1"/>
  <c r="O105" i="3"/>
  <c r="Q105" i="3" s="1"/>
  <c r="R106" i="3"/>
  <c r="S106" i="3"/>
  <c r="O103" i="3"/>
  <c r="Q103" i="3" s="1"/>
  <c r="Y103" i="3"/>
  <c r="O106" i="3"/>
  <c r="P106" i="3"/>
  <c r="Q106" i="3"/>
  <c r="T92" i="3" l="1"/>
  <c r="U92" i="3" s="1"/>
  <c r="X92" i="3"/>
  <c r="X106" i="3"/>
  <c r="T106" i="3"/>
  <c r="U106" i="3" s="1"/>
  <c r="X65" i="3"/>
  <c r="T65" i="3"/>
  <c r="U65" i="3" s="1"/>
  <c r="X88" i="3"/>
  <c r="T88" i="3"/>
  <c r="U88" i="3" s="1"/>
  <c r="X102" i="3"/>
  <c r="T102" i="3"/>
  <c r="U102" i="3" s="1"/>
  <c r="X28" i="3"/>
  <c r="T28" i="3"/>
  <c r="U28" i="3" s="1"/>
  <c r="T70" i="3"/>
  <c r="U70" i="3" s="1"/>
  <c r="X70" i="3"/>
  <c r="T58" i="3"/>
  <c r="U58" i="3" s="1"/>
  <c r="X58" i="3"/>
  <c r="V19" i="3"/>
  <c r="Y18" i="2"/>
  <c r="V20" i="3"/>
  <c r="V10" i="3"/>
  <c r="Y10" i="2"/>
  <c r="H25" i="1" s="1"/>
  <c r="V11" i="3"/>
  <c r="S12" i="3"/>
  <c r="Z11" i="2"/>
  <c r="R12" i="3"/>
  <c r="Y12" i="3"/>
  <c r="P12" i="3"/>
  <c r="O12" i="3"/>
  <c r="Q12" i="3" s="1"/>
  <c r="T13" i="3"/>
  <c r="X13" i="3"/>
  <c r="X35" i="3"/>
  <c r="T35" i="3"/>
  <c r="U35" i="3" s="1"/>
  <c r="X21" i="3"/>
  <c r="T21" i="3"/>
  <c r="X93" i="3"/>
  <c r="T93" i="3"/>
  <c r="U93" i="3" s="1"/>
  <c r="T34" i="3"/>
  <c r="U34" i="3" s="1"/>
  <c r="X34" i="3"/>
  <c r="Y19" i="2"/>
  <c r="H30" i="1" s="1"/>
  <c r="V21" i="3"/>
  <c r="V18" i="3"/>
  <c r="Y17" i="2"/>
  <c r="H29" i="1" s="1"/>
  <c r="X64" i="3"/>
  <c r="T64" i="3"/>
  <c r="U64" i="3" s="1"/>
  <c r="T47" i="3"/>
  <c r="U47" i="3" s="1"/>
  <c r="X47" i="3"/>
  <c r="R24" i="3"/>
  <c r="Y24" i="3"/>
  <c r="P24" i="3"/>
  <c r="S24" i="3"/>
  <c r="O24" i="3"/>
  <c r="Q24" i="3" s="1"/>
  <c r="X27" i="3"/>
  <c r="T27" i="3"/>
  <c r="U27" i="3" s="1"/>
  <c r="V17" i="3"/>
  <c r="Y16" i="2"/>
  <c r="Y8" i="2"/>
  <c r="V8" i="3"/>
  <c r="X100" i="3"/>
  <c r="T100" i="3"/>
  <c r="U100" i="3" s="1"/>
  <c r="Y15" i="2"/>
  <c r="H28" i="1" s="1"/>
  <c r="V16" i="3"/>
  <c r="Y7" i="2"/>
  <c r="H24" i="1" s="1"/>
  <c r="V7" i="3"/>
  <c r="X73" i="3"/>
  <c r="T73" i="3"/>
  <c r="U73" i="3" s="1"/>
  <c r="T22" i="3"/>
  <c r="T104" i="3"/>
  <c r="U104" i="3" s="1"/>
  <c r="X104" i="3"/>
  <c r="X32" i="3"/>
  <c r="T32" i="3"/>
  <c r="U32" i="3" s="1"/>
  <c r="X54" i="3"/>
  <c r="T54" i="3"/>
  <c r="U54" i="3" s="1"/>
  <c r="X81" i="3"/>
  <c r="T81" i="3"/>
  <c r="U81" i="3" s="1"/>
  <c r="X41" i="3"/>
  <c r="T41" i="3"/>
  <c r="U41" i="3" s="1"/>
  <c r="T99" i="3"/>
  <c r="U99" i="3" s="1"/>
  <c r="X99" i="3"/>
  <c r="X74" i="3"/>
  <c r="T74" i="3"/>
  <c r="U74" i="3" s="1"/>
  <c r="X76" i="3"/>
  <c r="T76" i="3"/>
  <c r="U76" i="3" s="1"/>
  <c r="T79" i="3"/>
  <c r="U79" i="3" s="1"/>
  <c r="X79" i="3"/>
  <c r="T26" i="3"/>
  <c r="U26" i="3" s="1"/>
  <c r="X26" i="3"/>
  <c r="O19" i="3"/>
  <c r="Y19" i="3"/>
  <c r="Q19" i="3"/>
  <c r="S19" i="3"/>
  <c r="Z18" i="2"/>
  <c r="R19" i="3"/>
  <c r="P19" i="3"/>
  <c r="T18" i="3"/>
  <c r="Y11" i="2"/>
  <c r="V12" i="3"/>
  <c r="T82" i="3"/>
  <c r="U82" i="3" s="1"/>
  <c r="X82" i="3"/>
  <c r="S8" i="3"/>
  <c r="R8" i="3"/>
  <c r="Z8" i="2"/>
  <c r="Y8" i="3"/>
  <c r="P8" i="3"/>
  <c r="O8" i="3"/>
  <c r="Q8" i="3" s="1"/>
  <c r="X46" i="3"/>
  <c r="T46" i="3"/>
  <c r="U46" i="3" s="1"/>
  <c r="X42" i="3"/>
  <c r="T42" i="3"/>
  <c r="U42" i="3" s="1"/>
  <c r="X61" i="3"/>
  <c r="T61" i="3"/>
  <c r="U61" i="3" s="1"/>
  <c r="Y14" i="3"/>
  <c r="Q14" i="3"/>
  <c r="P14" i="3"/>
  <c r="O14" i="3"/>
  <c r="S14" i="3"/>
  <c r="R14" i="3"/>
  <c r="Y10" i="3"/>
  <c r="P10" i="3"/>
  <c r="O10" i="3"/>
  <c r="Q10" i="3" s="1"/>
  <c r="Z10" i="2"/>
  <c r="S10" i="3"/>
  <c r="R10" i="3"/>
  <c r="X89" i="3"/>
  <c r="T89" i="3"/>
  <c r="U89" i="3" s="1"/>
  <c r="X105" i="3"/>
  <c r="T105" i="3"/>
  <c r="U105" i="3" s="1"/>
  <c r="T50" i="3"/>
  <c r="U50" i="3" s="1"/>
  <c r="X50" i="3"/>
  <c r="X85" i="3"/>
  <c r="T85" i="3"/>
  <c r="U85" i="3" s="1"/>
  <c r="X53" i="3"/>
  <c r="T53" i="3"/>
  <c r="U53" i="3" s="1"/>
  <c r="X31" i="3"/>
  <c r="T31" i="3"/>
  <c r="U31" i="3" s="1"/>
  <c r="T39" i="3"/>
  <c r="U39" i="3" s="1"/>
  <c r="X39" i="3"/>
  <c r="X86" i="3"/>
  <c r="T86" i="3"/>
  <c r="U86" i="3" s="1"/>
  <c r="X98" i="3"/>
  <c r="T98" i="3"/>
  <c r="U98" i="3" s="1"/>
  <c r="S11" i="3"/>
  <c r="R11" i="3"/>
  <c r="Y11" i="3"/>
  <c r="P11" i="3"/>
  <c r="O11" i="3"/>
  <c r="Q11" i="3" s="1"/>
  <c r="X49" i="3"/>
  <c r="T49" i="3"/>
  <c r="U49" i="3" s="1"/>
  <c r="V23" i="3"/>
  <c r="V24" i="3"/>
  <c r="Y21" i="2"/>
  <c r="H31" i="1" s="1"/>
  <c r="Y13" i="2"/>
  <c r="H27" i="1" s="1"/>
  <c r="V15" i="3"/>
  <c r="X57" i="3"/>
  <c r="T57" i="3"/>
  <c r="U57" i="3" s="1"/>
  <c r="T71" i="3"/>
  <c r="U71" i="3" s="1"/>
  <c r="X71" i="3"/>
  <c r="Y20" i="3"/>
  <c r="Q20" i="3"/>
  <c r="P20" i="3"/>
  <c r="S20" i="3"/>
  <c r="R20" i="3"/>
  <c r="O20" i="3"/>
  <c r="S16" i="3"/>
  <c r="R16" i="3"/>
  <c r="Z15" i="2"/>
  <c r="Y16" i="3"/>
  <c r="P16" i="3"/>
  <c r="O16" i="3"/>
  <c r="Q16" i="3" s="1"/>
  <c r="T90" i="3"/>
  <c r="U90" i="3" s="1"/>
  <c r="X90" i="3"/>
  <c r="V9" i="3"/>
  <c r="Y9" i="2"/>
  <c r="P23" i="3"/>
  <c r="O23" i="3"/>
  <c r="Q23" i="3" s="1"/>
  <c r="S23" i="3"/>
  <c r="Y23" i="3"/>
  <c r="Z21" i="2"/>
  <c r="R23" i="3"/>
  <c r="T30" i="3"/>
  <c r="U30" i="3" s="1"/>
  <c r="X30" i="3"/>
  <c r="X44" i="3"/>
  <c r="T44" i="3"/>
  <c r="U44" i="3" s="1"/>
  <c r="S15" i="3"/>
  <c r="R15" i="3"/>
  <c r="Y15" i="3"/>
  <c r="Z13" i="2"/>
  <c r="P15" i="3"/>
  <c r="O15" i="3"/>
  <c r="Q15" i="3" s="1"/>
  <c r="T94" i="3"/>
  <c r="U94" i="3" s="1"/>
  <c r="X94" i="3"/>
  <c r="T87" i="3"/>
  <c r="U87" i="3" s="1"/>
  <c r="X87" i="3"/>
  <c r="X78" i="3"/>
  <c r="T78" i="3"/>
  <c r="U78" i="3" s="1"/>
  <c r="X101" i="3"/>
  <c r="T101" i="3"/>
  <c r="U101" i="3" s="1"/>
  <c r="X36" i="3"/>
  <c r="T36" i="3"/>
  <c r="U36" i="3" s="1"/>
  <c r="X97" i="3"/>
  <c r="T97" i="3"/>
  <c r="U97" i="3" s="1"/>
  <c r="S7" i="3"/>
  <c r="X22" i="3" s="1"/>
  <c r="R7" i="3"/>
  <c r="Y7" i="3"/>
  <c r="P7" i="3"/>
  <c r="O7" i="3"/>
  <c r="Q7" i="3" s="1"/>
  <c r="Z7" i="2"/>
  <c r="X69" i="3"/>
  <c r="T69" i="3"/>
  <c r="U69" i="3" s="1"/>
  <c r="V22" i="3"/>
  <c r="Y20" i="2"/>
  <c r="V13" i="3"/>
  <c r="V14" i="3"/>
  <c r="Y12" i="2"/>
  <c r="X66" i="3"/>
  <c r="T66" i="3"/>
  <c r="U66" i="3" s="1"/>
  <c r="T38" i="3"/>
  <c r="U38" i="3" s="1"/>
  <c r="X38" i="3"/>
  <c r="T17" i="3"/>
  <c r="X17" i="3"/>
  <c r="T9" i="3"/>
  <c r="U9" i="3" s="1"/>
  <c r="X9" i="3"/>
  <c r="X15" i="3" l="1"/>
  <c r="T15" i="3"/>
  <c r="X23" i="3"/>
  <c r="T23" i="3"/>
  <c r="U23" i="3" s="1"/>
  <c r="X20" i="3"/>
  <c r="T20" i="3"/>
  <c r="X10" i="3"/>
  <c r="T10" i="3"/>
  <c r="T8" i="3"/>
  <c r="X8" i="3"/>
  <c r="T12" i="3"/>
  <c r="X12" i="3"/>
  <c r="T19" i="3"/>
  <c r="X19" i="3"/>
  <c r="X24" i="3"/>
  <c r="T24" i="3"/>
  <c r="X14" i="3"/>
  <c r="T14" i="3"/>
  <c r="B48" i="1"/>
  <c r="M35" i="1"/>
  <c r="X7" i="3"/>
  <c r="N8" i="1"/>
  <c r="F8" i="1"/>
  <c r="B40" i="1"/>
  <c r="M36" i="1"/>
  <c r="J8" i="1"/>
  <c r="B8" i="1"/>
  <c r="T7" i="3"/>
  <c r="O37" i="1"/>
  <c r="O36" i="1"/>
  <c r="O35" i="1"/>
  <c r="M37" i="1"/>
  <c r="X11" i="3"/>
  <c r="T11" i="3"/>
  <c r="H26" i="1"/>
  <c r="T16" i="3"/>
  <c r="U16" i="3" s="1"/>
  <c r="X16" i="3"/>
  <c r="B10" i="1"/>
  <c r="X18" i="3"/>
  <c r="U7" i="3" l="1"/>
  <c r="U22" i="3"/>
  <c r="U10" i="3"/>
  <c r="U11" i="3"/>
  <c r="U14" i="3"/>
  <c r="U19" i="3"/>
  <c r="U20" i="3"/>
  <c r="U13" i="3"/>
  <c r="U21" i="3"/>
  <c r="U12" i="3"/>
  <c r="U24" i="3"/>
  <c r="U15" i="3"/>
  <c r="U17" i="3"/>
  <c r="U18" i="3"/>
  <c r="N44" i="1"/>
  <c r="B42" i="1"/>
  <c r="D44" i="1"/>
  <c r="N41" i="1"/>
  <c r="B44" i="1"/>
  <c r="D41" i="1"/>
  <c r="N43" i="1"/>
  <c r="B41" i="1"/>
  <c r="D42" i="1"/>
  <c r="D43" i="1"/>
  <c r="B43" i="1"/>
  <c r="N42" i="1"/>
  <c r="U8" i="3"/>
  <c r="O18" i="1" l="1"/>
  <c r="D17" i="1"/>
  <c r="L15" i="1"/>
  <c r="B14" i="1"/>
  <c r="I18" i="1"/>
  <c r="O16" i="1"/>
  <c r="D15" i="1"/>
  <c r="L19" i="1"/>
  <c r="B18" i="1"/>
  <c r="O14" i="1"/>
  <c r="O17" i="1"/>
  <c r="L14" i="1"/>
  <c r="O19" i="1"/>
  <c r="D18" i="1"/>
  <c r="L16" i="1"/>
  <c r="B15" i="1"/>
  <c r="D19" i="1"/>
  <c r="L17" i="1"/>
  <c r="B16" i="1"/>
  <c r="I16" i="1"/>
  <c r="I19" i="1"/>
  <c r="D16" i="1"/>
  <c r="I14" i="1"/>
  <c r="B19" i="1"/>
  <c r="I17" i="1"/>
  <c r="O15" i="1"/>
  <c r="D14" i="1"/>
  <c r="L18" i="1"/>
  <c r="B17" i="1"/>
  <c r="I15" i="1"/>
</calcChain>
</file>

<file path=xl/sharedStrings.xml><?xml version="1.0" encoding="utf-8"?>
<sst xmlns="http://schemas.openxmlformats.org/spreadsheetml/2006/main" count="1048" uniqueCount="262">
  <si>
    <t>ТРАНСТЕХКОМ  Продажи и исполнение</t>
  </si>
  <si>
    <t>Демонстрационные данные. Обновлённый макет под процессы ТТК, без подключения к учётным системам.</t>
  </si>
  <si>
    <t>Срез</t>
  </si>
  <si>
    <t>Сотрудник</t>
  </si>
  <si>
    <t>Все</t>
  </si>
  <si>
    <t>Продажи</t>
  </si>
  <si>
    <t>Действия на сегодня</t>
  </si>
  <si>
    <t>Жёсткие сроки ≤ 48 ч</t>
  </si>
  <si>
    <t>Просрочено у продаж</t>
  </si>
  <si>
    <t>Ожидание других</t>
  </si>
  <si>
    <t>СЕГОДНЯ И КРИТИЧЕСКИЕ СРОКИ</t>
  </si>
  <si>
    <t>Объект</t>
  </si>
  <si>
    <t>Действие</t>
  </si>
  <si>
    <t>Кто выполняет</t>
  </si>
  <si>
    <t>Срок</t>
  </si>
  <si>
    <t>Причина приоритета</t>
  </si>
  <si>
    <t>Сначала жёсткие сроки, затем прочие просрочки и задачи на сегодня. Внутри группы — ближайший срок.</t>
  </si>
  <si>
    <t>ГДЕ НАХОДИТСЯ РАБОТА</t>
  </si>
  <si>
    <t>ЧЕГО НЕ ХВАТАЕТ ДЛЯ РАСЧЁТА</t>
  </si>
  <si>
    <t>Группа этапов</t>
  </si>
  <si>
    <t>Всего</t>
  </si>
  <si>
    <t>Просрочено</t>
  </si>
  <si>
    <t>Лиды</t>
  </si>
  <si>
    <t>ТЗ и объёмы</t>
  </si>
  <si>
    <t>Запрос / проверка</t>
  </si>
  <si>
    <t>Предложение завода</t>
  </si>
  <si>
    <t>Расчёт / решение</t>
  </si>
  <si>
    <t>Расчёт логистики</t>
  </si>
  <si>
    <t>КП / подготовка</t>
  </si>
  <si>
    <t>Дополнительные расходы</t>
  </si>
  <si>
    <t>Переговоры / подача</t>
  </si>
  <si>
    <t>Согласованная цена</t>
  </si>
  <si>
    <t>Договор / результат</t>
  </si>
  <si>
    <t>Передача / исполнение</t>
  </si>
  <si>
    <t>Количество объектов на расчёте с отсутствующей частью. Готовность — по данным реестра.</t>
  </si>
  <si>
    <t>Приёмка / оплата</t>
  </si>
  <si>
    <t>ОЧЕРЕДЬ СОТРУДНИКОВ</t>
  </si>
  <si>
    <t>Сделки</t>
  </si>
  <si>
    <t>Исполнение</t>
  </si>
  <si>
    <t>Просрочки продаж</t>
  </si>
  <si>
    <t>Ожидания других</t>
  </si>
  <si>
    <t>ТРЕБУЕТ РЕШЕНИЯ ИД</t>
  </si>
  <si>
    <t>Жёлтые ячейки — ввод. Реестр: объекты, готовность и данные 1С. Действия: задачи, ожидания и решения. Имена — Реестр!A138:A140.</t>
  </si>
  <si>
    <t>Ожидания других отделов не снимают ответственность продавца за контакт с клиентом. Сроки этапов и жёсткие сроки — разные поля.</t>
  </si>
  <si>
    <t>Реестр продаж ТТК</t>
  </si>
  <si>
    <t>Жёлтые ячейки — ввод. Сохранены 12 исходных примеров, добавлены 3 примера исполнения. Все данные условные.</t>
  </si>
  <si>
    <t>До 100 объектов. ID уникален. Прямые продажи и тендеры ведутся по своим этапам. На один объект может быть несколько действий.</t>
  </si>
  <si>
    <t>ID</t>
  </si>
  <si>
    <t>Тип</t>
  </si>
  <si>
    <t>Клиент / объект</t>
  </si>
  <si>
    <t>Канал</t>
  </si>
  <si>
    <t>Этап</t>
  </si>
  <si>
    <t>Вход на этап</t>
  </si>
  <si>
    <t>Срок результата этапа</t>
  </si>
  <si>
    <t>Требования / ТЗ</t>
  </si>
  <si>
    <t>Цена согласована</t>
  </si>
  <si>
    <t>Результат готов</t>
  </si>
  <si>
    <t>Подтверждение результата</t>
  </si>
  <si>
    <t>Передача принята</t>
  </si>
  <si>
    <t>Документы приняты</t>
  </si>
  <si>
    <t>Связанный заказ 1С</t>
  </si>
  <si>
    <t>Долг, ₽ с НДС</t>
  </si>
  <si>
    <t>Срок оплаты</t>
  </si>
  <si>
    <t>Ссылка Битрикс</t>
  </si>
  <si>
    <t>Ожидаемый результат</t>
  </si>
  <si>
    <t>Что ещё нужно</t>
  </si>
  <si>
    <t>Выбран фильтром</t>
  </si>
  <si>
    <t>Просрочен этап</t>
  </si>
  <si>
    <t>Без открытого действия</t>
  </si>
  <si>
    <t>Просроченный долг, ₽</t>
  </si>
  <si>
    <t>Без срока этапа</t>
  </si>
  <si>
    <t>Сумма предложения, ₽ без НДС</t>
  </si>
  <si>
    <t>Л-001</t>
  </si>
  <si>
    <t>Лид</t>
  </si>
  <si>
    <t>Компания А</t>
  </si>
  <si>
    <t>Менеджер 1</t>
  </si>
  <si>
    <t>Прямые</t>
  </si>
  <si>
    <t>Не требуется</t>
  </si>
  <si>
    <t>Нет</t>
  </si>
  <si>
    <t>Л-002</t>
  </si>
  <si>
    <t>Компания Б</t>
  </si>
  <si>
    <t>Менеджер 2</t>
  </si>
  <si>
    <t>Л-003</t>
  </si>
  <si>
    <t>Компания В</t>
  </si>
  <si>
    <t>Готово</t>
  </si>
  <si>
    <t>Демо: карточка потребности</t>
  </si>
  <si>
    <t>С-101</t>
  </si>
  <si>
    <t>Сделка</t>
  </si>
  <si>
    <t>Компания Г</t>
  </si>
  <si>
    <t>Запрос</t>
  </si>
  <si>
    <t>С-102</t>
  </si>
  <si>
    <t>Компания Д</t>
  </si>
  <si>
    <t>Расчёт</t>
  </si>
  <si>
    <t>С-103</t>
  </si>
  <si>
    <t>Компания Е</t>
  </si>
  <si>
    <t>Тендерный специалист</t>
  </si>
  <si>
    <t>Тендеры</t>
  </si>
  <si>
    <t>Решение об участии</t>
  </si>
  <si>
    <t>С-104</t>
  </si>
  <si>
    <t>Компания Ж</t>
  </si>
  <si>
    <t>КП</t>
  </si>
  <si>
    <t>С-105</t>
  </si>
  <si>
    <t>Компания З</t>
  </si>
  <si>
    <t>С-106</t>
  </si>
  <si>
    <t>Компания И</t>
  </si>
  <si>
    <t>Переговоры</t>
  </si>
  <si>
    <t>Демо: протокол переговоров</t>
  </si>
  <si>
    <t>С-107</t>
  </si>
  <si>
    <t>Компания К</t>
  </si>
  <si>
    <t>Дозапрос</t>
  </si>
  <si>
    <t>С-108</t>
  </si>
  <si>
    <t>Компания Л</t>
  </si>
  <si>
    <t>Договор</t>
  </si>
  <si>
    <t>С-109</t>
  </si>
  <si>
    <t>Компания М</t>
  </si>
  <si>
    <t>Подготовка заявки</t>
  </si>
  <si>
    <t>Демо: комплект согласован</t>
  </si>
  <si>
    <t>И-201</t>
  </si>
  <si>
    <t>Компания Н / опоры</t>
  </si>
  <si>
    <t>Передача в исполнение</t>
  </si>
  <si>
    <t>Не принято</t>
  </si>
  <si>
    <t>Демо: ЗК-201</t>
  </si>
  <si>
    <t>И-202</t>
  </si>
  <si>
    <t>Компания О / металлоконструкции</t>
  </si>
  <si>
    <t>Принято</t>
  </si>
  <si>
    <t>Демо: ЗК-202</t>
  </si>
  <si>
    <t>И-203</t>
  </si>
  <si>
    <t>Компания П / покрытие</t>
  </si>
  <si>
    <t>Приёмка и оплата</t>
  </si>
  <si>
    <t>Демо: ЗК-203</t>
  </si>
  <si>
    <t>Результат</t>
  </si>
  <si>
    <t>Группа</t>
  </si>
  <si>
    <t>Где фиксировать</t>
  </si>
  <si>
    <t>Контакт и подтверждённая потребность</t>
  </si>
  <si>
    <t>Битрикс: карточка контакта, ЛПР, потребность и следующий шаг.</t>
  </si>
  <si>
    <t>Ведомость требований клиента</t>
  </si>
  <si>
    <t>ТЗ, объёмы, срок, адрес, покрытие, монтаж, документы.</t>
  </si>
  <si>
    <t>Проверка закупки</t>
  </si>
  <si>
    <t>Лист оценки закупки</t>
  </si>
  <si>
    <t>Соответствие ТЗ, сроки, обеспечение и риски участия.</t>
  </si>
  <si>
    <t>Согласованная калькуляция</t>
  </si>
  <si>
    <t>Закупка, доставка, дополнительные расходы, маржа, цена продажи.</t>
  </si>
  <si>
    <t>Согласованная цена и решение участвовать</t>
  </si>
  <si>
    <t>Калькуляция, обеспечение, комиссии, риски, решение ответственного.</t>
  </si>
  <si>
    <t>Ответ клиента на предложение</t>
  </si>
  <si>
    <t>Версия КП, факт отправки, обратная связь и препятствие к заказу.</t>
  </si>
  <si>
    <t>Полный комплект тендерной заявки</t>
  </si>
  <si>
    <t>Техническая часть, цена, допуски, БГ/обеспечение по условиям закупки.</t>
  </si>
  <si>
    <t>Согласованные условия и открытые вопросы</t>
  </si>
  <si>
    <t>Возражения, решения, лица согласования, сроки следующего решения.</t>
  </si>
  <si>
    <t>Подача</t>
  </si>
  <si>
    <t>Подтверждение подачи площадкой</t>
  </si>
  <si>
    <t>Квитанция/статус площадки и фактическое время подачи.</t>
  </si>
  <si>
    <t>Принятый площадкой ответ</t>
  </si>
  <si>
    <t>Комплект уточнений и подтверждение приёма в установленный срок.</t>
  </si>
  <si>
    <t>Протокол результата закупки</t>
  </si>
  <si>
    <t>Результат, причины отказа или требования для заключения договора.</t>
  </si>
  <si>
    <t>Подписанные договор и спецификация</t>
  </si>
  <si>
    <t>Состав, цена, сроки, оплата; неподписанный проект не подтверждает завершение.</t>
  </si>
  <si>
    <t>Заказ принят снабжением и логистикой</t>
  </si>
  <si>
    <t>Комплект передан и принят: объёмы, сроки, бюджет, адрес, условия оплаты.</t>
  </si>
  <si>
    <t>Согласованы изменения и сроки клиента</t>
  </si>
  <si>
    <t>Действия продавца по клиенту; не заменяют производственный план снабжения.</t>
  </si>
  <si>
    <t>Приёмка подтверждена и оплата поступила</t>
  </si>
  <si>
    <t>1С: остаток долга и срок; Битрикс/ЭДО: согласование и приёмка документов.</t>
  </si>
  <si>
    <t>Закрыто успешно</t>
  </si>
  <si>
    <t>Закрыто</t>
  </si>
  <si>
    <t>Закрытые объекты исключены из текущей очереди.</t>
  </si>
  <si>
    <t>Закрыто без результата</t>
  </si>
  <si>
    <t>Причина закрытия фиксируется в Битриксе.</t>
  </si>
  <si>
    <t>Метод скрытых артефактов: фиксируем основания решений — требования, выбор поставщика, калькуляцию, возражения и условия запуска.</t>
  </si>
  <si>
    <t>Битрикс: ID, сотрудник, канал, стадия, история, задачи, сроки, ссылки на результаты, ожидания и решения ИД. Коды полей проверить в вашей коробке.</t>
  </si>
  <si>
    <t>1С: связанные заказы, суммы и затраты, фактическое исполнение, остаток долга и договорный срок оплаты. Сумма предложения не является выручкой.</t>
  </si>
  <si>
    <t>Готовность: Готово + ID/ссылка в O. Для расчёта дополнительно заполнены I:M. Для передачи — P=Принято. Для приёмки — Q=Принято и долг S=0.</t>
  </si>
  <si>
    <t>Флажки I:M описывают готовность частей расчёта. Не требуется допустимо только при обосновании; для расчёта не допускается Не требуется во всех пяти полях.</t>
  </si>
  <si>
    <t>Источник метода: Д. Гуреев, «Цифровое мышление в бизнесе», открытое предисловие МИФ. Структура панели — адаптация под ТТК, а не цитата.</t>
  </si>
  <si>
    <t>https://www.mann-ivanov-ferber.ru/assets/media/files-3/cifrovoe-myslenie-v-biznese/cifrovoe-myslenie-v-biznese-mail_stamped.pdf</t>
  </si>
  <si>
    <t>Имена сотрудников для списков. При изменении имени обновите соответствующие строки реестра.</t>
  </si>
  <si>
    <t>Действия и ожидания по продажам</t>
  </si>
  <si>
    <t>Отдельные строки для действия продавца и запроса другому отделу. Дата и время — Екатеринбург, UTC+5.</t>
  </si>
  <si>
    <t>Приоритет: 1 — жёсткий срок в ближайшие 48 часов/просрочен; 2 — прочая просрочка; 3 — сегодня; 4 — решение ИД или отсутствует срок.</t>
  </si>
  <si>
    <t>ID действия</t>
  </si>
  <si>
    <t>ID объекта</t>
  </si>
  <si>
    <t>Что сделать</t>
  </si>
  <si>
    <t>Кто должен выдать результат</t>
  </si>
  <si>
    <t>Исполнитель</t>
  </si>
  <si>
    <t>Тип действия</t>
  </si>
  <si>
    <t>Статус</t>
  </si>
  <si>
    <t>Нужно решение ИД</t>
  </si>
  <si>
    <t>Вопрос для ИД</t>
  </si>
  <si>
    <t>Ссылка / подтверждение</t>
  </si>
  <si>
    <t>Менеджер сделки</t>
  </si>
  <si>
    <t>Активно</t>
  </si>
  <si>
    <t>Просрочено, часов</t>
  </si>
  <si>
    <t>Критический срок</t>
  </si>
  <si>
    <t>Просрочка продаж</t>
  </si>
  <si>
    <t>Приоритет</t>
  </si>
  <si>
    <t>Место в списке</t>
  </si>
  <si>
    <t>Не готов результат</t>
  </si>
  <si>
    <t>Ранг решения ИД</t>
  </si>
  <si>
    <t>Срок для сортировки</t>
  </si>
  <si>
    <t>Д-01</t>
  </si>
  <si>
    <t>Связаться с ЛПР</t>
  </si>
  <si>
    <t>Контакт</t>
  </si>
  <si>
    <t>Открыто</t>
  </si>
  <si>
    <t>Д-02</t>
  </si>
  <si>
    <t>Уточнить объём и срок потребности</t>
  </si>
  <si>
    <t>Д-03</t>
  </si>
  <si>
    <t>Передать требования на расчёт</t>
  </si>
  <si>
    <t>Внутренняя задача</t>
  </si>
  <si>
    <t>Д-04</t>
  </si>
  <si>
    <t>Получить ведомость объёмов</t>
  </si>
  <si>
    <t>Клиент</t>
  </si>
  <si>
    <t>Ответственный клиента</t>
  </si>
  <si>
    <t>Требования</t>
  </si>
  <si>
    <t>Ожидание</t>
  </si>
  <si>
    <t>Д-05</t>
  </si>
  <si>
    <t>Повторно запросить ТЗ у клиента</t>
  </si>
  <si>
    <t>Д-06</t>
  </si>
  <si>
    <t>Получить сопоставимое КП завода</t>
  </si>
  <si>
    <t>Снабжение</t>
  </si>
  <si>
    <t>Снабженец</t>
  </si>
  <si>
    <t>Да</t>
  </si>
  <si>
    <t>Определить замену поставщика или согласовать перенос расчёта</t>
  </si>
  <si>
    <t>Д-07</t>
  </si>
  <si>
    <t>Подтвердить ставку доставки</t>
  </si>
  <si>
    <t>Логистика</t>
  </si>
  <si>
    <t>Логист</t>
  </si>
  <si>
    <t>Д-08</t>
  </si>
  <si>
    <t>Согласовать цену и решение участвовать</t>
  </si>
  <si>
    <t>Согласование</t>
  </si>
  <si>
    <t>Утвердить цену с учётом доставки и обеспечения</t>
  </si>
  <si>
    <t>Д-09</t>
  </si>
  <si>
    <t>Получить ответ на КП</t>
  </si>
  <si>
    <t>Д-10</t>
  </si>
  <si>
    <t>Зафиксировать условия оплаты</t>
  </si>
  <si>
    <t>Д-11</t>
  </si>
  <si>
    <t>Подать ответ на технический дозапрос</t>
  </si>
  <si>
    <t>Д-12</t>
  </si>
  <si>
    <t>Согласовать протокол разногласий</t>
  </si>
  <si>
    <t>Юрист</t>
  </si>
  <si>
    <t>Решить вопрос по ответственности и срокам договора</t>
  </si>
  <si>
    <t>Д-13</t>
  </si>
  <si>
    <t>Подать тендерную заявку</t>
  </si>
  <si>
    <t>Д-14</t>
  </si>
  <si>
    <t>Подтвердить обеспечение заявки</t>
  </si>
  <si>
    <t>Финансы</t>
  </si>
  <si>
    <t>Финансовый блок</t>
  </si>
  <si>
    <t>Обеспечение</t>
  </si>
  <si>
    <t>Д-15</t>
  </si>
  <si>
    <t>Подтвердить приём комплекта заказа</t>
  </si>
  <si>
    <t>Передача заказа</t>
  </si>
  <si>
    <t>Д-16</t>
  </si>
  <si>
    <t>Согласовать изменённую дату с клиентом</t>
  </si>
  <si>
    <t>Обязательство клиенту</t>
  </si>
  <si>
    <t>Определить допустимое решение по переносу поставки</t>
  </si>
  <si>
    <t>Д-17</t>
  </si>
  <si>
    <t>Получить подтверждение приёмки</t>
  </si>
  <si>
    <t>Документы</t>
  </si>
  <si>
    <t>Д-18</t>
  </si>
  <si>
    <t>Согласовать дату погашения долга</t>
  </si>
  <si>
    <t>Оплата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</si>
</sst>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yyyy\-mm\-dd"/>
    <numFmt numFmtId="166" formatCode="0.0"/>
    <numFmt numFmtId="167" formatCode="mm\-dd\ hh:mm"/>
  </numFmts>
  <fonts count="10">
    <font>
      <sz val="11"/>
      <name val="Carlito"/>
    </font>
    <font>
      <sz val="11"/>
      <color rgb="FF1D3048"/>
      <name val="Arial"/>
      <family val="2"/>
    </font>
    <font>
      <b/>
      <sz val="19"/>
      <color rgb="FF203C5C"/>
      <name val="Arial"/>
      <family val="2"/>
    </font>
    <font>
      <sz val="10"/>
      <color rgb="FF62748B"/>
      <name val="Arial"/>
      <family val="2"/>
    </font>
    <font>
      <b/>
      <sz val="18"/>
      <color rgb="FF1D3048"/>
      <name val="Arial"/>
      <family val="2"/>
    </font>
    <font>
      <b/>
      <sz val="11"/>
      <color rgb="FFFFFFFF"/>
      <name val="Arial"/>
      <family val="2"/>
    </font>
    <font>
      <b/>
      <sz val="22"/>
      <color rgb="FF203C5C"/>
      <name val="Arial"/>
      <family val="2"/>
    </font>
    <font>
      <b/>
      <sz val="22"/>
      <color rgb="FFB8323C"/>
      <name val="Arial"/>
      <family val="2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03C5C"/>
      </patternFill>
    </fill>
    <fill>
      <patternFill patternType="solid">
        <fgColor rgb="FFEDF2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5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vertical="center"/>
    </xf>
    <xf numFmtId="0" fontId="1" fillId="2" borderId="0" xfId="1" applyFont="1" applyFill="1" applyAlignment="1">
      <alignment vertical="center" wrapText="1"/>
    </xf>
    <xf numFmtId="0" fontId="1" fillId="4" borderId="0" xfId="1" applyFont="1" applyFill="1" applyAlignment="1">
      <alignment vertical="center" wrapText="1"/>
    </xf>
    <xf numFmtId="164" fontId="1" fillId="2" borderId="0" xfId="1" applyNumberFormat="1" applyFont="1" applyFill="1" applyAlignment="1">
      <alignment vertical="center" wrapText="1"/>
    </xf>
    <xf numFmtId="165" fontId="1" fillId="2" borderId="0" xfId="1" applyNumberFormat="1" applyFont="1" applyFill="1" applyAlignment="1">
      <alignment vertical="center" wrapText="1"/>
    </xf>
    <xf numFmtId="4" fontId="1" fillId="2" borderId="0" xfId="1" applyNumberFormat="1" applyFont="1" applyFill="1" applyAlignment="1">
      <alignment vertical="center" wrapText="1"/>
    </xf>
    <xf numFmtId="4" fontId="1" fillId="4" borderId="0" xfId="1" applyNumberFormat="1" applyFont="1" applyFill="1" applyAlignment="1">
      <alignment vertical="center" wrapText="1"/>
    </xf>
    <xf numFmtId="0" fontId="1" fillId="0" borderId="0" xfId="1" applyFont="1" applyAlignment="1">
      <alignment vertical="center" wrapText="1"/>
    </xf>
    <xf numFmtId="166" fontId="1" fillId="4" borderId="0" xfId="1" applyNumberFormat="1" applyFont="1" applyFill="1" applyAlignment="1">
      <alignment vertical="center" wrapText="1"/>
    </xf>
    <xf numFmtId="0" fontId="8" fillId="3" borderId="0" xfId="1" applyFont="1" applyFill="1" applyAlignment="1">
      <alignment horizontal="center" vertical="center" wrapText="1"/>
    </xf>
    <xf numFmtId="0" fontId="0" fillId="4" borderId="0" xfId="1" applyFont="1" applyFill="1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4" fontId="1" fillId="2" borderId="0" xfId="1" applyNumberFormat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6" fillId="4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167" fontId="1" fillId="0" borderId="0" xfId="1" applyNumberFormat="1" applyFont="1" applyAlignment="1">
      <alignment vertical="center" wrapText="1"/>
    </xf>
    <xf numFmtId="0" fontId="1" fillId="4" borderId="0" xfId="1" applyFont="1" applyFill="1" applyAlignment="1">
      <alignment vertical="center" wrapText="1"/>
    </xf>
    <xf numFmtId="167" fontId="1" fillId="4" borderId="0" xfId="1" applyNumberFormat="1" applyFont="1" applyFill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</cellXfs>
  <cellStyles count="2">
    <cellStyle name="Обычный" xfId="0" builtinId="0"/>
    <cellStyle name="Normal" xfId="1" xr:uid="{00000000-0005-0000-0000-000000000000}"/>
  </cellStyles>
  <dxfs count="3">
    <dxf>
      <font>
        <b/>
        <color rgb="FFB8323C"/>
      </font>
      <fill>
        <patternFill patternType="solid">
          <bgColor rgb="FFFDEDEE"/>
        </patternFill>
      </fill>
    </dxf>
    <dxf>
      <font>
        <b/>
        <color rgb="FFB8323C"/>
      </font>
      <fill>
        <patternFill patternType="solid">
          <bgColor rgb="FFFDEDEE"/>
        </patternFill>
      </fill>
    </dxf>
    <dxf>
      <font>
        <b/>
        <color rgb="FFB8323C"/>
      </font>
      <fill>
        <patternFill patternType="solid">
          <bgColor rgb="FFFDED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127000</xdr:colOff>
      <xdr:row>0</xdr:row>
      <xdr:rowOff>38100</xdr:rowOff>
    </xdr:from>
    <xdr:to>
      <xdr:col>28</xdr:col>
      <xdr:colOff>469900</xdr:colOff>
      <xdr:row>46</xdr:row>
      <xdr:rowOff>4127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FAD2BA8-B84B-F211-DDA8-F96410F86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1500" y="38100"/>
          <a:ext cx="7772400" cy="8144827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0</xdr:row>
      <xdr:rowOff>12700</xdr:rowOff>
    </xdr:from>
    <xdr:to>
      <xdr:col>19</xdr:col>
      <xdr:colOff>25400</xdr:colOff>
      <xdr:row>48</xdr:row>
      <xdr:rowOff>71120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9722073-C9F1-8565-0376-18CB851C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0" y="12700"/>
          <a:ext cx="7772400" cy="859282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12700</xdr:rowOff>
    </xdr:from>
    <xdr:to>
      <xdr:col>9</xdr:col>
      <xdr:colOff>406400</xdr:colOff>
      <xdr:row>49</xdr:row>
      <xdr:rowOff>114617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F0F6DFC-AFEF-E86A-A35B-494E057B2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12700"/>
          <a:ext cx="7772400" cy="88141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Register" displayName="SalesRegister" ref="A6:AD106" totalsRowShown="0">
  <tableColumns count="30">
    <tableColumn id="1" xr3:uid="{00000000-0010-0000-0000-000001000000}" name="ID"/>
    <tableColumn id="2" xr3:uid="{00000000-0010-0000-0000-000002000000}" name="Тип"/>
    <tableColumn id="3" xr3:uid="{00000000-0010-0000-0000-000003000000}" name="Клиент / объект"/>
    <tableColumn id="4" xr3:uid="{00000000-0010-0000-0000-000004000000}" name="Сотрудник"/>
    <tableColumn id="5" xr3:uid="{00000000-0010-0000-0000-000005000000}" name="Канал"/>
    <tableColumn id="6" xr3:uid="{00000000-0010-0000-0000-000006000000}" name="Этап"/>
    <tableColumn id="7" xr3:uid="{00000000-0010-0000-0000-000007000000}" name="Вход на этап"/>
    <tableColumn id="8" xr3:uid="{00000000-0010-0000-0000-000008000000}" name="Срок результата этапа"/>
    <tableColumn id="9" xr3:uid="{00000000-0010-0000-0000-000009000000}" name="Требования / ТЗ"/>
    <tableColumn id="10" xr3:uid="{00000000-0010-0000-0000-00000A000000}" name="Предложение завода"/>
    <tableColumn id="11" xr3:uid="{00000000-0010-0000-0000-00000B000000}" name="Расчёт логистики"/>
    <tableColumn id="12" xr3:uid="{00000000-0010-0000-0000-00000C000000}" name="Дополнительные расходы"/>
    <tableColumn id="13" xr3:uid="{00000000-0010-0000-0000-00000D000000}" name="Цена согласована"/>
    <tableColumn id="14" xr3:uid="{00000000-0010-0000-0000-00000E000000}" name="Результат готов"/>
    <tableColumn id="15" xr3:uid="{00000000-0010-0000-0000-00000F000000}" name="Подтверждение результата"/>
    <tableColumn id="16" xr3:uid="{00000000-0010-0000-0000-000010000000}" name="Передача принята"/>
    <tableColumn id="17" xr3:uid="{00000000-0010-0000-0000-000011000000}" name="Документы приняты"/>
    <tableColumn id="18" xr3:uid="{00000000-0010-0000-0000-000012000000}" name="Связанный заказ 1С"/>
    <tableColumn id="19" xr3:uid="{00000000-0010-0000-0000-000013000000}" name="Долг, ₽ с НДС"/>
    <tableColumn id="20" xr3:uid="{00000000-0010-0000-0000-000014000000}" name="Срок оплаты"/>
    <tableColumn id="21" xr3:uid="{00000000-0010-0000-0000-000015000000}" name="Ссылка Битрикс"/>
    <tableColumn id="22" xr3:uid="{00000000-0010-0000-0000-000016000000}" name="Ожидаемый результат"/>
    <tableColumn id="23" xr3:uid="{00000000-0010-0000-0000-000017000000}" name="Что ещё нужно"/>
    <tableColumn id="24" xr3:uid="{00000000-0010-0000-0000-000018000000}" name="Выбран фильтром"/>
    <tableColumn id="25" xr3:uid="{00000000-0010-0000-0000-000019000000}" name="Просрочен этап"/>
    <tableColumn id="26" xr3:uid="{00000000-0010-0000-0000-00001A000000}" name="Без открытого действия"/>
    <tableColumn id="27" xr3:uid="{00000000-0010-0000-0000-00001B000000}" name="Просроченный долг, ₽"/>
    <tableColumn id="28" xr3:uid="{00000000-0010-0000-0000-00001C000000}" name="Группа этапов"/>
    <tableColumn id="29" xr3:uid="{00000000-0010-0000-0000-00001D000000}" name="Без срока этапа"/>
    <tableColumn id="30" xr3:uid="{00000000-0010-0000-0000-00001E000000}" name="Сумма предложения, ₽ без НД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Actions" displayName="SalesActions" ref="A6:W106" totalsRowShown="0">
  <tableColumns count="23">
    <tableColumn id="1" xr3:uid="{00000000-0010-0000-0100-000001000000}" name="ID действия"/>
    <tableColumn id="2" xr3:uid="{00000000-0010-0000-0100-000002000000}" name="ID объекта"/>
    <tableColumn id="3" xr3:uid="{00000000-0010-0000-0100-000003000000}" name="Что сделать"/>
    <tableColumn id="4" xr3:uid="{00000000-0010-0000-0100-000004000000}" name="Кто должен выдать результат"/>
    <tableColumn id="5" xr3:uid="{00000000-0010-0000-0100-000005000000}" name="Исполнитель"/>
    <tableColumn id="6" xr3:uid="{00000000-0010-0000-0100-000006000000}" name="Срок"/>
    <tableColumn id="7" xr3:uid="{00000000-0010-0000-0100-000007000000}" name="Тип действия"/>
    <tableColumn id="8" xr3:uid="{00000000-0010-0000-0100-000008000000}" name="Статус"/>
    <tableColumn id="9" xr3:uid="{00000000-0010-0000-0100-000009000000}" name="Нужно решение ИД"/>
    <tableColumn id="10" xr3:uid="{00000000-0010-0000-0100-00000A000000}" name="Вопрос для ИД"/>
    <tableColumn id="11" xr3:uid="{00000000-0010-0000-0100-00000B000000}" name="Ссылка / подтверждение"/>
    <tableColumn id="12" xr3:uid="{00000000-0010-0000-0100-00000C000000}" name="Менеджер сделки"/>
    <tableColumn id="13" xr3:uid="{00000000-0010-0000-0100-00000D000000}" name="Канал"/>
    <tableColumn id="14" xr3:uid="{00000000-0010-0000-0100-00000E000000}" name="Активно"/>
    <tableColumn id="15" xr3:uid="{00000000-0010-0000-0100-00000F000000}" name="Просрочено, часов"/>
    <tableColumn id="16" xr3:uid="{00000000-0010-0000-0100-000010000000}" name="Критический срок"/>
    <tableColumn id="17" xr3:uid="{00000000-0010-0000-0100-000011000000}" name="Просрочка продаж"/>
    <tableColumn id="18" xr3:uid="{00000000-0010-0000-0100-000012000000}" name="Ожидание других"/>
    <tableColumn id="19" xr3:uid="{00000000-0010-0000-0100-000013000000}" name="Выбран фильтром"/>
    <tableColumn id="20" xr3:uid="{00000000-0010-0000-0100-000014000000}" name="Приоритет"/>
    <tableColumn id="21" xr3:uid="{00000000-0010-0000-0100-000015000000}" name="Место в списке"/>
    <tableColumn id="22" xr3:uid="{00000000-0010-0000-0100-000016000000}" name="Не готов результат"/>
    <tableColumn id="23" xr3:uid="{00000000-0010-0000-0100-000017000000}" name="Клиент / объект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C5C"/>
  </sheetPr>
  <dimension ref="A1:R48"/>
  <sheetViews>
    <sheetView showGridLines="0" workbookViewId="0"/>
  </sheetViews>
  <sheetFormatPr baseColWidth="10" defaultColWidth="8.83203125" defaultRowHeight="14"/>
  <cols>
    <col min="1" max="1" width="3" customWidth="1"/>
    <col min="2" max="17" width="10" customWidth="1"/>
    <col min="18" max="18" width="18" customWidth="1"/>
  </cols>
  <sheetData>
    <row r="1" spans="1:18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5" customHeight="1">
      <c r="A2" s="1"/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  <c r="N2" s="15" t="s">
        <v>0</v>
      </c>
      <c r="O2" s="15" t="s">
        <v>0</v>
      </c>
      <c r="P2" s="15" t="s">
        <v>0</v>
      </c>
      <c r="Q2" s="15" t="s">
        <v>0</v>
      </c>
      <c r="R2" s="1"/>
    </row>
    <row r="3" spans="1:18" ht="25" customHeight="1">
      <c r="A3" s="1"/>
      <c r="B3" s="16" t="s">
        <v>1</v>
      </c>
      <c r="C3" s="16" t="s">
        <v>1</v>
      </c>
      <c r="D3" s="16" t="s">
        <v>1</v>
      </c>
      <c r="E3" s="16" t="s">
        <v>1</v>
      </c>
      <c r="F3" s="16" t="s">
        <v>1</v>
      </c>
      <c r="G3" s="16" t="s">
        <v>1</v>
      </c>
      <c r="H3" s="16" t="s">
        <v>1</v>
      </c>
      <c r="I3" s="16" t="s">
        <v>1</v>
      </c>
      <c r="J3" s="16" t="s">
        <v>1</v>
      </c>
      <c r="K3" s="16" t="s">
        <v>1</v>
      </c>
      <c r="L3" s="16" t="s">
        <v>1</v>
      </c>
      <c r="M3" s="16" t="s">
        <v>1</v>
      </c>
      <c r="N3" s="16" t="s">
        <v>1</v>
      </c>
      <c r="O3" s="16" t="s">
        <v>1</v>
      </c>
      <c r="P3" s="16" t="s">
        <v>1</v>
      </c>
      <c r="Q3" s="16" t="s">
        <v>1</v>
      </c>
      <c r="R3" s="1"/>
    </row>
    <row r="4" spans="1:18" ht="25" customHeight="1">
      <c r="A4" s="1"/>
      <c r="B4" s="17" t="s">
        <v>2</v>
      </c>
      <c r="C4" s="17" t="s">
        <v>2</v>
      </c>
      <c r="D4" s="18">
        <v>46321.375</v>
      </c>
      <c r="E4" s="18">
        <v>46321.375</v>
      </c>
      <c r="F4" s="18">
        <v>46321.375</v>
      </c>
      <c r="G4" s="17" t="s">
        <v>3</v>
      </c>
      <c r="H4" s="17" t="s">
        <v>3</v>
      </c>
      <c r="I4" s="19" t="s">
        <v>4</v>
      </c>
      <c r="J4" s="19" t="s">
        <v>4</v>
      </c>
      <c r="K4" s="19" t="s">
        <v>4</v>
      </c>
      <c r="L4" s="19" t="s">
        <v>4</v>
      </c>
      <c r="M4" s="17" t="s">
        <v>5</v>
      </c>
      <c r="N4" s="17" t="s">
        <v>5</v>
      </c>
      <c r="O4" s="19" t="s">
        <v>4</v>
      </c>
      <c r="P4" s="19" t="s">
        <v>4</v>
      </c>
      <c r="Q4" s="19" t="s">
        <v>4</v>
      </c>
      <c r="R4" s="1"/>
    </row>
    <row r="5" spans="1:18" ht="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5" customHeight="1">
      <c r="A7" s="1"/>
      <c r="B7" s="20" t="s">
        <v>6</v>
      </c>
      <c r="C7" s="20" t="s">
        <v>6</v>
      </c>
      <c r="D7" s="20" t="s">
        <v>6</v>
      </c>
      <c r="E7" s="20" t="s">
        <v>6</v>
      </c>
      <c r="F7" s="20" t="s">
        <v>7</v>
      </c>
      <c r="G7" s="20" t="s">
        <v>7</v>
      </c>
      <c r="H7" s="20" t="s">
        <v>7</v>
      </c>
      <c r="I7" s="20" t="s">
        <v>7</v>
      </c>
      <c r="J7" s="20" t="s">
        <v>8</v>
      </c>
      <c r="K7" s="20" t="s">
        <v>8</v>
      </c>
      <c r="L7" s="20" t="s">
        <v>8</v>
      </c>
      <c r="M7" s="20" t="s">
        <v>8</v>
      </c>
      <c r="N7" s="20" t="s">
        <v>9</v>
      </c>
      <c r="O7" s="20" t="s">
        <v>9</v>
      </c>
      <c r="P7" s="20" t="s">
        <v>9</v>
      </c>
      <c r="Q7" s="20" t="s">
        <v>9</v>
      </c>
      <c r="R7" s="1"/>
    </row>
    <row r="8" spans="1:18" ht="25" customHeight="1">
      <c r="A8" s="1"/>
      <c r="B8" s="21">
        <f>COUNTIFS(Действия!$S$7:$S$106,1,Действия!$F$7:$F$106,"&gt;="&amp;INT($D$4),Действия!$F$7:$F$106,"&lt;"&amp;INT($D$4)+1)</f>
        <v>9</v>
      </c>
      <c r="C8" s="21"/>
      <c r="D8" s="21"/>
      <c r="E8" s="21"/>
      <c r="F8" s="21">
        <f>COUNTIFS(Действия!$S$7:$S$106,1,Действия!$P$7:$P$106,1)</f>
        <v>4</v>
      </c>
      <c r="G8" s="21"/>
      <c r="H8" s="21"/>
      <c r="I8" s="21"/>
      <c r="J8" s="22">
        <f>COUNTIFS(Действия!$S$7:$S$106,1,Действия!$Q$7:$Q$106,1)</f>
        <v>2</v>
      </c>
      <c r="K8" s="22"/>
      <c r="L8" s="22"/>
      <c r="M8" s="22"/>
      <c r="N8" s="21">
        <f>COUNTIFS(Действия!$S$7:$S$106,1,Действия!$R$7:$R$106,1)</f>
        <v>7</v>
      </c>
      <c r="O8" s="21"/>
      <c r="P8" s="21"/>
      <c r="Q8" s="21"/>
      <c r="R8" s="1"/>
    </row>
    <row r="9" spans="1:18" ht="25" customHeight="1">
      <c r="A9" s="1"/>
      <c r="B9" s="21"/>
      <c r="C9" s="21"/>
      <c r="D9" s="21"/>
      <c r="E9" s="21"/>
      <c r="F9" s="21"/>
      <c r="G9" s="21"/>
      <c r="H9" s="21"/>
      <c r="I9" s="21"/>
      <c r="J9" s="22"/>
      <c r="K9" s="22"/>
      <c r="L9" s="22"/>
      <c r="M9" s="22"/>
      <c r="N9" s="21"/>
      <c r="O9" s="21"/>
      <c r="P9" s="21"/>
      <c r="Q9" s="21"/>
      <c r="R9" s="1"/>
    </row>
    <row r="10" spans="1:18" ht="25" customHeight="1">
      <c r="A10" s="1"/>
      <c r="B10" s="16" t="str">
        <f>"Объектов: "&amp;SUM(Реестр!$X$7:$X$106)&amp;"  •  без следующего действия продавца: "&amp;COUNTIFS(Реестр!$X$7:$X$106,1,Реестр!$Z$7:$Z$106,1)&amp;"  •  без срока этапа: "&amp;COUNTIFS(Реестр!$X$7:$X$106,1,Реестр!$AC$7:$AC$106,1)&amp;"  •  карточки сверху считают действия, не сделки"</f>
        <v>Объектов: 15  •  без следующего действия продавца: 4  •  без срока этапа: 0  •  карточки сверху считают действия, не сделки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"/>
    </row>
    <row r="11" spans="1:18" ht="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6" customHeight="1">
      <c r="A12" s="1"/>
      <c r="B12" s="23" t="s">
        <v>10</v>
      </c>
      <c r="C12" s="23" t="s">
        <v>10</v>
      </c>
      <c r="D12" s="23" t="s">
        <v>10</v>
      </c>
      <c r="E12" s="23" t="s">
        <v>10</v>
      </c>
      <c r="F12" s="23" t="s">
        <v>10</v>
      </c>
      <c r="G12" s="23" t="s">
        <v>10</v>
      </c>
      <c r="H12" s="23" t="s">
        <v>10</v>
      </c>
      <c r="I12" s="23" t="s">
        <v>10</v>
      </c>
      <c r="J12" s="23" t="s">
        <v>10</v>
      </c>
      <c r="K12" s="23" t="s">
        <v>10</v>
      </c>
      <c r="L12" s="23" t="s">
        <v>10</v>
      </c>
      <c r="M12" s="23" t="s">
        <v>10</v>
      </c>
      <c r="N12" s="23" t="s">
        <v>10</v>
      </c>
      <c r="O12" s="23" t="s">
        <v>10</v>
      </c>
      <c r="P12" s="23" t="s">
        <v>10</v>
      </c>
      <c r="Q12" s="23" t="s">
        <v>10</v>
      </c>
      <c r="R12" s="1"/>
    </row>
    <row r="13" spans="1:18" ht="32" customHeight="1">
      <c r="A13" s="1"/>
      <c r="B13" s="24" t="s">
        <v>11</v>
      </c>
      <c r="C13" s="24" t="s">
        <v>11</v>
      </c>
      <c r="D13" s="24" t="s">
        <v>12</v>
      </c>
      <c r="E13" s="24" t="s">
        <v>12</v>
      </c>
      <c r="F13" s="24" t="s">
        <v>12</v>
      </c>
      <c r="G13" s="24" t="s">
        <v>12</v>
      </c>
      <c r="H13" s="24" t="s">
        <v>12</v>
      </c>
      <c r="I13" s="24" t="s">
        <v>13</v>
      </c>
      <c r="J13" s="24" t="s">
        <v>13</v>
      </c>
      <c r="K13" s="24" t="s">
        <v>13</v>
      </c>
      <c r="L13" s="24" t="s">
        <v>14</v>
      </c>
      <c r="M13" s="24" t="s">
        <v>14</v>
      </c>
      <c r="N13" s="24" t="s">
        <v>14</v>
      </c>
      <c r="O13" s="24" t="s">
        <v>15</v>
      </c>
      <c r="P13" s="24" t="s">
        <v>15</v>
      </c>
      <c r="Q13" s="24" t="s">
        <v>15</v>
      </c>
      <c r="R13" s="1"/>
    </row>
    <row r="14" spans="1:18" ht="37" customHeight="1">
      <c r="A14" s="1"/>
      <c r="B14" s="25" t="str">
        <f>IF(COUNT(Действия!$U$7:$U$106)&lt;1,"",IF(INDEX(Действия!$B$7:$B$106,MATCH(1,Действия!$U$7:$U$106,0))=0,"Нет данных",INDEX(Действия!$B$7:$B$106,MATCH(1,Действия!$U$7:$U$106,0))))</f>
        <v>С-107</v>
      </c>
      <c r="C14" s="25"/>
      <c r="D14" s="25" t="str">
        <f>IF(COUNT(Действия!$U$7:$U$106)&lt;1,"",IF(INDEX(Действия!$C$7:$C$106,MATCH(1,Действия!$U$7:$U$106,0))=0,"Нет данных",INDEX(Действия!$C$7:$C$106,MATCH(1,Действия!$U$7:$U$106,0))))</f>
        <v>Подать ответ на технический дозапрос</v>
      </c>
      <c r="E14" s="25"/>
      <c r="F14" s="25"/>
      <c r="G14" s="25"/>
      <c r="H14" s="25"/>
      <c r="I14" s="25" t="str">
        <f>IF(COUNT(Действия!$U$7:$U$106)&lt;1,"",IF(INDEX(Действия!$E$7:$E$106,MATCH(1,Действия!$U$7:$U$106,0))=0,"Нет данных",INDEX(Действия!$E$7:$E$106,MATCH(1,Действия!$U$7:$U$106,0))))</f>
        <v>Тендерный специалист</v>
      </c>
      <c r="J14" s="25"/>
      <c r="K14" s="25"/>
      <c r="L14" s="26">
        <f>IF(COUNT(Действия!$U$7:$U$106)&lt;1,"",IF(INDEX(Действия!$F$7:$F$106,MATCH(1,Действия!$U$7:$U$106,0))=0,"Нет данных",INDEX(Действия!$F$7:$F$106,MATCH(1,Действия!$U$7:$U$106,0))))</f>
        <v>46321.458333333336</v>
      </c>
      <c r="M14" s="26"/>
      <c r="N14" s="26"/>
      <c r="O14" s="25" t="str">
        <f>IF(COUNT(Действия!$U$7:$U$106)&lt;1,"",IF(INDEX(Действия!$P$7:$P$106,MATCH(1,Действия!$U$7:$U$106,0))=1,"Жёсткий срок",IF(INDEX(Действия!$Q$7:$Q$106,MATCH(1,Действия!$U$7:$U$106,0))=1,"Просрочка продаж",IF(INDEX(Действия!$O$7:$O$106,MATCH(1,Действия!$U$7:$U$106,0))&gt;0,"Просрочка ожидания",IF(INDEX(Действия!$I$7:$I$106,MATCH(1,Действия!$U$7:$U$106,0))="Да","Решение ИД","Сегодня")))))</f>
        <v>Жёсткий срок</v>
      </c>
      <c r="P14" s="25"/>
      <c r="Q14" s="25"/>
      <c r="R14" s="1"/>
    </row>
    <row r="15" spans="1:18" ht="37" customHeight="1">
      <c r="A15" s="1"/>
      <c r="B15" s="27" t="str">
        <f>IF(COUNT(Действия!$U$7:$U$106)&lt;2,"",IF(INDEX(Действия!$B$7:$B$106,MATCH(2,Действия!$U$7:$U$106,0))=0,"Нет данных",INDEX(Действия!$B$7:$B$106,MATCH(2,Действия!$U$7:$U$106,0))))</f>
        <v>И-202</v>
      </c>
      <c r="C15" s="27"/>
      <c r="D15" s="27" t="str">
        <f>IF(COUNT(Действия!$U$7:$U$106)&lt;2,"",IF(INDEX(Действия!$C$7:$C$106,MATCH(2,Действия!$U$7:$U$106,0))=0,"Нет данных",INDEX(Действия!$C$7:$C$106,MATCH(2,Действия!$U$7:$U$106,0))))</f>
        <v>Согласовать изменённую дату с клиентом</v>
      </c>
      <c r="E15" s="27"/>
      <c r="F15" s="27"/>
      <c r="G15" s="27"/>
      <c r="H15" s="27"/>
      <c r="I15" s="27" t="str">
        <f>IF(COUNT(Действия!$U$7:$U$106)&lt;2,"",IF(INDEX(Действия!$E$7:$E$106,MATCH(2,Действия!$U$7:$U$106,0))=0,"Нет данных",INDEX(Действия!$E$7:$E$106,MATCH(2,Действия!$U$7:$U$106,0))))</f>
        <v>Менеджер 2</v>
      </c>
      <c r="J15" s="27"/>
      <c r="K15" s="27"/>
      <c r="L15" s="28">
        <f>IF(COUNT(Действия!$U$7:$U$106)&lt;2,"",IF(INDEX(Действия!$F$7:$F$106,MATCH(2,Действия!$U$7:$U$106,0))=0,"Нет данных",INDEX(Действия!$F$7:$F$106,MATCH(2,Действия!$U$7:$U$106,0))))</f>
        <v>46321.541666666664</v>
      </c>
      <c r="M15" s="28"/>
      <c r="N15" s="28"/>
      <c r="O15" s="27" t="str">
        <f>IF(COUNT(Действия!$U$7:$U$106)&lt;2,"",IF(INDEX(Действия!$P$7:$P$106,MATCH(2,Действия!$U$7:$U$106,0))=1,"Жёсткий срок",IF(INDEX(Действия!$Q$7:$Q$106,MATCH(2,Действия!$U$7:$U$106,0))=1,"Просрочка продаж",IF(INDEX(Действия!$O$7:$O$106,MATCH(2,Действия!$U$7:$U$106,0))&gt;0,"Просрочка ожидания",IF(INDEX(Действия!$I$7:$I$106,MATCH(2,Действия!$U$7:$U$106,0))="Да","Решение ИД","Сегодня")))))</f>
        <v>Жёсткий срок</v>
      </c>
      <c r="P15" s="27"/>
      <c r="Q15" s="27"/>
      <c r="R15" s="1"/>
    </row>
    <row r="16" spans="1:18" ht="37" customHeight="1">
      <c r="A16" s="1"/>
      <c r="B16" s="25" t="str">
        <f>IF(COUNT(Действия!$U$7:$U$106)&lt;3,"",IF(INDEX(Действия!$B$7:$B$106,MATCH(3,Действия!$U$7:$U$106,0))=0,"Нет данных",INDEX(Действия!$B$7:$B$106,MATCH(3,Действия!$U$7:$U$106,0))))</f>
        <v>С-109</v>
      </c>
      <c r="C16" s="25"/>
      <c r="D16" s="25" t="str">
        <f>IF(COUNT(Действия!$U$7:$U$106)&lt;3,"",IF(INDEX(Действия!$C$7:$C$106,MATCH(3,Действия!$U$7:$U$106,0))=0,"Нет данных",INDEX(Действия!$C$7:$C$106,MATCH(3,Действия!$U$7:$U$106,0))))</f>
        <v>Подтвердить обеспечение заявки</v>
      </c>
      <c r="E16" s="25"/>
      <c r="F16" s="25"/>
      <c r="G16" s="25"/>
      <c r="H16" s="25"/>
      <c r="I16" s="25" t="str">
        <f>IF(COUNT(Действия!$U$7:$U$106)&lt;3,"",IF(INDEX(Действия!$E$7:$E$106,MATCH(3,Действия!$U$7:$U$106,0))=0,"Нет данных",INDEX(Действия!$E$7:$E$106,MATCH(3,Действия!$U$7:$U$106,0))))</f>
        <v>Финансовый блок</v>
      </c>
      <c r="J16" s="25"/>
      <c r="K16" s="25"/>
      <c r="L16" s="26">
        <f>IF(COUNT(Действия!$U$7:$U$106)&lt;3,"",IF(INDEX(Действия!$F$7:$F$106,MATCH(3,Действия!$U$7:$U$106,0))=0,"Нет данных",INDEX(Действия!$F$7:$F$106,MATCH(3,Действия!$U$7:$U$106,0))))</f>
        <v>46321.666666666664</v>
      </c>
      <c r="M16" s="26"/>
      <c r="N16" s="26"/>
      <c r="O16" s="25" t="str">
        <f>IF(COUNT(Действия!$U$7:$U$106)&lt;3,"",IF(INDEX(Действия!$P$7:$P$106,MATCH(3,Действия!$U$7:$U$106,0))=1,"Жёсткий срок",IF(INDEX(Действия!$Q$7:$Q$106,MATCH(3,Действия!$U$7:$U$106,0))=1,"Просрочка продаж",IF(INDEX(Действия!$O$7:$O$106,MATCH(3,Действия!$U$7:$U$106,0))&gt;0,"Просрочка ожидания",IF(INDEX(Действия!$I$7:$I$106,MATCH(3,Действия!$U$7:$U$106,0))="Да","Решение ИД","Сегодня")))))</f>
        <v>Жёсткий срок</v>
      </c>
      <c r="P16" s="25"/>
      <c r="Q16" s="25"/>
      <c r="R16" s="1"/>
    </row>
    <row r="17" spans="1:18" ht="37" customHeight="1">
      <c r="A17" s="1"/>
      <c r="B17" s="27" t="str">
        <f>IF(COUNT(Действия!$U$7:$U$106)&lt;4,"",IF(INDEX(Действия!$B$7:$B$106,MATCH(4,Действия!$U$7:$U$106,0))=0,"Нет данных",INDEX(Действия!$B$7:$B$106,MATCH(4,Действия!$U$7:$U$106,0))))</f>
        <v>С-109</v>
      </c>
      <c r="C17" s="27"/>
      <c r="D17" s="27" t="str">
        <f>IF(COUNT(Действия!$U$7:$U$106)&lt;4,"",IF(INDEX(Действия!$C$7:$C$106,MATCH(4,Действия!$U$7:$U$106,0))=0,"Нет данных",INDEX(Действия!$C$7:$C$106,MATCH(4,Действия!$U$7:$U$106,0))))</f>
        <v>Подать тендерную заявку</v>
      </c>
      <c r="E17" s="27"/>
      <c r="F17" s="27"/>
      <c r="G17" s="27"/>
      <c r="H17" s="27"/>
      <c r="I17" s="27" t="str">
        <f>IF(COUNT(Действия!$U$7:$U$106)&lt;4,"",IF(INDEX(Действия!$E$7:$E$106,MATCH(4,Действия!$U$7:$U$106,0))=0,"Нет данных",INDEX(Действия!$E$7:$E$106,MATCH(4,Действия!$U$7:$U$106,0))))</f>
        <v>Тендерный специалист</v>
      </c>
      <c r="J17" s="27"/>
      <c r="K17" s="27"/>
      <c r="L17" s="28">
        <f>IF(COUNT(Действия!$U$7:$U$106)&lt;4,"",IF(INDEX(Действия!$F$7:$F$106,MATCH(4,Действия!$U$7:$U$106,0))=0,"Нет данных",INDEX(Действия!$F$7:$F$106,MATCH(4,Действия!$U$7:$U$106,0))))</f>
        <v>46322.5</v>
      </c>
      <c r="M17" s="28"/>
      <c r="N17" s="28"/>
      <c r="O17" s="27" t="str">
        <f>IF(COUNT(Действия!$U$7:$U$106)&lt;4,"",IF(INDEX(Действия!$P$7:$P$106,MATCH(4,Действия!$U$7:$U$106,0))=1,"Жёсткий срок",IF(INDEX(Действия!$Q$7:$Q$106,MATCH(4,Действия!$U$7:$U$106,0))=1,"Просрочка продаж",IF(INDEX(Действия!$O$7:$O$106,MATCH(4,Действия!$U$7:$U$106,0))&gt;0,"Просрочка ожидания",IF(INDEX(Действия!$I$7:$I$106,MATCH(4,Действия!$U$7:$U$106,0))="Да","Решение ИД","Сегодня")))))</f>
        <v>Жёсткий срок</v>
      </c>
      <c r="P17" s="27"/>
      <c r="Q17" s="27"/>
      <c r="R17" s="1"/>
    </row>
    <row r="18" spans="1:18" ht="37" customHeight="1">
      <c r="A18" s="1"/>
      <c r="B18" s="25" t="str">
        <f>IF(COUNT(Действия!$U$7:$U$106)&lt;5,"",IF(INDEX(Действия!$B$7:$B$106,MATCH(5,Действия!$U$7:$U$106,0))=0,"Нет данных",INDEX(Действия!$B$7:$B$106,MATCH(5,Действия!$U$7:$U$106,0))))</f>
        <v>С-102</v>
      </c>
      <c r="C18" s="25"/>
      <c r="D18" s="25" t="str">
        <f>IF(COUNT(Действия!$U$7:$U$106)&lt;5,"",IF(INDEX(Действия!$C$7:$C$106,MATCH(5,Действия!$U$7:$U$106,0))=0,"Нет данных",INDEX(Действия!$C$7:$C$106,MATCH(5,Действия!$U$7:$U$106,0))))</f>
        <v>Получить сопоставимое КП завода</v>
      </c>
      <c r="E18" s="25"/>
      <c r="F18" s="25"/>
      <c r="G18" s="25"/>
      <c r="H18" s="25"/>
      <c r="I18" s="25" t="str">
        <f>IF(COUNT(Действия!$U$7:$U$106)&lt;5,"",IF(INDEX(Действия!$E$7:$E$106,MATCH(5,Действия!$U$7:$U$106,0))=0,"Нет данных",INDEX(Действия!$E$7:$E$106,MATCH(5,Действия!$U$7:$U$106,0))))</f>
        <v>Снабженец</v>
      </c>
      <c r="J18" s="25"/>
      <c r="K18" s="25"/>
      <c r="L18" s="26">
        <f>IF(COUNT(Действия!$U$7:$U$106)&lt;5,"",IF(INDEX(Действия!$F$7:$F$106,MATCH(5,Действия!$U$7:$U$106,0))=0,"Нет данных",INDEX(Действия!$F$7:$F$106,MATCH(5,Действия!$U$7:$U$106,0))))</f>
        <v>46319.666666666664</v>
      </c>
      <c r="M18" s="26"/>
      <c r="N18" s="26"/>
      <c r="O18" s="25" t="str">
        <f>IF(COUNT(Действия!$U$7:$U$106)&lt;5,"",IF(INDEX(Действия!$P$7:$P$106,MATCH(5,Действия!$U$7:$U$106,0))=1,"Жёсткий срок",IF(INDEX(Действия!$Q$7:$Q$106,MATCH(5,Действия!$U$7:$U$106,0))=1,"Просрочка продаж",IF(INDEX(Действия!$O$7:$O$106,MATCH(5,Действия!$U$7:$U$106,0))&gt;0,"Просрочка ожидания",IF(INDEX(Действия!$I$7:$I$106,MATCH(5,Действия!$U$7:$U$106,0))="Да","Решение ИД","Сегодня")))))</f>
        <v>Просрочка ожидания</v>
      </c>
      <c r="P18" s="25"/>
      <c r="Q18" s="25"/>
      <c r="R18" s="1"/>
    </row>
    <row r="19" spans="1:18" ht="37" customHeight="1">
      <c r="A19" s="1"/>
      <c r="B19" s="27" t="str">
        <f>IF(COUNT(Действия!$U$7:$U$106)&lt;6,"",IF(INDEX(Действия!$B$7:$B$106,MATCH(6,Действия!$U$7:$U$106,0))=0,"Нет данных",INDEX(Действия!$B$7:$B$106,MATCH(6,Действия!$U$7:$U$106,0))))</f>
        <v>И-203</v>
      </c>
      <c r="C19" s="27"/>
      <c r="D19" s="27" t="str">
        <f>IF(COUNT(Действия!$U$7:$U$106)&lt;6,"",IF(INDEX(Действия!$C$7:$C$106,MATCH(6,Действия!$U$7:$U$106,0))=0,"Нет данных",INDEX(Действия!$C$7:$C$106,MATCH(6,Действия!$U$7:$U$106,0))))</f>
        <v>Согласовать дату погашения долга</v>
      </c>
      <c r="E19" s="27"/>
      <c r="F19" s="27"/>
      <c r="G19" s="27"/>
      <c r="H19" s="27"/>
      <c r="I19" s="27" t="str">
        <f>IF(COUNT(Действия!$U$7:$U$106)&lt;6,"",IF(INDEX(Действия!$E$7:$E$106,MATCH(6,Действия!$U$7:$U$106,0))=0,"Нет данных",INDEX(Действия!$E$7:$E$106,MATCH(6,Действия!$U$7:$U$106,0))))</f>
        <v>Тендерный специалист</v>
      </c>
      <c r="J19" s="27"/>
      <c r="K19" s="27"/>
      <c r="L19" s="28">
        <f>IF(COUNT(Действия!$U$7:$U$106)&lt;6,"",IF(INDEX(Действия!$F$7:$F$106,MATCH(6,Действия!$U$7:$U$106,0))=0,"Нет данных",INDEX(Действия!$F$7:$F$106,MATCH(6,Действия!$U$7:$U$106,0))))</f>
        <v>46320.583333333336</v>
      </c>
      <c r="M19" s="28"/>
      <c r="N19" s="28"/>
      <c r="O19" s="27" t="str">
        <f>IF(COUNT(Действия!$U$7:$U$106)&lt;6,"",IF(INDEX(Действия!$P$7:$P$106,MATCH(6,Действия!$U$7:$U$106,0))=1,"Жёсткий срок",IF(INDEX(Действия!$Q$7:$Q$106,MATCH(6,Действия!$U$7:$U$106,0))=1,"Просрочка продаж",IF(INDEX(Действия!$O$7:$O$106,MATCH(6,Действия!$U$7:$U$106,0))&gt;0,"Просрочка ожидания",IF(INDEX(Действия!$I$7:$I$106,MATCH(6,Действия!$U$7:$U$106,0))="Да","Решение ИД","Сегодня")))))</f>
        <v>Просрочка продаж</v>
      </c>
      <c r="P19" s="27"/>
      <c r="Q19" s="27"/>
      <c r="R19" s="1"/>
    </row>
    <row r="20" spans="1:18" ht="25" customHeight="1">
      <c r="A20" s="1"/>
      <c r="B20" s="16" t="s">
        <v>16</v>
      </c>
      <c r="C20" s="16" t="s">
        <v>16</v>
      </c>
      <c r="D20" s="16" t="s">
        <v>16</v>
      </c>
      <c r="E20" s="16" t="s">
        <v>16</v>
      </c>
      <c r="F20" s="16" t="s">
        <v>16</v>
      </c>
      <c r="G20" s="16" t="s">
        <v>16</v>
      </c>
      <c r="H20" s="16" t="s">
        <v>16</v>
      </c>
      <c r="I20" s="16" t="s">
        <v>16</v>
      </c>
      <c r="J20" s="16" t="s">
        <v>16</v>
      </c>
      <c r="K20" s="16" t="s">
        <v>16</v>
      </c>
      <c r="L20" s="16" t="s">
        <v>16</v>
      </c>
      <c r="M20" s="16" t="s">
        <v>16</v>
      </c>
      <c r="N20" s="16" t="s">
        <v>16</v>
      </c>
      <c r="O20" s="16" t="s">
        <v>16</v>
      </c>
      <c r="P20" s="16" t="s">
        <v>16</v>
      </c>
      <c r="Q20" s="16" t="s">
        <v>16</v>
      </c>
      <c r="R20" s="1"/>
    </row>
    <row r="21" spans="1:18" ht="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6" customHeight="1">
      <c r="A22" s="1"/>
      <c r="B22" s="23" t="s">
        <v>17</v>
      </c>
      <c r="C22" s="23" t="s">
        <v>17</v>
      </c>
      <c r="D22" s="23" t="s">
        <v>17</v>
      </c>
      <c r="E22" s="23" t="s">
        <v>17</v>
      </c>
      <c r="F22" s="23" t="s">
        <v>17</v>
      </c>
      <c r="G22" s="23" t="s">
        <v>17</v>
      </c>
      <c r="H22" s="23" t="s">
        <v>17</v>
      </c>
      <c r="I22" s="23" t="s">
        <v>17</v>
      </c>
      <c r="J22" s="1"/>
      <c r="K22" s="23" t="s">
        <v>18</v>
      </c>
      <c r="L22" s="23" t="s">
        <v>18</v>
      </c>
      <c r="M22" s="23" t="s">
        <v>18</v>
      </c>
      <c r="N22" s="23" t="s">
        <v>18</v>
      </c>
      <c r="O22" s="23" t="s">
        <v>18</v>
      </c>
      <c r="P22" s="23" t="s">
        <v>18</v>
      </c>
      <c r="Q22" s="23" t="s">
        <v>18</v>
      </c>
      <c r="R22" s="1"/>
    </row>
    <row r="23" spans="1:18" ht="32" customHeight="1">
      <c r="A23" s="1"/>
      <c r="B23" s="24" t="s">
        <v>19</v>
      </c>
      <c r="C23" s="24" t="s">
        <v>19</v>
      </c>
      <c r="D23" s="24" t="s">
        <v>19</v>
      </c>
      <c r="E23" s="24" t="s">
        <v>19</v>
      </c>
      <c r="F23" s="24" t="s">
        <v>19</v>
      </c>
      <c r="G23" s="3" t="s">
        <v>20</v>
      </c>
      <c r="H23" s="24" t="s">
        <v>21</v>
      </c>
      <c r="I23" s="24" t="s">
        <v>21</v>
      </c>
      <c r="J23" s="1"/>
      <c r="K23" s="1"/>
      <c r="L23" s="1"/>
      <c r="M23" s="1"/>
      <c r="N23" s="1"/>
      <c r="O23" s="1"/>
      <c r="P23" s="1"/>
      <c r="Q23" s="1"/>
      <c r="R23" s="1"/>
    </row>
    <row r="24" spans="1:18" ht="27" customHeight="1">
      <c r="A24" s="1"/>
      <c r="B24" s="17" t="s">
        <v>22</v>
      </c>
      <c r="C24" s="17" t="s">
        <v>22</v>
      </c>
      <c r="D24" s="17" t="s">
        <v>22</v>
      </c>
      <c r="E24" s="17" t="s">
        <v>22</v>
      </c>
      <c r="F24" s="17" t="s">
        <v>22</v>
      </c>
      <c r="G24" s="1">
        <f>COUNTIFS(Реестр!$X$7:$X$106,1,Реестр!$AB$7:$AB$106,B24)</f>
        <v>3</v>
      </c>
      <c r="H24" s="17">
        <f>COUNTIFS(Реестр!$X$7:$X$106,1,Реестр!$AB$7:$AB$106,B24,Реестр!$Y$7:$Y$106,1)</f>
        <v>1</v>
      </c>
      <c r="I24" s="17"/>
      <c r="J24" s="1"/>
      <c r="K24" s="17" t="s">
        <v>23</v>
      </c>
      <c r="L24" s="17" t="s">
        <v>23</v>
      </c>
      <c r="M24" s="17" t="s">
        <v>23</v>
      </c>
      <c r="N24" s="17" t="s">
        <v>23</v>
      </c>
      <c r="O24" s="17" t="s">
        <v>23</v>
      </c>
      <c r="P24" s="17">
        <f>COUNTIFS(Реестр!$X$7:$X$106,1,Реестр!$AB$7:$AB$106,"Расчёт / решение",Реестр!$I$7:$I$106,"Нет")+COUNTIFS(Реестр!$X$7:$X$106,1,Реестр!$AB$7:$AB$106,"Расчёт / решение",Реестр!$I$7:$I$106,"")</f>
        <v>0</v>
      </c>
      <c r="Q24" s="17"/>
      <c r="R24" s="1"/>
    </row>
    <row r="25" spans="1:18" ht="27" customHeight="1">
      <c r="A25" s="1"/>
      <c r="B25" s="20" t="s">
        <v>24</v>
      </c>
      <c r="C25" s="20" t="s">
        <v>24</v>
      </c>
      <c r="D25" s="20" t="s">
        <v>24</v>
      </c>
      <c r="E25" s="20" t="s">
        <v>24</v>
      </c>
      <c r="F25" s="20" t="s">
        <v>24</v>
      </c>
      <c r="G25" s="4">
        <f>COUNTIFS(Реестр!$X$7:$X$106,1,Реестр!$AB$7:$AB$106,B25)</f>
        <v>1</v>
      </c>
      <c r="H25" s="20">
        <f>COUNTIFS(Реестр!$X$7:$X$106,1,Реестр!$AB$7:$AB$106,B25,Реестр!$Y$7:$Y$106,1)</f>
        <v>1</v>
      </c>
      <c r="I25" s="20"/>
      <c r="J25" s="1"/>
      <c r="K25" s="17" t="s">
        <v>25</v>
      </c>
      <c r="L25" s="17" t="s">
        <v>25</v>
      </c>
      <c r="M25" s="17" t="s">
        <v>25</v>
      </c>
      <c r="N25" s="17" t="s">
        <v>25</v>
      </c>
      <c r="O25" s="17" t="s">
        <v>25</v>
      </c>
      <c r="P25" s="17">
        <f>COUNTIFS(Реестр!$X$7:$X$106,1,Реестр!$AB$7:$AB$106,"Расчёт / решение",Реестр!$J$7:$J$106,"Нет")+COUNTIFS(Реестр!$X$7:$X$106,1,Реестр!$AB$7:$AB$106,"Расчёт / решение",Реестр!$J$7:$J$106,"")</f>
        <v>1</v>
      </c>
      <c r="Q25" s="17"/>
      <c r="R25" s="1"/>
    </row>
    <row r="26" spans="1:18" ht="27" customHeight="1">
      <c r="A26" s="1"/>
      <c r="B26" s="17" t="s">
        <v>26</v>
      </c>
      <c r="C26" s="17" t="s">
        <v>26</v>
      </c>
      <c r="D26" s="17" t="s">
        <v>26</v>
      </c>
      <c r="E26" s="17" t="s">
        <v>26</v>
      </c>
      <c r="F26" s="17" t="s">
        <v>26</v>
      </c>
      <c r="G26" s="1">
        <f>COUNTIFS(Реестр!$X$7:$X$106,1,Реестр!$AB$7:$AB$106,B26)</f>
        <v>2</v>
      </c>
      <c r="H26" s="17">
        <f>COUNTIFS(Реестр!$X$7:$X$106,1,Реестр!$AB$7:$AB$106,B26,Реестр!$Y$7:$Y$106,1)</f>
        <v>1</v>
      </c>
      <c r="I26" s="17"/>
      <c r="J26" s="1"/>
      <c r="K26" s="17" t="s">
        <v>27</v>
      </c>
      <c r="L26" s="17" t="s">
        <v>27</v>
      </c>
      <c r="M26" s="17" t="s">
        <v>27</v>
      </c>
      <c r="N26" s="17" t="s">
        <v>27</v>
      </c>
      <c r="O26" s="17" t="s">
        <v>27</v>
      </c>
      <c r="P26" s="17">
        <f>COUNTIFS(Реестр!$X$7:$X$106,1,Реестр!$AB$7:$AB$106,"Расчёт / решение",Реестр!$K$7:$K$106,"Нет")+COUNTIFS(Реестр!$X$7:$X$106,1,Реестр!$AB$7:$AB$106,"Расчёт / решение",Реестр!$K$7:$K$106,"")</f>
        <v>1</v>
      </c>
      <c r="Q26" s="17"/>
      <c r="R26" s="1"/>
    </row>
    <row r="27" spans="1:18" ht="27" customHeight="1">
      <c r="A27" s="1"/>
      <c r="B27" s="20" t="s">
        <v>28</v>
      </c>
      <c r="C27" s="20" t="s">
        <v>28</v>
      </c>
      <c r="D27" s="20" t="s">
        <v>28</v>
      </c>
      <c r="E27" s="20" t="s">
        <v>28</v>
      </c>
      <c r="F27" s="20" t="s">
        <v>28</v>
      </c>
      <c r="G27" s="4">
        <f>COUNTIFS(Реестр!$X$7:$X$106,1,Реестр!$AB$7:$AB$106,B27)</f>
        <v>3</v>
      </c>
      <c r="H27" s="20">
        <f>COUNTIFS(Реестр!$X$7:$X$106,1,Реестр!$AB$7:$AB$106,B27,Реестр!$Y$7:$Y$106,1)</f>
        <v>1</v>
      </c>
      <c r="I27" s="20"/>
      <c r="J27" s="1"/>
      <c r="K27" s="17" t="s">
        <v>29</v>
      </c>
      <c r="L27" s="17" t="s">
        <v>29</v>
      </c>
      <c r="M27" s="17" t="s">
        <v>29</v>
      </c>
      <c r="N27" s="17" t="s">
        <v>29</v>
      </c>
      <c r="O27" s="17" t="s">
        <v>29</v>
      </c>
      <c r="P27" s="17">
        <f>COUNTIFS(Реестр!$X$7:$X$106,1,Реестр!$AB$7:$AB$106,"Расчёт / решение",Реестр!$L$7:$L$106,"Нет")+COUNTIFS(Реестр!$X$7:$X$106,1,Реестр!$AB$7:$AB$106,"Расчёт / решение",Реестр!$L$7:$L$106,"")</f>
        <v>0</v>
      </c>
      <c r="Q27" s="17"/>
      <c r="R27" s="1"/>
    </row>
    <row r="28" spans="1:18" ht="27" customHeight="1">
      <c r="A28" s="1"/>
      <c r="B28" s="17" t="s">
        <v>30</v>
      </c>
      <c r="C28" s="17" t="s">
        <v>30</v>
      </c>
      <c r="D28" s="17" t="s">
        <v>30</v>
      </c>
      <c r="E28" s="17" t="s">
        <v>30</v>
      </c>
      <c r="F28" s="17" t="s">
        <v>30</v>
      </c>
      <c r="G28" s="1">
        <f>COUNTIFS(Реестр!$X$7:$X$106,1,Реестр!$AB$7:$AB$106,B28)</f>
        <v>2</v>
      </c>
      <c r="H28" s="17">
        <f>COUNTIFS(Реестр!$X$7:$X$106,1,Реестр!$AB$7:$AB$106,B28,Реестр!$Y$7:$Y$106,1)</f>
        <v>0</v>
      </c>
      <c r="I28" s="17"/>
      <c r="J28" s="1"/>
      <c r="K28" s="17" t="s">
        <v>31</v>
      </c>
      <c r="L28" s="17" t="s">
        <v>31</v>
      </c>
      <c r="M28" s="17" t="s">
        <v>31</v>
      </c>
      <c r="N28" s="17" t="s">
        <v>31</v>
      </c>
      <c r="O28" s="17" t="s">
        <v>31</v>
      </c>
      <c r="P28" s="17">
        <f>COUNTIFS(Реестр!$X$7:$X$106,1,Реестр!$AB$7:$AB$106,"Расчёт / решение",Реестр!$M$7:$M$106,"Нет")+COUNTIFS(Реестр!$X$7:$X$106,1,Реестр!$AB$7:$AB$106,"Расчёт / решение",Реестр!$M$7:$M$106,"")</f>
        <v>2</v>
      </c>
      <c r="Q28" s="17"/>
      <c r="R28" s="1"/>
    </row>
    <row r="29" spans="1:18" ht="27" customHeight="1">
      <c r="A29" s="1"/>
      <c r="B29" s="20" t="s">
        <v>32</v>
      </c>
      <c r="C29" s="20" t="s">
        <v>32</v>
      </c>
      <c r="D29" s="20" t="s">
        <v>32</v>
      </c>
      <c r="E29" s="20" t="s">
        <v>32</v>
      </c>
      <c r="F29" s="20" t="s">
        <v>32</v>
      </c>
      <c r="G29" s="4">
        <f>COUNTIFS(Реестр!$X$7:$X$106,1,Реестр!$AB$7:$AB$106,B29)</f>
        <v>1</v>
      </c>
      <c r="H29" s="20">
        <f>COUNTIFS(Реестр!$X$7:$X$106,1,Реестр!$AB$7:$AB$106,B29,Реестр!$Y$7:$Y$106,1)</f>
        <v>1</v>
      </c>
      <c r="I29" s="20"/>
      <c r="J29" s="1"/>
      <c r="K29" s="1"/>
      <c r="L29" s="1"/>
      <c r="M29" s="1"/>
      <c r="N29" s="1"/>
      <c r="O29" s="1"/>
      <c r="P29" s="1"/>
      <c r="Q29" s="1"/>
      <c r="R29" s="1"/>
    </row>
    <row r="30" spans="1:18" ht="27" customHeight="1">
      <c r="A30" s="1"/>
      <c r="B30" s="17" t="s">
        <v>33</v>
      </c>
      <c r="C30" s="17" t="s">
        <v>33</v>
      </c>
      <c r="D30" s="17" t="s">
        <v>33</v>
      </c>
      <c r="E30" s="17" t="s">
        <v>33</v>
      </c>
      <c r="F30" s="17" t="s">
        <v>33</v>
      </c>
      <c r="G30" s="1">
        <f>COUNTIFS(Реестр!$X$7:$X$106,1,Реестр!$AB$7:$AB$106,B30)</f>
        <v>2</v>
      </c>
      <c r="H30" s="17">
        <f>COUNTIFS(Реестр!$X$7:$X$106,1,Реестр!$AB$7:$AB$106,B30,Реестр!$Y$7:$Y$106,1)</f>
        <v>0</v>
      </c>
      <c r="I30" s="17"/>
      <c r="J30" s="1"/>
      <c r="K30" s="29" t="s">
        <v>34</v>
      </c>
      <c r="L30" s="29" t="s">
        <v>34</v>
      </c>
      <c r="M30" s="29" t="s">
        <v>34</v>
      </c>
      <c r="N30" s="29" t="s">
        <v>34</v>
      </c>
      <c r="O30" s="29" t="s">
        <v>34</v>
      </c>
      <c r="P30" s="29" t="s">
        <v>34</v>
      </c>
      <c r="Q30" s="29" t="s">
        <v>34</v>
      </c>
      <c r="R30" s="1"/>
    </row>
    <row r="31" spans="1:18" ht="27" customHeight="1">
      <c r="A31" s="1"/>
      <c r="B31" s="20" t="s">
        <v>35</v>
      </c>
      <c r="C31" s="20" t="s">
        <v>35</v>
      </c>
      <c r="D31" s="20" t="s">
        <v>35</v>
      </c>
      <c r="E31" s="20" t="s">
        <v>35</v>
      </c>
      <c r="F31" s="20" t="s">
        <v>35</v>
      </c>
      <c r="G31" s="4">
        <f>COUNTIFS(Реестр!$X$7:$X$106,1,Реестр!$AB$7:$AB$106,B31)</f>
        <v>1</v>
      </c>
      <c r="H31" s="20">
        <f>COUNTIFS(Реестр!$X$7:$X$106,1,Реестр!$AB$7:$AB$106,B31,Реестр!$Y$7:$Y$106,1)</f>
        <v>0</v>
      </c>
      <c r="I31" s="20"/>
      <c r="J31" s="1"/>
      <c r="K31" s="29" t="s">
        <v>34</v>
      </c>
      <c r="L31" s="29" t="s">
        <v>34</v>
      </c>
      <c r="M31" s="29" t="s">
        <v>34</v>
      </c>
      <c r="N31" s="29" t="s">
        <v>34</v>
      </c>
      <c r="O31" s="29" t="s">
        <v>34</v>
      </c>
      <c r="P31" s="29" t="s">
        <v>34</v>
      </c>
      <c r="Q31" s="29" t="s">
        <v>34</v>
      </c>
      <c r="R31" s="1"/>
    </row>
    <row r="32" spans="1:18" ht="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26" customHeight="1">
      <c r="A33" s="1"/>
      <c r="B33" s="23" t="s">
        <v>36</v>
      </c>
      <c r="C33" s="23" t="s">
        <v>36</v>
      </c>
      <c r="D33" s="23" t="s">
        <v>36</v>
      </c>
      <c r="E33" s="23" t="s">
        <v>36</v>
      </c>
      <c r="F33" s="23" t="s">
        <v>36</v>
      </c>
      <c r="G33" s="23" t="s">
        <v>36</v>
      </c>
      <c r="H33" s="23" t="s">
        <v>36</v>
      </c>
      <c r="I33" s="23" t="s">
        <v>36</v>
      </c>
      <c r="J33" s="23" t="s">
        <v>36</v>
      </c>
      <c r="K33" s="23" t="s">
        <v>36</v>
      </c>
      <c r="L33" s="23" t="s">
        <v>36</v>
      </c>
      <c r="M33" s="23" t="s">
        <v>36</v>
      </c>
      <c r="N33" s="23" t="s">
        <v>36</v>
      </c>
      <c r="O33" s="23" t="s">
        <v>36</v>
      </c>
      <c r="P33" s="23" t="s">
        <v>36</v>
      </c>
      <c r="Q33" s="23" t="s">
        <v>36</v>
      </c>
      <c r="R33" s="1"/>
    </row>
    <row r="34" spans="1:18" ht="38" customHeight="1">
      <c r="A34" s="1"/>
      <c r="B34" s="24" t="s">
        <v>3</v>
      </c>
      <c r="C34" s="24" t="s">
        <v>3</v>
      </c>
      <c r="D34" s="24" t="s">
        <v>3</v>
      </c>
      <c r="E34" s="24" t="s">
        <v>3</v>
      </c>
      <c r="F34" s="24" t="s">
        <v>3</v>
      </c>
      <c r="G34" s="24" t="s">
        <v>22</v>
      </c>
      <c r="H34" s="24" t="s">
        <v>22</v>
      </c>
      <c r="I34" s="24" t="s">
        <v>37</v>
      </c>
      <c r="J34" s="24" t="s">
        <v>37</v>
      </c>
      <c r="K34" s="24" t="s">
        <v>38</v>
      </c>
      <c r="L34" s="24" t="s">
        <v>38</v>
      </c>
      <c r="M34" s="24" t="s">
        <v>39</v>
      </c>
      <c r="N34" s="24" t="s">
        <v>39</v>
      </c>
      <c r="O34" s="24" t="s">
        <v>40</v>
      </c>
      <c r="P34" s="24" t="s">
        <v>40</v>
      </c>
      <c r="Q34" s="24" t="s">
        <v>40</v>
      </c>
      <c r="R34" s="1"/>
    </row>
    <row r="35" spans="1:18" ht="28" customHeight="1">
      <c r="A35" s="1"/>
      <c r="B35" s="17" t="str">
        <f>Реестр!A138</f>
        <v>Менеджер 1</v>
      </c>
      <c r="C35" s="17"/>
      <c r="D35" s="17"/>
      <c r="E35" s="17"/>
      <c r="F35" s="17"/>
      <c r="G35" s="17">
        <f>COUNTIFS(Реестр!$X$7:$X$106,1,Реестр!$D$7:$D$106,B35,Реестр!$B$7:$B$106,"Лид")</f>
        <v>2</v>
      </c>
      <c r="H35" s="17"/>
      <c r="I35" s="17">
        <f>COUNTIFS(Реестр!$X$7:$X$106,1,Реестр!$D$7:$D$106,B35,Реестр!$B$7:$B$106,"Сделка")</f>
        <v>3</v>
      </c>
      <c r="J35" s="17"/>
      <c r="K35" s="17">
        <f>COUNTIFS(Реестр!$X$7:$X$106,1,Реестр!$D$7:$D$106,B35,Реестр!$B$7:$B$106,"Исполнение")</f>
        <v>1</v>
      </c>
      <c r="L35" s="17"/>
      <c r="M35" s="17">
        <f>COUNTIFS(Действия!$S$7:$S$106,1,Действия!$L$7:$L$106,B35,Действия!$Q$7:$Q$106,1)</f>
        <v>0</v>
      </c>
      <c r="N35" s="17"/>
      <c r="O35" s="17">
        <f>COUNTIFS(Действия!$S$7:$S$106,1,Действия!$L$7:$L$106,B35,Действия!$R$7:$R$106,1)</f>
        <v>2</v>
      </c>
      <c r="P35" s="17"/>
      <c r="Q35" s="17"/>
      <c r="R35" s="1"/>
    </row>
    <row r="36" spans="1:18" ht="28" customHeight="1">
      <c r="A36" s="1"/>
      <c r="B36" s="17" t="str">
        <f>Реестр!A139</f>
        <v>Менеджер 2</v>
      </c>
      <c r="C36" s="17"/>
      <c r="D36" s="17"/>
      <c r="E36" s="17"/>
      <c r="F36" s="17"/>
      <c r="G36" s="17">
        <f>COUNTIFS(Реестр!$X$7:$X$106,1,Реестр!$D$7:$D$106,B36,Реестр!$B$7:$B$106,"Лид")</f>
        <v>1</v>
      </c>
      <c r="H36" s="17"/>
      <c r="I36" s="17">
        <f>COUNTIFS(Реестр!$X$7:$X$106,1,Реестр!$D$7:$D$106,B36,Реестр!$B$7:$B$106,"Сделка")</f>
        <v>3</v>
      </c>
      <c r="J36" s="17"/>
      <c r="K36" s="17">
        <f>COUNTIFS(Реестр!$X$7:$X$106,1,Реестр!$D$7:$D$106,B36,Реестр!$B$7:$B$106,"Исполнение")</f>
        <v>1</v>
      </c>
      <c r="L36" s="17"/>
      <c r="M36" s="17">
        <f>COUNTIFS(Действия!$S$7:$S$106,1,Действия!$L$7:$L$106,B36,Действия!$Q$7:$Q$106,1)</f>
        <v>1</v>
      </c>
      <c r="N36" s="17"/>
      <c r="O36" s="17">
        <f>COUNTIFS(Действия!$S$7:$S$106,1,Действия!$L$7:$L$106,B36,Действия!$R$7:$R$106,1)</f>
        <v>2</v>
      </c>
      <c r="P36" s="17"/>
      <c r="Q36" s="17"/>
      <c r="R36" s="1"/>
    </row>
    <row r="37" spans="1:18" ht="28" customHeight="1">
      <c r="A37" s="1"/>
      <c r="B37" s="17" t="str">
        <f>Реестр!A140</f>
        <v>Тендерный специалист</v>
      </c>
      <c r="C37" s="17"/>
      <c r="D37" s="17"/>
      <c r="E37" s="17"/>
      <c r="F37" s="17"/>
      <c r="G37" s="17">
        <f>COUNTIFS(Реестр!$X$7:$X$106,1,Реестр!$D$7:$D$106,B37,Реестр!$B$7:$B$106,"Лид")</f>
        <v>0</v>
      </c>
      <c r="H37" s="17"/>
      <c r="I37" s="17">
        <f>COUNTIFS(Реестр!$X$7:$X$106,1,Реестр!$D$7:$D$106,B37,Реестр!$B$7:$B$106,"Сделка")</f>
        <v>3</v>
      </c>
      <c r="J37" s="17"/>
      <c r="K37" s="17">
        <f>COUNTIFS(Реестр!$X$7:$X$106,1,Реестр!$D$7:$D$106,B37,Реестр!$B$7:$B$106,"Исполнение")</f>
        <v>1</v>
      </c>
      <c r="L37" s="17"/>
      <c r="M37" s="17">
        <f>COUNTIFS(Действия!$S$7:$S$106,1,Действия!$L$7:$L$106,B37,Действия!$Q$7:$Q$106,1)</f>
        <v>1</v>
      </c>
      <c r="N37" s="17"/>
      <c r="O37" s="17">
        <f>COUNTIFS(Действия!$S$7:$S$106,1,Действия!$L$7:$L$106,B37,Действия!$R$7:$R$106,1)</f>
        <v>3</v>
      </c>
      <c r="P37" s="17"/>
      <c r="Q37" s="17"/>
      <c r="R37" s="1"/>
    </row>
    <row r="38" spans="1:18" ht="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26" customHeight="1">
      <c r="A39" s="1"/>
      <c r="B39" s="23" t="s">
        <v>41</v>
      </c>
      <c r="C39" s="23" t="s">
        <v>41</v>
      </c>
      <c r="D39" s="23" t="s">
        <v>41</v>
      </c>
      <c r="E39" s="23" t="s">
        <v>41</v>
      </c>
      <c r="F39" s="23" t="s">
        <v>41</v>
      </c>
      <c r="G39" s="23" t="s">
        <v>41</v>
      </c>
      <c r="H39" s="23" t="s">
        <v>41</v>
      </c>
      <c r="I39" s="23" t="s">
        <v>41</v>
      </c>
      <c r="J39" s="23" t="s">
        <v>41</v>
      </c>
      <c r="K39" s="23" t="s">
        <v>41</v>
      </c>
      <c r="L39" s="23" t="s">
        <v>41</v>
      </c>
      <c r="M39" s="23" t="s">
        <v>41</v>
      </c>
      <c r="N39" s="23" t="s">
        <v>41</v>
      </c>
      <c r="O39" s="23" t="s">
        <v>41</v>
      </c>
      <c r="P39" s="23" t="s">
        <v>41</v>
      </c>
      <c r="Q39" s="23" t="s">
        <v>41</v>
      </c>
      <c r="R39" s="1"/>
    </row>
    <row r="40" spans="1:18" ht="25" customHeight="1">
      <c r="A40" s="1"/>
      <c r="B40" s="16" t="str">
        <f>"Открытых вопросов: "&amp;COUNTIFS(Действия!$S$7:$S$106,1,Действия!$I$7:$I$106,"Да")&amp;". Все вопросы — фильтр «Нужно решение ИД = Да» на листе «Действия»."</f>
        <v>Открытых вопросов: 4. Все вопросы — фильтр «Нужно решение ИД = Да» на листе «Действия».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"/>
    </row>
    <row r="41" spans="1:18" ht="33" customHeight="1">
      <c r="A41" s="1"/>
      <c r="B41" s="25" t="str">
        <f>IF(COUNT(Действия!$X$7:$X$106)&lt;1,"",INDEX(Действия!$B$7:$B$106,MATCH(1,Действия!$X$7:$X$106,0)))</f>
        <v>С-102</v>
      </c>
      <c r="C41" s="25"/>
      <c r="D41" s="25" t="str">
        <f>IF(COUNT(Действия!$X$7:$X$106)&lt;1,"",IF(INDEX(Действия!$J$7:$J$106,MATCH(1,Действия!$X$7:$X$106,0))=0,"Сформулировать вопрос для ИД",INDEX(Действия!$J$7:$J$106,MATCH(1,Действия!$X$7:$X$106,0))))</f>
        <v>Определить замену поставщика или согласовать перенос расчёта</v>
      </c>
      <c r="E41" s="25"/>
      <c r="F41" s="25"/>
      <c r="G41" s="25"/>
      <c r="H41" s="25"/>
      <c r="I41" s="25"/>
      <c r="J41" s="25"/>
      <c r="K41" s="25"/>
      <c r="L41" s="25"/>
      <c r="M41" s="25"/>
      <c r="N41" s="26">
        <f>IF(COUNT(Действия!$X$7:$X$106)&lt;1,"",INDEX(Действия!$F$7:$F$106,MATCH(1,Действия!$X$7:$X$106,0)))</f>
        <v>46319.666666666664</v>
      </c>
      <c r="O41" s="26"/>
      <c r="P41" s="26"/>
      <c r="Q41" s="26"/>
      <c r="R41" s="1"/>
    </row>
    <row r="42" spans="1:18" ht="33" customHeight="1">
      <c r="A42" s="1"/>
      <c r="B42" s="25" t="str">
        <f>IF(COUNT(Действия!$X$7:$X$106)&lt;2,"",INDEX(Действия!$B$7:$B$106,MATCH(2,Действия!$X$7:$X$106,0)))</f>
        <v>С-108</v>
      </c>
      <c r="C42" s="25"/>
      <c r="D42" s="25" t="str">
        <f>IF(COUNT(Действия!$X$7:$X$106)&lt;2,"",IF(INDEX(Действия!$J$7:$J$106,MATCH(2,Действия!$X$7:$X$106,0))=0,"Сформулировать вопрос для ИД",INDEX(Действия!$J$7:$J$106,MATCH(2,Действия!$X$7:$X$106,0))))</f>
        <v>Решить вопрос по ответственности и срокам договора</v>
      </c>
      <c r="E42" s="25"/>
      <c r="F42" s="25"/>
      <c r="G42" s="25"/>
      <c r="H42" s="25"/>
      <c r="I42" s="25"/>
      <c r="J42" s="25"/>
      <c r="K42" s="25"/>
      <c r="L42" s="25"/>
      <c r="M42" s="25"/>
      <c r="N42" s="26">
        <f>IF(COUNT(Действия!$X$7:$X$106)&lt;2,"",INDEX(Действия!$F$7:$F$106,MATCH(2,Действия!$X$7:$X$106,0)))</f>
        <v>46320.625</v>
      </c>
      <c r="O42" s="26"/>
      <c r="P42" s="26"/>
      <c r="Q42" s="26"/>
      <c r="R42" s="1"/>
    </row>
    <row r="43" spans="1:18" ht="33" customHeight="1">
      <c r="A43" s="1"/>
      <c r="B43" s="25" t="str">
        <f>IF(COUNT(Действия!$X$7:$X$106)&lt;3,"",INDEX(Действия!$B$7:$B$106,MATCH(3,Действия!$X$7:$X$106,0)))</f>
        <v>И-202</v>
      </c>
      <c r="C43" s="25"/>
      <c r="D43" s="25" t="str">
        <f>IF(COUNT(Действия!$X$7:$X$106)&lt;3,"",IF(INDEX(Действия!$J$7:$J$106,MATCH(3,Действия!$X$7:$X$106,0))=0,"Сформулировать вопрос для ИД",INDEX(Действия!$J$7:$J$106,MATCH(3,Действия!$X$7:$X$106,0))))</f>
        <v>Определить допустимое решение по переносу поставки</v>
      </c>
      <c r="E43" s="25"/>
      <c r="F43" s="25"/>
      <c r="G43" s="25"/>
      <c r="H43" s="25"/>
      <c r="I43" s="25"/>
      <c r="J43" s="25"/>
      <c r="K43" s="25"/>
      <c r="L43" s="25"/>
      <c r="M43" s="25"/>
      <c r="N43" s="26">
        <f>IF(COUNT(Действия!$X$7:$X$106)&lt;3,"",INDEX(Действия!$F$7:$F$106,MATCH(3,Действия!$X$7:$X$106,0)))</f>
        <v>46321.541666666664</v>
      </c>
      <c r="O43" s="26"/>
      <c r="P43" s="26"/>
      <c r="Q43" s="26"/>
      <c r="R43" s="1"/>
    </row>
    <row r="44" spans="1:18" ht="33" customHeight="1">
      <c r="A44" s="1"/>
      <c r="B44" s="25" t="str">
        <f>IF(COUNT(Действия!$X$7:$X$106)&lt;4,"",INDEX(Действия!$B$7:$B$106,MATCH(4,Действия!$X$7:$X$106,0)))</f>
        <v>С-103</v>
      </c>
      <c r="C44" s="25"/>
      <c r="D44" s="25" t="str">
        <f>IF(COUNT(Действия!$X$7:$X$106)&lt;4,"",IF(INDEX(Действия!$J$7:$J$106,MATCH(4,Действия!$X$7:$X$106,0))=0,"Сформулировать вопрос для ИД",INDEX(Действия!$J$7:$J$106,MATCH(4,Действия!$X$7:$X$106,0))))</f>
        <v>Утвердить цену с учётом доставки и обеспечения</v>
      </c>
      <c r="E44" s="25"/>
      <c r="F44" s="25"/>
      <c r="G44" s="25"/>
      <c r="H44" s="25"/>
      <c r="I44" s="25"/>
      <c r="J44" s="25"/>
      <c r="K44" s="25"/>
      <c r="L44" s="25"/>
      <c r="M44" s="25"/>
      <c r="N44" s="26">
        <f>IF(COUNT(Действия!$X$7:$X$106)&lt;4,"",INDEX(Действия!$F$7:$F$106,MATCH(4,Действия!$X$7:$X$106,0)))</f>
        <v>46321.583333333336</v>
      </c>
      <c r="O44" s="26"/>
      <c r="P44" s="26"/>
      <c r="Q44" s="26"/>
      <c r="R44" s="1"/>
    </row>
    <row r="45" spans="1:18" ht="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5" customHeight="1">
      <c r="A46" s="1"/>
      <c r="B46" s="16" t="s">
        <v>42</v>
      </c>
      <c r="C46" s="16" t="s">
        <v>42</v>
      </c>
      <c r="D46" s="16" t="s">
        <v>42</v>
      </c>
      <c r="E46" s="16" t="s">
        <v>42</v>
      </c>
      <c r="F46" s="16" t="s">
        <v>42</v>
      </c>
      <c r="G46" s="16" t="s">
        <v>42</v>
      </c>
      <c r="H46" s="16" t="s">
        <v>42</v>
      </c>
      <c r="I46" s="16" t="s">
        <v>42</v>
      </c>
      <c r="J46" s="16" t="s">
        <v>42</v>
      </c>
      <c r="K46" s="16" t="s">
        <v>42</v>
      </c>
      <c r="L46" s="16" t="s">
        <v>42</v>
      </c>
      <c r="M46" s="16" t="s">
        <v>42</v>
      </c>
      <c r="N46" s="16" t="s">
        <v>42</v>
      </c>
      <c r="O46" s="16" t="s">
        <v>42</v>
      </c>
      <c r="P46" s="16" t="s">
        <v>42</v>
      </c>
      <c r="Q46" s="16" t="s">
        <v>42</v>
      </c>
      <c r="R46" s="1"/>
    </row>
    <row r="47" spans="1:18" ht="25" customHeight="1">
      <c r="A47" s="1"/>
      <c r="B47" s="16" t="s">
        <v>43</v>
      </c>
      <c r="C47" s="16" t="s">
        <v>43</v>
      </c>
      <c r="D47" s="16" t="s">
        <v>43</v>
      </c>
      <c r="E47" s="16" t="s">
        <v>43</v>
      </c>
      <c r="F47" s="16" t="s">
        <v>43</v>
      </c>
      <c r="G47" s="16" t="s">
        <v>43</v>
      </c>
      <c r="H47" s="16" t="s">
        <v>43</v>
      </c>
      <c r="I47" s="16" t="s">
        <v>43</v>
      </c>
      <c r="J47" s="16" t="s">
        <v>43</v>
      </c>
      <c r="K47" s="16" t="s">
        <v>43</v>
      </c>
      <c r="L47" s="16" t="s">
        <v>43</v>
      </c>
      <c r="M47" s="16" t="s">
        <v>43</v>
      </c>
      <c r="N47" s="16" t="s">
        <v>43</v>
      </c>
      <c r="O47" s="16" t="s">
        <v>43</v>
      </c>
      <c r="P47" s="16" t="s">
        <v>43</v>
      </c>
      <c r="Q47" s="16" t="s">
        <v>43</v>
      </c>
      <c r="R47" s="1"/>
    </row>
    <row r="48" spans="1:18" ht="25" customHeight="1">
      <c r="A48" s="1"/>
      <c r="B48" s="16" t="str">
        <f>"Контроль данных: действий без связи с объектом — "&amp;COUNTIF(Действия!$L$7:$L$106,"Нет связи")&amp;"; выбранных действий без срока — "&amp;COUNTIFS(Действия!$S$7:$S$106,1,Действия!$O$7:$O$106,"Нет срока")</f>
        <v>Контроль данных: действий без связи с объектом — 0; выбранных действий без срока — 0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"/>
    </row>
  </sheetData>
  <mergeCells count="127">
    <mergeCell ref="B44:C44"/>
    <mergeCell ref="D44:M44"/>
    <mergeCell ref="N44:Q44"/>
    <mergeCell ref="B46:Q46"/>
    <mergeCell ref="B47:Q47"/>
    <mergeCell ref="B42:C42"/>
    <mergeCell ref="D42:M42"/>
    <mergeCell ref="N42:Q42"/>
    <mergeCell ref="B43:C43"/>
    <mergeCell ref="D43:M43"/>
    <mergeCell ref="N43:Q43"/>
    <mergeCell ref="B39:Q39"/>
    <mergeCell ref="B40:Q40"/>
    <mergeCell ref="B41:C41"/>
    <mergeCell ref="D41:M41"/>
    <mergeCell ref="N41:Q41"/>
    <mergeCell ref="O36:Q36"/>
    <mergeCell ref="B37:F37"/>
    <mergeCell ref="G37:H37"/>
    <mergeCell ref="I37:J37"/>
    <mergeCell ref="K37:L37"/>
    <mergeCell ref="M37:N37"/>
    <mergeCell ref="O37:Q37"/>
    <mergeCell ref="B36:F36"/>
    <mergeCell ref="G36:H36"/>
    <mergeCell ref="I36:J36"/>
    <mergeCell ref="K36:L36"/>
    <mergeCell ref="M36:N36"/>
    <mergeCell ref="O34:Q34"/>
    <mergeCell ref="B35:F35"/>
    <mergeCell ref="G35:H35"/>
    <mergeCell ref="I35:J35"/>
    <mergeCell ref="K35:L35"/>
    <mergeCell ref="M35:N35"/>
    <mergeCell ref="O35:Q35"/>
    <mergeCell ref="B34:F34"/>
    <mergeCell ref="G34:H34"/>
    <mergeCell ref="I34:J34"/>
    <mergeCell ref="K34:L34"/>
    <mergeCell ref="M34:N34"/>
    <mergeCell ref="P27:Q27"/>
    <mergeCell ref="K28:O28"/>
    <mergeCell ref="P28:Q28"/>
    <mergeCell ref="K30:Q31"/>
    <mergeCell ref="B33:Q33"/>
    <mergeCell ref="P24:Q24"/>
    <mergeCell ref="K25:O25"/>
    <mergeCell ref="P25:Q25"/>
    <mergeCell ref="K26:O26"/>
    <mergeCell ref="P26:Q26"/>
    <mergeCell ref="B30:F30"/>
    <mergeCell ref="H30:I30"/>
    <mergeCell ref="B31:F31"/>
    <mergeCell ref="H31:I31"/>
    <mergeCell ref="K24:O24"/>
    <mergeCell ref="K27:O27"/>
    <mergeCell ref="B27:F27"/>
    <mergeCell ref="H27:I27"/>
    <mergeCell ref="B28:F28"/>
    <mergeCell ref="H28:I28"/>
    <mergeCell ref="B29:F29"/>
    <mergeCell ref="H29:I29"/>
    <mergeCell ref="B24:F24"/>
    <mergeCell ref="H24:I24"/>
    <mergeCell ref="B25:F25"/>
    <mergeCell ref="H25:I25"/>
    <mergeCell ref="B26:F26"/>
    <mergeCell ref="H26:I26"/>
    <mergeCell ref="B20:Q20"/>
    <mergeCell ref="B22:I22"/>
    <mergeCell ref="K22:Q22"/>
    <mergeCell ref="B23:F23"/>
    <mergeCell ref="H23:I23"/>
    <mergeCell ref="B19:C19"/>
    <mergeCell ref="D19:H19"/>
    <mergeCell ref="I19:K19"/>
    <mergeCell ref="L19:N19"/>
    <mergeCell ref="O19:Q19"/>
    <mergeCell ref="B18:C18"/>
    <mergeCell ref="D18:H18"/>
    <mergeCell ref="I18:K18"/>
    <mergeCell ref="L18:N18"/>
    <mergeCell ref="O18:Q18"/>
    <mergeCell ref="B17:C17"/>
    <mergeCell ref="D17:H17"/>
    <mergeCell ref="I17:K17"/>
    <mergeCell ref="L17:N17"/>
    <mergeCell ref="O17:Q17"/>
    <mergeCell ref="B16:C16"/>
    <mergeCell ref="D16:H16"/>
    <mergeCell ref="I16:K16"/>
    <mergeCell ref="L16:N16"/>
    <mergeCell ref="O16:Q16"/>
    <mergeCell ref="B15:C15"/>
    <mergeCell ref="D15:H15"/>
    <mergeCell ref="I15:K15"/>
    <mergeCell ref="L15:N15"/>
    <mergeCell ref="O15:Q15"/>
    <mergeCell ref="B14:C14"/>
    <mergeCell ref="D14:H14"/>
    <mergeCell ref="I14:K14"/>
    <mergeCell ref="L14:N14"/>
    <mergeCell ref="O14:Q14"/>
    <mergeCell ref="B48:Q48"/>
    <mergeCell ref="B7:E7"/>
    <mergeCell ref="B8:E9"/>
    <mergeCell ref="F7:I7"/>
    <mergeCell ref="F8:I9"/>
    <mergeCell ref="J7:M7"/>
    <mergeCell ref="J8:M9"/>
    <mergeCell ref="N7:Q7"/>
    <mergeCell ref="N8:Q9"/>
    <mergeCell ref="B10:Q10"/>
    <mergeCell ref="B12:Q12"/>
    <mergeCell ref="B13:C13"/>
    <mergeCell ref="D13:H13"/>
    <mergeCell ref="I13:K13"/>
    <mergeCell ref="L13:N13"/>
    <mergeCell ref="O13:Q13"/>
    <mergeCell ref="B2:Q2"/>
    <mergeCell ref="B3:Q3"/>
    <mergeCell ref="B4:C4"/>
    <mergeCell ref="D4:F4"/>
    <mergeCell ref="G4:H4"/>
    <mergeCell ref="I4:L4"/>
    <mergeCell ref="M4:N4"/>
    <mergeCell ref="O4:Q4"/>
  </mergeCells>
  <conditionalFormatting sqref="H24:I31">
    <cfRule type="cellIs" dxfId="2" priority="1" operator="greaterThan">
      <formula>0</formula>
    </cfRule>
  </conditionalFormatting>
  <dataValidations count="1">
    <dataValidation type="list" sqref="O4" xr:uid="{00000000-0002-0000-0000-000001000000}">
      <formula1>"Все,Прямые,Тендеры"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Реестр!$A$137:$A$140</xm:f>
          </x14:formula1>
          <xm:sqref>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03C5C"/>
  </sheetPr>
  <dimension ref="A1:AD14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4"/>
  <cols>
    <col min="1" max="2" width="18" customWidth="1"/>
    <col min="3" max="4" width="26" customWidth="1"/>
    <col min="5" max="5" width="18" customWidth="1"/>
    <col min="6" max="6" width="28" customWidth="1"/>
    <col min="7" max="14" width="18" customWidth="1"/>
    <col min="15" max="15" width="30" customWidth="1"/>
    <col min="16" max="21" width="18" customWidth="1"/>
    <col min="22" max="23" width="38" customWidth="1"/>
    <col min="24" max="27" width="18" customWidth="1"/>
    <col min="28" max="28" width="26" customWidth="1"/>
    <col min="29" max="30" width="18" customWidth="1"/>
  </cols>
  <sheetData>
    <row r="1" spans="1:30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5" customHeight="1">
      <c r="A2" s="30" t="s">
        <v>44</v>
      </c>
      <c r="B2" s="30" t="s">
        <v>44</v>
      </c>
      <c r="C2" s="30" t="s">
        <v>44</v>
      </c>
      <c r="D2" s="30" t="s">
        <v>44</v>
      </c>
      <c r="E2" s="30" t="s">
        <v>44</v>
      </c>
      <c r="F2" s="30" t="s">
        <v>44</v>
      </c>
      <c r="G2" s="30" t="s">
        <v>44</v>
      </c>
      <c r="H2" s="30" t="s">
        <v>44</v>
      </c>
      <c r="I2" s="30" t="s">
        <v>44</v>
      </c>
      <c r="J2" s="30" t="s">
        <v>44</v>
      </c>
      <c r="K2" s="30" t="s">
        <v>44</v>
      </c>
      <c r="L2" s="30" t="s">
        <v>44</v>
      </c>
      <c r="M2" s="30" t="s">
        <v>44</v>
      </c>
      <c r="N2" s="30" t="s">
        <v>44</v>
      </c>
      <c r="O2" s="30" t="s">
        <v>44</v>
      </c>
      <c r="P2" s="30" t="s">
        <v>44</v>
      </c>
      <c r="Q2" s="30" t="s">
        <v>44</v>
      </c>
      <c r="R2" s="30" t="s">
        <v>44</v>
      </c>
      <c r="S2" s="30" t="s">
        <v>44</v>
      </c>
      <c r="T2" s="30" t="s">
        <v>44</v>
      </c>
      <c r="U2" s="30" t="s">
        <v>44</v>
      </c>
      <c r="V2" s="1"/>
      <c r="W2" s="1"/>
      <c r="X2" s="1"/>
      <c r="Y2" s="1"/>
      <c r="Z2" s="1"/>
      <c r="AA2" s="1"/>
      <c r="AB2" s="1"/>
      <c r="AC2" s="1"/>
      <c r="AD2" s="1"/>
    </row>
    <row r="3" spans="1:30" ht="25" customHeight="1">
      <c r="A3" s="17" t="s">
        <v>45</v>
      </c>
      <c r="B3" s="17" t="s">
        <v>45</v>
      </c>
      <c r="C3" s="17" t="s">
        <v>45</v>
      </c>
      <c r="D3" s="17" t="s">
        <v>45</v>
      </c>
      <c r="E3" s="17" t="s">
        <v>45</v>
      </c>
      <c r="F3" s="17" t="s">
        <v>45</v>
      </c>
      <c r="G3" s="17" t="s">
        <v>45</v>
      </c>
      <c r="H3" s="17" t="s">
        <v>45</v>
      </c>
      <c r="I3" s="17" t="s">
        <v>45</v>
      </c>
      <c r="J3" s="17" t="s">
        <v>45</v>
      </c>
      <c r="K3" s="17" t="s">
        <v>45</v>
      </c>
      <c r="L3" s="17" t="s">
        <v>45</v>
      </c>
      <c r="M3" s="17" t="s">
        <v>45</v>
      </c>
      <c r="N3" s="17" t="s">
        <v>45</v>
      </c>
      <c r="O3" s="17" t="s">
        <v>45</v>
      </c>
      <c r="P3" s="17" t="s">
        <v>45</v>
      </c>
      <c r="Q3" s="17" t="s">
        <v>45</v>
      </c>
      <c r="R3" s="17" t="s">
        <v>45</v>
      </c>
      <c r="S3" s="17" t="s">
        <v>45</v>
      </c>
      <c r="T3" s="17" t="s">
        <v>45</v>
      </c>
      <c r="U3" s="17" t="s">
        <v>45</v>
      </c>
      <c r="V3" s="1"/>
      <c r="W3" s="1"/>
      <c r="X3" s="1"/>
      <c r="Y3" s="1"/>
      <c r="Z3" s="1"/>
      <c r="AA3" s="1"/>
      <c r="AB3" s="1"/>
      <c r="AC3" s="1"/>
      <c r="AD3" s="1"/>
    </row>
    <row r="4" spans="1:30" ht="25" customHeight="1">
      <c r="A4" s="17" t="s">
        <v>46</v>
      </c>
      <c r="B4" s="17" t="s">
        <v>46</v>
      </c>
      <c r="C4" s="17" t="s">
        <v>46</v>
      </c>
      <c r="D4" s="17" t="s">
        <v>46</v>
      </c>
      <c r="E4" s="17" t="s">
        <v>46</v>
      </c>
      <c r="F4" s="17" t="s">
        <v>46</v>
      </c>
      <c r="G4" s="17" t="s">
        <v>46</v>
      </c>
      <c r="H4" s="17" t="s">
        <v>46</v>
      </c>
      <c r="I4" s="17" t="s">
        <v>46</v>
      </c>
      <c r="J4" s="17" t="s">
        <v>46</v>
      </c>
      <c r="K4" s="17" t="s">
        <v>46</v>
      </c>
      <c r="L4" s="17" t="s">
        <v>46</v>
      </c>
      <c r="M4" s="17" t="s">
        <v>46</v>
      </c>
      <c r="N4" s="17" t="s">
        <v>46</v>
      </c>
      <c r="O4" s="17" t="s">
        <v>46</v>
      </c>
      <c r="P4" s="17" t="s">
        <v>46</v>
      </c>
      <c r="Q4" s="17" t="s">
        <v>46</v>
      </c>
      <c r="R4" s="17" t="s">
        <v>46</v>
      </c>
      <c r="S4" s="17" t="s">
        <v>46</v>
      </c>
      <c r="T4" s="17" t="s">
        <v>46</v>
      </c>
      <c r="U4" s="17" t="s">
        <v>46</v>
      </c>
      <c r="V4" s="1"/>
      <c r="W4" s="1"/>
      <c r="X4" s="1"/>
      <c r="Y4" s="1"/>
      <c r="Z4" s="1"/>
      <c r="AA4" s="1"/>
      <c r="AB4" s="1"/>
      <c r="AC4" s="1"/>
      <c r="AD4" s="1"/>
    </row>
    <row r="5" spans="1:30" ht="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62" customHeight="1">
      <c r="A6" s="3" t="s">
        <v>47</v>
      </c>
      <c r="B6" s="3" t="s">
        <v>48</v>
      </c>
      <c r="C6" s="3" t="s">
        <v>49</v>
      </c>
      <c r="D6" s="3" t="s">
        <v>3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25</v>
      </c>
      <c r="K6" s="3" t="s">
        <v>27</v>
      </c>
      <c r="L6" s="3" t="s">
        <v>29</v>
      </c>
      <c r="M6" s="3" t="s">
        <v>55</v>
      </c>
      <c r="N6" s="3" t="s">
        <v>56</v>
      </c>
      <c r="O6" s="3" t="s">
        <v>57</v>
      </c>
      <c r="P6" s="3" t="s">
        <v>58</v>
      </c>
      <c r="Q6" s="3" t="s">
        <v>59</v>
      </c>
      <c r="R6" s="3" t="s">
        <v>60</v>
      </c>
      <c r="S6" s="3" t="s">
        <v>61</v>
      </c>
      <c r="T6" s="3" t="s">
        <v>62</v>
      </c>
      <c r="U6" s="3" t="s">
        <v>63</v>
      </c>
      <c r="V6" s="3" t="s">
        <v>64</v>
      </c>
      <c r="W6" s="3" t="s">
        <v>65</v>
      </c>
      <c r="X6" s="3" t="s">
        <v>66</v>
      </c>
      <c r="Y6" s="3" t="s">
        <v>67</v>
      </c>
      <c r="Z6" s="3" t="s">
        <v>68</v>
      </c>
      <c r="AA6" s="3" t="s">
        <v>69</v>
      </c>
      <c r="AB6" s="3" t="s">
        <v>19</v>
      </c>
      <c r="AC6" s="3" t="s">
        <v>70</v>
      </c>
      <c r="AD6" s="3" t="s">
        <v>71</v>
      </c>
    </row>
    <row r="7" spans="1:30" ht="44" customHeight="1">
      <c r="A7" s="5" t="s">
        <v>72</v>
      </c>
      <c r="B7" s="5" t="s">
        <v>73</v>
      </c>
      <c r="C7" s="5" t="s">
        <v>74</v>
      </c>
      <c r="D7" s="5" t="s">
        <v>75</v>
      </c>
      <c r="E7" s="5" t="s">
        <v>76</v>
      </c>
      <c r="F7" s="5" t="s">
        <v>22</v>
      </c>
      <c r="G7" s="7">
        <v>46318</v>
      </c>
      <c r="H7" s="7">
        <v>46321.75</v>
      </c>
      <c r="I7" s="5" t="s">
        <v>77</v>
      </c>
      <c r="J7" s="5" t="s">
        <v>77</v>
      </c>
      <c r="K7" s="5" t="s">
        <v>77</v>
      </c>
      <c r="L7" s="5" t="s">
        <v>77</v>
      </c>
      <c r="M7" s="5" t="s">
        <v>77</v>
      </c>
      <c r="N7" s="5" t="s">
        <v>78</v>
      </c>
      <c r="O7" s="5"/>
      <c r="P7" s="5" t="s">
        <v>77</v>
      </c>
      <c r="Q7" s="5" t="s">
        <v>77</v>
      </c>
      <c r="R7" s="5"/>
      <c r="S7" s="9"/>
      <c r="T7" s="8"/>
      <c r="U7" s="5"/>
      <c r="V7" s="6" t="str">
        <f t="shared" ref="V7:V38" si="0">IF(A7="","",IFERROR(VLOOKUP(F7,$A$111:$C$127,2,FALSE),"Не задан этап"))</f>
        <v>Контакт и подтверждённая потребность</v>
      </c>
      <c r="W7" s="6" t="str">
        <f t="shared" ref="W7:W38" si="1">IF(A7="","",IF(V7="Закрыто","",IF(OR(F7="Расчёт",F7="Решение об участии"),IF(COUNTIF(I7:M7,"Готово")+COUNTIF(I7:M7,"Не требуется")&lt;5,IF(OR(I7="",I7="Нет"),"ТЗ; ","")&amp;IF(OR(J7="",J7="Нет"),"КП завода; ","")&amp;IF(OR(K7="",K7="Нет"),"логистика; ","")&amp;IF(OR(L7="",L7="Нет"),"допрасходы; ","")&amp;IF(OR(M7="",M7="Нет"),"цена продажи; ",""),IF(COUNTIF(I7:M7,"Не требуется")=5,"Проверить применимость расчёта",IF(AND(N7="Готово",O7&lt;&gt;""),"","Подтверждение калькуляции"))),IF(F7="Передача в исполнение",IF(AND(P7="Принято",O7&lt;&gt;""),"","Приём заказа смежниками"),IF(F7="Приёмка и оплата",IF(Q7&lt;&gt;"Принято","Подтверждение приёмки; ","")&amp;IF(S7="","Остаток долга не загружен",IF(S7&gt;0,"Оплата клиента","")),IF(AND(N7="Готово",O7&lt;&gt;""),"",V7))))))</f>
        <v>Контакт и подтверждённая потребность</v>
      </c>
      <c r="X7" s="6">
        <f>IF(AND(A7&lt;&gt;"",V7&lt;&gt;"Закрыто",OR(Продажи!$I$4="Все",D7=Продажи!$I$4),OR(Продажи!$O$4="Все",E7=Продажи!$O$4)),1,0)</f>
        <v>1</v>
      </c>
      <c r="Y7" s="6">
        <f>IF(A7="","",IF(AND(ISNUMBER(H7),H7&lt;Продажи!$D$4,W7&lt;&gt;"",V7&lt;&gt;"Закрыто"),1,0))</f>
        <v>0</v>
      </c>
      <c r="Z7" s="6">
        <f>IF(A7="","",IF(V7="Закрыто",0,IF(COUNTIFS(Действия!$B$7:$B$106,A7,Действия!$N$7:$N$106,1,Действия!$D$7:$D$106,"Продажи")=0,1,0)))</f>
        <v>0</v>
      </c>
      <c r="AA7" s="10" t="str">
        <f>IF(A7="","",IF(OR(S7="",T7=""),"Нет данных",IF(AND(S7&gt;0,T7&lt;INT(Продажи!$D$4)),S7,0)))</f>
        <v>Нет данных</v>
      </c>
      <c r="AB7" s="6" t="str">
        <f t="shared" ref="AB7:AB38" si="2">IF(A7="","",IFERROR(VLOOKUP(F7,$A$111:$C$127,3,FALSE),"Не классифицировано"))</f>
        <v>Лиды</v>
      </c>
      <c r="AC7" s="6">
        <f t="shared" ref="AC7:AC38" si="3">IF(AND(A7&lt;&gt;"",V7&lt;&gt;"Закрыто",H7=""),1,0)</f>
        <v>0</v>
      </c>
      <c r="AD7" s="9"/>
    </row>
    <row r="8" spans="1:30" ht="44" customHeight="1">
      <c r="A8" s="5" t="s">
        <v>79</v>
      </c>
      <c r="B8" s="5" t="s">
        <v>73</v>
      </c>
      <c r="C8" s="5" t="s">
        <v>80</v>
      </c>
      <c r="D8" s="5" t="s">
        <v>81</v>
      </c>
      <c r="E8" s="5" t="s">
        <v>76</v>
      </c>
      <c r="F8" s="5" t="s">
        <v>22</v>
      </c>
      <c r="G8" s="7">
        <v>46315</v>
      </c>
      <c r="H8" s="7">
        <v>46319.75</v>
      </c>
      <c r="I8" s="5" t="s">
        <v>77</v>
      </c>
      <c r="J8" s="5" t="s">
        <v>77</v>
      </c>
      <c r="K8" s="5" t="s">
        <v>77</v>
      </c>
      <c r="L8" s="5" t="s">
        <v>77</v>
      </c>
      <c r="M8" s="5" t="s">
        <v>77</v>
      </c>
      <c r="N8" s="5" t="s">
        <v>78</v>
      </c>
      <c r="O8" s="5"/>
      <c r="P8" s="5" t="s">
        <v>77</v>
      </c>
      <c r="Q8" s="5" t="s">
        <v>77</v>
      </c>
      <c r="R8" s="5"/>
      <c r="S8" s="9"/>
      <c r="T8" s="8"/>
      <c r="U8" s="5"/>
      <c r="V8" s="6" t="str">
        <f t="shared" si="0"/>
        <v>Контакт и подтверждённая потребность</v>
      </c>
      <c r="W8" s="6" t="str">
        <f t="shared" si="1"/>
        <v>Контакт и подтверждённая потребность</v>
      </c>
      <c r="X8" s="6">
        <f>IF(AND(A8&lt;&gt;"",V8&lt;&gt;"Закрыто",OR(Продажи!$I$4="Все",D8=Продажи!$I$4),OR(Продажи!$O$4="Все",E8=Продажи!$O$4)),1,0)</f>
        <v>1</v>
      </c>
      <c r="Y8" s="6">
        <f>IF(A8="","",IF(AND(ISNUMBER(H8),H8&lt;Продажи!$D$4,W8&lt;&gt;"",V8&lt;&gt;"Закрыто"),1,0))</f>
        <v>1</v>
      </c>
      <c r="Z8" s="6">
        <f>IF(A8="","",IF(V8="Закрыто",0,IF(COUNTIFS(Действия!$B$7:$B$106,A8,Действия!$N$7:$N$106,1,Действия!$D$7:$D$106,"Продажи")=0,1,0)))</f>
        <v>0</v>
      </c>
      <c r="AA8" s="10" t="str">
        <f>IF(A8="","",IF(OR(S8="",T8=""),"Нет данных",IF(AND(S8&gt;0,T8&lt;INT(Продажи!$D$4)),S8,0)))</f>
        <v>Нет данных</v>
      </c>
      <c r="AB8" s="6" t="str">
        <f t="shared" si="2"/>
        <v>Лиды</v>
      </c>
      <c r="AC8" s="6">
        <f t="shared" si="3"/>
        <v>0</v>
      </c>
      <c r="AD8" s="9"/>
    </row>
    <row r="9" spans="1:30" ht="44" customHeight="1">
      <c r="A9" s="5" t="s">
        <v>82</v>
      </c>
      <c r="B9" s="5" t="s">
        <v>73</v>
      </c>
      <c r="C9" s="5" t="s">
        <v>83</v>
      </c>
      <c r="D9" s="5" t="s">
        <v>75</v>
      </c>
      <c r="E9" s="5" t="s">
        <v>76</v>
      </c>
      <c r="F9" s="5" t="s">
        <v>22</v>
      </c>
      <c r="G9" s="7">
        <v>46319</v>
      </c>
      <c r="H9" s="7">
        <v>46323.75</v>
      </c>
      <c r="I9" s="5" t="s">
        <v>77</v>
      </c>
      <c r="J9" s="5" t="s">
        <v>77</v>
      </c>
      <c r="K9" s="5" t="s">
        <v>77</v>
      </c>
      <c r="L9" s="5" t="s">
        <v>77</v>
      </c>
      <c r="M9" s="5" t="s">
        <v>77</v>
      </c>
      <c r="N9" s="5" t="s">
        <v>84</v>
      </c>
      <c r="O9" s="5" t="s">
        <v>85</v>
      </c>
      <c r="P9" s="5" t="s">
        <v>77</v>
      </c>
      <c r="Q9" s="5" t="s">
        <v>77</v>
      </c>
      <c r="R9" s="5"/>
      <c r="S9" s="9"/>
      <c r="T9" s="8"/>
      <c r="U9" s="5"/>
      <c r="V9" s="6" t="str">
        <f t="shared" si="0"/>
        <v>Контакт и подтверждённая потребность</v>
      </c>
      <c r="W9" s="6" t="str">
        <f t="shared" si="1"/>
        <v/>
      </c>
      <c r="X9" s="6">
        <f>IF(AND(A9&lt;&gt;"",V9&lt;&gt;"Закрыто",OR(Продажи!$I$4="Все",D9=Продажи!$I$4),OR(Продажи!$O$4="Все",E9=Продажи!$O$4)),1,0)</f>
        <v>1</v>
      </c>
      <c r="Y9" s="6">
        <f>IF(A9="","",IF(AND(ISNUMBER(H9),H9&lt;Продажи!$D$4,W9&lt;&gt;"",V9&lt;&gt;"Закрыто"),1,0))</f>
        <v>0</v>
      </c>
      <c r="Z9" s="6">
        <f>IF(A9="","",IF(V9="Закрыто",0,IF(COUNTIFS(Действия!$B$7:$B$106,A9,Действия!$N$7:$N$106,1,Действия!$D$7:$D$106,"Продажи")=0,1,0)))</f>
        <v>0</v>
      </c>
      <c r="AA9" s="10" t="str">
        <f>IF(A9="","",IF(OR(S9="",T9=""),"Нет данных",IF(AND(S9&gt;0,T9&lt;INT(Продажи!$D$4)),S9,0)))</f>
        <v>Нет данных</v>
      </c>
      <c r="AB9" s="6" t="str">
        <f t="shared" si="2"/>
        <v>Лиды</v>
      </c>
      <c r="AC9" s="6">
        <f t="shared" si="3"/>
        <v>0</v>
      </c>
      <c r="AD9" s="9"/>
    </row>
    <row r="10" spans="1:30" ht="44" customHeight="1">
      <c r="A10" s="5" t="s">
        <v>86</v>
      </c>
      <c r="B10" s="5" t="s">
        <v>87</v>
      </c>
      <c r="C10" s="5" t="s">
        <v>88</v>
      </c>
      <c r="D10" s="5" t="s">
        <v>75</v>
      </c>
      <c r="E10" s="5" t="s">
        <v>76</v>
      </c>
      <c r="F10" s="5" t="s">
        <v>89</v>
      </c>
      <c r="G10" s="7">
        <v>46317</v>
      </c>
      <c r="H10" s="7">
        <v>46320.75</v>
      </c>
      <c r="I10" s="5" t="s">
        <v>77</v>
      </c>
      <c r="J10" s="5" t="s">
        <v>77</v>
      </c>
      <c r="K10" s="5" t="s">
        <v>77</v>
      </c>
      <c r="L10" s="5" t="s">
        <v>77</v>
      </c>
      <c r="M10" s="5" t="s">
        <v>77</v>
      </c>
      <c r="N10" s="5" t="s">
        <v>78</v>
      </c>
      <c r="O10" s="5"/>
      <c r="P10" s="5" t="s">
        <v>77</v>
      </c>
      <c r="Q10" s="5" t="s">
        <v>77</v>
      </c>
      <c r="R10" s="5"/>
      <c r="S10" s="9"/>
      <c r="T10" s="8"/>
      <c r="U10" s="5"/>
      <c r="V10" s="6" t="str">
        <f t="shared" si="0"/>
        <v>Ведомость требований клиента</v>
      </c>
      <c r="W10" s="6" t="str">
        <f t="shared" si="1"/>
        <v>Ведомость требований клиента</v>
      </c>
      <c r="X10" s="6">
        <f>IF(AND(A10&lt;&gt;"",V10&lt;&gt;"Закрыто",OR(Продажи!$I$4="Все",D10=Продажи!$I$4),OR(Продажи!$O$4="Все",E10=Продажи!$O$4)),1,0)</f>
        <v>1</v>
      </c>
      <c r="Y10" s="6">
        <f>IF(A10="","",IF(AND(ISNUMBER(H10),H10&lt;Продажи!$D$4,W10&lt;&gt;"",V10&lt;&gt;"Закрыто"),1,0))</f>
        <v>1</v>
      </c>
      <c r="Z10" s="6">
        <f>IF(A10="","",IF(V10="Закрыто",0,IF(COUNTIFS(Действия!$B$7:$B$106,A10,Действия!$N$7:$N$106,1,Действия!$D$7:$D$106,"Продажи")=0,1,0)))</f>
        <v>0</v>
      </c>
      <c r="AA10" s="10" t="str">
        <f>IF(A10="","",IF(OR(S10="",T10=""),"Нет данных",IF(AND(S10&gt;0,T10&lt;INT(Продажи!$D$4)),S10,0)))</f>
        <v>Нет данных</v>
      </c>
      <c r="AB10" s="6" t="str">
        <f t="shared" si="2"/>
        <v>Запрос / проверка</v>
      </c>
      <c r="AC10" s="6">
        <f t="shared" si="3"/>
        <v>0</v>
      </c>
      <c r="AD10" s="9">
        <v>4800000</v>
      </c>
    </row>
    <row r="11" spans="1:30" ht="44" customHeight="1">
      <c r="A11" s="5" t="s">
        <v>90</v>
      </c>
      <c r="B11" s="5" t="s">
        <v>87</v>
      </c>
      <c r="C11" s="5" t="s">
        <v>91</v>
      </c>
      <c r="D11" s="5" t="s">
        <v>81</v>
      </c>
      <c r="E11" s="5" t="s">
        <v>76</v>
      </c>
      <c r="F11" s="5" t="s">
        <v>92</v>
      </c>
      <c r="G11" s="7">
        <v>46315</v>
      </c>
      <c r="H11" s="7">
        <v>46319.75</v>
      </c>
      <c r="I11" s="5" t="s">
        <v>84</v>
      </c>
      <c r="J11" s="5" t="s">
        <v>78</v>
      </c>
      <c r="K11" s="5" t="s">
        <v>84</v>
      </c>
      <c r="L11" s="5" t="s">
        <v>84</v>
      </c>
      <c r="M11" s="5" t="s">
        <v>78</v>
      </c>
      <c r="N11" s="5" t="s">
        <v>78</v>
      </c>
      <c r="O11" s="5"/>
      <c r="P11" s="5" t="s">
        <v>77</v>
      </c>
      <c r="Q11" s="5" t="s">
        <v>77</v>
      </c>
      <c r="R11" s="5"/>
      <c r="S11" s="9"/>
      <c r="T11" s="8"/>
      <c r="U11" s="5"/>
      <c r="V11" s="6" t="str">
        <f t="shared" si="0"/>
        <v>Согласованная калькуляция</v>
      </c>
      <c r="W11" s="6" t="str">
        <f t="shared" si="1"/>
        <v xml:space="preserve">КП завода; цена продажи; </v>
      </c>
      <c r="X11" s="6">
        <f>IF(AND(A11&lt;&gt;"",V11&lt;&gt;"Закрыто",OR(Продажи!$I$4="Все",D11=Продажи!$I$4),OR(Продажи!$O$4="Все",E11=Продажи!$O$4)),1,0)</f>
        <v>1</v>
      </c>
      <c r="Y11" s="6">
        <f>IF(A11="","",IF(AND(ISNUMBER(H11),H11&lt;Продажи!$D$4,W11&lt;&gt;"",V11&lt;&gt;"Закрыто"),1,0))</f>
        <v>1</v>
      </c>
      <c r="Z11" s="6">
        <f>IF(A11="","",IF(V11="Закрыто",0,IF(COUNTIFS(Действия!$B$7:$B$106,A11,Действия!$N$7:$N$106,1,Действия!$D$7:$D$106,"Продажи")=0,1,0)))</f>
        <v>1</v>
      </c>
      <c r="AA11" s="10" t="str">
        <f>IF(A11="","",IF(OR(S11="",T11=""),"Нет данных",IF(AND(S11&gt;0,T11&lt;INT(Продажи!$D$4)),S11,0)))</f>
        <v>Нет данных</v>
      </c>
      <c r="AB11" s="6" t="str">
        <f t="shared" si="2"/>
        <v>Расчёт / решение</v>
      </c>
      <c r="AC11" s="6">
        <f t="shared" si="3"/>
        <v>0</v>
      </c>
      <c r="AD11" s="9">
        <v>12500000</v>
      </c>
    </row>
    <row r="12" spans="1:30" ht="44" customHeight="1">
      <c r="A12" s="5" t="s">
        <v>93</v>
      </c>
      <c r="B12" s="5" t="s">
        <v>87</v>
      </c>
      <c r="C12" s="5" t="s">
        <v>94</v>
      </c>
      <c r="D12" s="5" t="s">
        <v>95</v>
      </c>
      <c r="E12" s="5" t="s">
        <v>96</v>
      </c>
      <c r="F12" s="5" t="s">
        <v>97</v>
      </c>
      <c r="G12" s="7">
        <v>46318</v>
      </c>
      <c r="H12" s="7">
        <v>46322.75</v>
      </c>
      <c r="I12" s="5" t="s">
        <v>84</v>
      </c>
      <c r="J12" s="5" t="s">
        <v>84</v>
      </c>
      <c r="K12" s="5" t="s">
        <v>78</v>
      </c>
      <c r="L12" s="5" t="s">
        <v>84</v>
      </c>
      <c r="M12" s="5" t="s">
        <v>78</v>
      </c>
      <c r="N12" s="5" t="s">
        <v>78</v>
      </c>
      <c r="O12" s="5"/>
      <c r="P12" s="5" t="s">
        <v>77</v>
      </c>
      <c r="Q12" s="5" t="s">
        <v>77</v>
      </c>
      <c r="R12" s="5"/>
      <c r="S12" s="9"/>
      <c r="T12" s="8"/>
      <c r="U12" s="5"/>
      <c r="V12" s="6" t="str">
        <f t="shared" si="0"/>
        <v>Согласованная цена и решение участвовать</v>
      </c>
      <c r="W12" s="6" t="str">
        <f t="shared" si="1"/>
        <v xml:space="preserve">логистика; цена продажи; </v>
      </c>
      <c r="X12" s="6">
        <f>IF(AND(A12&lt;&gt;"",V12&lt;&gt;"Закрыто",OR(Продажи!$I$4="Все",D12=Продажи!$I$4),OR(Продажи!$O$4="Все",E12=Продажи!$O$4)),1,0)</f>
        <v>1</v>
      </c>
      <c r="Y12" s="6">
        <f>IF(A12="","",IF(AND(ISNUMBER(H12),H12&lt;Продажи!$D$4,W12&lt;&gt;"",V12&lt;&gt;"Закрыто"),1,0))</f>
        <v>0</v>
      </c>
      <c r="Z12" s="6">
        <f>IF(A12="","",IF(V12="Закрыто",0,IF(COUNTIFS(Действия!$B$7:$B$106,A12,Действия!$N$7:$N$106,1,Действия!$D$7:$D$106,"Продажи")=0,1,0)))</f>
        <v>0</v>
      </c>
      <c r="AA12" s="10" t="str">
        <f>IF(A12="","",IF(OR(S12="",T12=""),"Нет данных",IF(AND(S12&gt;0,T12&lt;INT(Продажи!$D$4)),S12,0)))</f>
        <v>Нет данных</v>
      </c>
      <c r="AB12" s="6" t="str">
        <f t="shared" si="2"/>
        <v>Расчёт / решение</v>
      </c>
      <c r="AC12" s="6">
        <f t="shared" si="3"/>
        <v>0</v>
      </c>
      <c r="AD12" s="9">
        <v>28000000</v>
      </c>
    </row>
    <row r="13" spans="1:30" ht="44" customHeight="1">
      <c r="A13" s="5" t="s">
        <v>98</v>
      </c>
      <c r="B13" s="5" t="s">
        <v>87</v>
      </c>
      <c r="C13" s="5" t="s">
        <v>99</v>
      </c>
      <c r="D13" s="5" t="s">
        <v>75</v>
      </c>
      <c r="E13" s="5" t="s">
        <v>76</v>
      </c>
      <c r="F13" s="5" t="s">
        <v>100</v>
      </c>
      <c r="G13" s="7">
        <v>46316</v>
      </c>
      <c r="H13" s="7">
        <v>46321.75</v>
      </c>
      <c r="I13" s="5" t="s">
        <v>77</v>
      </c>
      <c r="J13" s="5" t="s">
        <v>77</v>
      </c>
      <c r="K13" s="5" t="s">
        <v>77</v>
      </c>
      <c r="L13" s="5" t="s">
        <v>77</v>
      </c>
      <c r="M13" s="5" t="s">
        <v>77</v>
      </c>
      <c r="N13" s="5" t="s">
        <v>78</v>
      </c>
      <c r="O13" s="5"/>
      <c r="P13" s="5" t="s">
        <v>77</v>
      </c>
      <c r="Q13" s="5" t="s">
        <v>77</v>
      </c>
      <c r="R13" s="5"/>
      <c r="S13" s="9"/>
      <c r="T13" s="8"/>
      <c r="U13" s="5"/>
      <c r="V13" s="6" t="str">
        <f t="shared" si="0"/>
        <v>Ответ клиента на предложение</v>
      </c>
      <c r="W13" s="6" t="str">
        <f t="shared" si="1"/>
        <v>Ответ клиента на предложение</v>
      </c>
      <c r="X13" s="6">
        <f>IF(AND(A13&lt;&gt;"",V13&lt;&gt;"Закрыто",OR(Продажи!$I$4="Все",D13=Продажи!$I$4),OR(Продажи!$O$4="Все",E13=Продажи!$O$4)),1,0)</f>
        <v>1</v>
      </c>
      <c r="Y13" s="6">
        <f>IF(A13="","",IF(AND(ISNUMBER(H13),H13&lt;Продажи!$D$4,W13&lt;&gt;"",V13&lt;&gt;"Закрыто"),1,0))</f>
        <v>0</v>
      </c>
      <c r="Z13" s="6">
        <f>IF(A13="","",IF(V13="Закрыто",0,IF(COUNTIFS(Действия!$B$7:$B$106,A13,Действия!$N$7:$N$106,1,Действия!$D$7:$D$106,"Продажи")=0,1,0)))</f>
        <v>0</v>
      </c>
      <c r="AA13" s="10" t="str">
        <f>IF(A13="","",IF(OR(S13="",T13=""),"Нет данных",IF(AND(S13&gt;0,T13&lt;INT(Продажи!$D$4)),S13,0)))</f>
        <v>Нет данных</v>
      </c>
      <c r="AB13" s="6" t="str">
        <f t="shared" si="2"/>
        <v>КП / подготовка</v>
      </c>
      <c r="AC13" s="6">
        <f t="shared" si="3"/>
        <v>0</v>
      </c>
      <c r="AD13" s="9">
        <v>6750000</v>
      </c>
    </row>
    <row r="14" spans="1:30" ht="44" customHeight="1">
      <c r="A14" s="5" t="s">
        <v>101</v>
      </c>
      <c r="B14" s="5" t="s">
        <v>87</v>
      </c>
      <c r="C14" s="5" t="s">
        <v>102</v>
      </c>
      <c r="D14" s="5" t="s">
        <v>81</v>
      </c>
      <c r="E14" s="5" t="s">
        <v>76</v>
      </c>
      <c r="F14" s="5" t="s">
        <v>100</v>
      </c>
      <c r="G14" s="7">
        <v>46314</v>
      </c>
      <c r="H14" s="7">
        <v>46318.75</v>
      </c>
      <c r="I14" s="5" t="s">
        <v>77</v>
      </c>
      <c r="J14" s="5" t="s">
        <v>77</v>
      </c>
      <c r="K14" s="5" t="s">
        <v>77</v>
      </c>
      <c r="L14" s="5" t="s">
        <v>77</v>
      </c>
      <c r="M14" s="5" t="s">
        <v>77</v>
      </c>
      <c r="N14" s="5" t="s">
        <v>78</v>
      </c>
      <c r="O14" s="5"/>
      <c r="P14" s="5" t="s">
        <v>77</v>
      </c>
      <c r="Q14" s="5" t="s">
        <v>77</v>
      </c>
      <c r="R14" s="5"/>
      <c r="S14" s="9"/>
      <c r="T14" s="8"/>
      <c r="U14" s="5"/>
      <c r="V14" s="6" t="str">
        <f t="shared" si="0"/>
        <v>Ответ клиента на предложение</v>
      </c>
      <c r="W14" s="6" t="str">
        <f t="shared" si="1"/>
        <v>Ответ клиента на предложение</v>
      </c>
      <c r="X14" s="6">
        <f>IF(AND(A14&lt;&gt;"",V14&lt;&gt;"Закрыто",OR(Продажи!$I$4="Все",D14=Продажи!$I$4),OR(Продажи!$O$4="Все",E14=Продажи!$O$4)),1,0)</f>
        <v>1</v>
      </c>
      <c r="Y14" s="6">
        <f>IF(A14="","",IF(AND(ISNUMBER(H14),H14&lt;Продажи!$D$4,W14&lt;&gt;"",V14&lt;&gt;"Закрыто"),1,0))</f>
        <v>1</v>
      </c>
      <c r="Z14" s="6">
        <f>IF(A14="","",IF(V14="Закрыто",0,IF(COUNTIFS(Действия!$B$7:$B$106,A14,Действия!$N$7:$N$106,1,Действия!$D$7:$D$106,"Продажи")=0,1,0)))</f>
        <v>1</v>
      </c>
      <c r="AA14" s="10" t="str">
        <f>IF(A14="","",IF(OR(S14="",T14=""),"Нет данных",IF(AND(S14&gt;0,T14&lt;INT(Продажи!$D$4)),S14,0)))</f>
        <v>Нет данных</v>
      </c>
      <c r="AB14" s="6" t="str">
        <f t="shared" si="2"/>
        <v>КП / подготовка</v>
      </c>
      <c r="AC14" s="6">
        <f t="shared" si="3"/>
        <v>0</v>
      </c>
      <c r="AD14" s="9">
        <v>3200000</v>
      </c>
    </row>
    <row r="15" spans="1:30" ht="44" customHeight="1">
      <c r="A15" s="5" t="s">
        <v>103</v>
      </c>
      <c r="B15" s="5" t="s">
        <v>87</v>
      </c>
      <c r="C15" s="5" t="s">
        <v>104</v>
      </c>
      <c r="D15" s="5" t="s">
        <v>75</v>
      </c>
      <c r="E15" s="5" t="s">
        <v>76</v>
      </c>
      <c r="F15" s="5" t="s">
        <v>105</v>
      </c>
      <c r="G15" s="7">
        <v>46317</v>
      </c>
      <c r="H15" s="7">
        <v>46322.75</v>
      </c>
      <c r="I15" s="5" t="s">
        <v>77</v>
      </c>
      <c r="J15" s="5" t="s">
        <v>77</v>
      </c>
      <c r="K15" s="5" t="s">
        <v>77</v>
      </c>
      <c r="L15" s="5" t="s">
        <v>77</v>
      </c>
      <c r="M15" s="5" t="s">
        <v>77</v>
      </c>
      <c r="N15" s="5" t="s">
        <v>84</v>
      </c>
      <c r="O15" s="5" t="s">
        <v>106</v>
      </c>
      <c r="P15" s="5" t="s">
        <v>77</v>
      </c>
      <c r="Q15" s="5" t="s">
        <v>77</v>
      </c>
      <c r="R15" s="5"/>
      <c r="S15" s="9"/>
      <c r="T15" s="8"/>
      <c r="U15" s="5"/>
      <c r="V15" s="6" t="str">
        <f t="shared" si="0"/>
        <v>Согласованные условия и открытые вопросы</v>
      </c>
      <c r="W15" s="6" t="str">
        <f t="shared" si="1"/>
        <v/>
      </c>
      <c r="X15" s="6">
        <f>IF(AND(A15&lt;&gt;"",V15&lt;&gt;"Закрыто",OR(Продажи!$I$4="Все",D15=Продажи!$I$4),OR(Продажи!$O$4="Все",E15=Продажи!$O$4)),1,0)</f>
        <v>1</v>
      </c>
      <c r="Y15" s="6">
        <f>IF(A15="","",IF(AND(ISNUMBER(H15),H15&lt;Продажи!$D$4,W15&lt;&gt;"",V15&lt;&gt;"Закрыто"),1,0))</f>
        <v>0</v>
      </c>
      <c r="Z15" s="6">
        <f>IF(A15="","",IF(V15="Закрыто",0,IF(COUNTIFS(Действия!$B$7:$B$106,A15,Действия!$N$7:$N$106,1,Действия!$D$7:$D$106,"Продажи")=0,1,0)))</f>
        <v>0</v>
      </c>
      <c r="AA15" s="10" t="str">
        <f>IF(A15="","",IF(OR(S15="",T15=""),"Нет данных",IF(AND(S15&gt;0,T15&lt;INT(Продажи!$D$4)),S15,0)))</f>
        <v>Нет данных</v>
      </c>
      <c r="AB15" s="6" t="str">
        <f t="shared" si="2"/>
        <v>Переговоры / подача</v>
      </c>
      <c r="AC15" s="6">
        <f t="shared" si="3"/>
        <v>0</v>
      </c>
      <c r="AD15" s="9">
        <v>9400000</v>
      </c>
    </row>
    <row r="16" spans="1:30" ht="44" customHeight="1">
      <c r="A16" s="5" t="s">
        <v>107</v>
      </c>
      <c r="B16" s="5" t="s">
        <v>87</v>
      </c>
      <c r="C16" s="5" t="s">
        <v>108</v>
      </c>
      <c r="D16" s="5" t="s">
        <v>95</v>
      </c>
      <c r="E16" s="5" t="s">
        <v>96</v>
      </c>
      <c r="F16" s="5" t="s">
        <v>109</v>
      </c>
      <c r="G16" s="7">
        <v>46318</v>
      </c>
      <c r="H16" s="7">
        <v>46323.75</v>
      </c>
      <c r="I16" s="5" t="s">
        <v>77</v>
      </c>
      <c r="J16" s="5" t="s">
        <v>77</v>
      </c>
      <c r="K16" s="5" t="s">
        <v>77</v>
      </c>
      <c r="L16" s="5" t="s">
        <v>77</v>
      </c>
      <c r="M16" s="5" t="s">
        <v>77</v>
      </c>
      <c r="N16" s="5" t="s">
        <v>78</v>
      </c>
      <c r="O16" s="5"/>
      <c r="P16" s="5" t="s">
        <v>77</v>
      </c>
      <c r="Q16" s="5" t="s">
        <v>77</v>
      </c>
      <c r="R16" s="5"/>
      <c r="S16" s="9"/>
      <c r="T16" s="8"/>
      <c r="U16" s="5"/>
      <c r="V16" s="6" t="str">
        <f t="shared" si="0"/>
        <v>Принятый площадкой ответ</v>
      </c>
      <c r="W16" s="6" t="str">
        <f t="shared" si="1"/>
        <v>Принятый площадкой ответ</v>
      </c>
      <c r="X16" s="6">
        <f>IF(AND(A16&lt;&gt;"",V16&lt;&gt;"Закрыто",OR(Продажи!$I$4="Все",D16=Продажи!$I$4),OR(Продажи!$O$4="Все",E16=Продажи!$O$4)),1,0)</f>
        <v>1</v>
      </c>
      <c r="Y16" s="6">
        <f>IF(A16="","",IF(AND(ISNUMBER(H16),H16&lt;Продажи!$D$4,W16&lt;&gt;"",V16&lt;&gt;"Закрыто"),1,0))</f>
        <v>0</v>
      </c>
      <c r="Z16" s="6">
        <f>IF(A16="","",IF(V16="Закрыто",0,IF(COUNTIFS(Действия!$B$7:$B$106,A16,Действия!$N$7:$N$106,1,Действия!$D$7:$D$106,"Продажи")=0,1,0)))</f>
        <v>0</v>
      </c>
      <c r="AA16" s="10" t="str">
        <f>IF(A16="","",IF(OR(S16="",T16=""),"Нет данных",IF(AND(S16&gt;0,T16&lt;INT(Продажи!$D$4)),S16,0)))</f>
        <v>Нет данных</v>
      </c>
      <c r="AB16" s="6" t="str">
        <f t="shared" si="2"/>
        <v>Переговоры / подача</v>
      </c>
      <c r="AC16" s="6">
        <f t="shared" si="3"/>
        <v>0</v>
      </c>
      <c r="AD16" s="9">
        <v>41000000</v>
      </c>
    </row>
    <row r="17" spans="1:30" ht="44" customHeight="1">
      <c r="A17" s="5" t="s">
        <v>110</v>
      </c>
      <c r="B17" s="5" t="s">
        <v>87</v>
      </c>
      <c r="C17" s="5" t="s">
        <v>111</v>
      </c>
      <c r="D17" s="5" t="s">
        <v>81</v>
      </c>
      <c r="E17" s="5" t="s">
        <v>76</v>
      </c>
      <c r="F17" s="5" t="s">
        <v>112</v>
      </c>
      <c r="G17" s="7">
        <v>46316</v>
      </c>
      <c r="H17" s="7">
        <v>46320.75</v>
      </c>
      <c r="I17" s="5" t="s">
        <v>77</v>
      </c>
      <c r="J17" s="5" t="s">
        <v>77</v>
      </c>
      <c r="K17" s="5" t="s">
        <v>77</v>
      </c>
      <c r="L17" s="5" t="s">
        <v>77</v>
      </c>
      <c r="M17" s="5" t="s">
        <v>77</v>
      </c>
      <c r="N17" s="5" t="s">
        <v>78</v>
      </c>
      <c r="O17" s="5"/>
      <c r="P17" s="5" t="s">
        <v>77</v>
      </c>
      <c r="Q17" s="5" t="s">
        <v>77</v>
      </c>
      <c r="R17" s="5"/>
      <c r="S17" s="9"/>
      <c r="T17" s="8"/>
      <c r="U17" s="5"/>
      <c r="V17" s="6" t="str">
        <f t="shared" si="0"/>
        <v>Подписанные договор и спецификация</v>
      </c>
      <c r="W17" s="6" t="str">
        <f t="shared" si="1"/>
        <v>Подписанные договор и спецификация</v>
      </c>
      <c r="X17" s="6">
        <f>IF(AND(A17&lt;&gt;"",V17&lt;&gt;"Закрыто",OR(Продажи!$I$4="Все",D17=Продажи!$I$4),OR(Продажи!$O$4="Все",E17=Продажи!$O$4)),1,0)</f>
        <v>1</v>
      </c>
      <c r="Y17" s="6">
        <f>IF(A17="","",IF(AND(ISNUMBER(H17),H17&lt;Продажи!$D$4,W17&lt;&gt;"",V17&lt;&gt;"Закрыто"),1,0))</f>
        <v>1</v>
      </c>
      <c r="Z17" s="6">
        <f>IF(A17="","",IF(V17="Закрыто",0,IF(COUNTIFS(Действия!$B$7:$B$106,A17,Действия!$N$7:$N$106,1,Действия!$D$7:$D$106,"Продажи")=0,1,0)))</f>
        <v>1</v>
      </c>
      <c r="AA17" s="10" t="str">
        <f>IF(A17="","",IF(OR(S17="",T17=""),"Нет данных",IF(AND(S17&gt;0,T17&lt;INT(Продажи!$D$4)),S17,0)))</f>
        <v>Нет данных</v>
      </c>
      <c r="AB17" s="6" t="str">
        <f t="shared" si="2"/>
        <v>Договор / результат</v>
      </c>
      <c r="AC17" s="6">
        <f t="shared" si="3"/>
        <v>0</v>
      </c>
      <c r="AD17" s="9">
        <v>8700000</v>
      </c>
    </row>
    <row r="18" spans="1:30" ht="44" customHeight="1">
      <c r="A18" s="5" t="s">
        <v>113</v>
      </c>
      <c r="B18" s="5" t="s">
        <v>87</v>
      </c>
      <c r="C18" s="5" t="s">
        <v>114</v>
      </c>
      <c r="D18" s="5" t="s">
        <v>95</v>
      </c>
      <c r="E18" s="5" t="s">
        <v>96</v>
      </c>
      <c r="F18" s="5" t="s">
        <v>115</v>
      </c>
      <c r="G18" s="7">
        <v>46319</v>
      </c>
      <c r="H18" s="7">
        <v>46323.75</v>
      </c>
      <c r="I18" s="5" t="s">
        <v>77</v>
      </c>
      <c r="J18" s="5" t="s">
        <v>77</v>
      </c>
      <c r="K18" s="5" t="s">
        <v>77</v>
      </c>
      <c r="L18" s="5" t="s">
        <v>77</v>
      </c>
      <c r="M18" s="5" t="s">
        <v>77</v>
      </c>
      <c r="N18" s="5" t="s">
        <v>84</v>
      </c>
      <c r="O18" s="5" t="s">
        <v>116</v>
      </c>
      <c r="P18" s="5" t="s">
        <v>77</v>
      </c>
      <c r="Q18" s="5" t="s">
        <v>77</v>
      </c>
      <c r="R18" s="5"/>
      <c r="S18" s="9"/>
      <c r="T18" s="8"/>
      <c r="U18" s="5"/>
      <c r="V18" s="6" t="str">
        <f t="shared" si="0"/>
        <v>Полный комплект тендерной заявки</v>
      </c>
      <c r="W18" s="6" t="str">
        <f t="shared" si="1"/>
        <v/>
      </c>
      <c r="X18" s="6">
        <f>IF(AND(A18&lt;&gt;"",V18&lt;&gt;"Закрыто",OR(Продажи!$I$4="Все",D18=Продажи!$I$4),OR(Продажи!$O$4="Все",E18=Продажи!$O$4)),1,0)</f>
        <v>1</v>
      </c>
      <c r="Y18" s="6">
        <f>IF(A18="","",IF(AND(ISNUMBER(H18),H18&lt;Продажи!$D$4,W18&lt;&gt;"",V18&lt;&gt;"Закрыто"),1,0))</f>
        <v>0</v>
      </c>
      <c r="Z18" s="6">
        <f>IF(A18="","",IF(V18="Закрыто",0,IF(COUNTIFS(Действия!$B$7:$B$106,A18,Действия!$N$7:$N$106,1,Действия!$D$7:$D$106,"Продажи")=0,1,0)))</f>
        <v>0</v>
      </c>
      <c r="AA18" s="10" t="str">
        <f>IF(A18="","",IF(OR(S18="",T18=""),"Нет данных",IF(AND(S18&gt;0,T18&lt;INT(Продажи!$D$4)),S18,0)))</f>
        <v>Нет данных</v>
      </c>
      <c r="AB18" s="6" t="str">
        <f t="shared" si="2"/>
        <v>КП / подготовка</v>
      </c>
      <c r="AC18" s="6">
        <f t="shared" si="3"/>
        <v>0</v>
      </c>
      <c r="AD18" s="9">
        <v>15500000</v>
      </c>
    </row>
    <row r="19" spans="1:30" ht="44" customHeight="1">
      <c r="A19" s="5" t="s">
        <v>117</v>
      </c>
      <c r="B19" s="5" t="s">
        <v>38</v>
      </c>
      <c r="C19" s="5" t="s">
        <v>118</v>
      </c>
      <c r="D19" s="5" t="s">
        <v>75</v>
      </c>
      <c r="E19" s="5" t="s">
        <v>76</v>
      </c>
      <c r="F19" s="5" t="s">
        <v>119</v>
      </c>
      <c r="G19" s="7">
        <v>46319</v>
      </c>
      <c r="H19" s="7">
        <v>46321.5</v>
      </c>
      <c r="I19" s="5" t="s">
        <v>77</v>
      </c>
      <c r="J19" s="5" t="s">
        <v>77</v>
      </c>
      <c r="K19" s="5" t="s">
        <v>77</v>
      </c>
      <c r="L19" s="5" t="s">
        <v>77</v>
      </c>
      <c r="M19" s="5" t="s">
        <v>77</v>
      </c>
      <c r="N19" s="5" t="s">
        <v>78</v>
      </c>
      <c r="O19" s="5"/>
      <c r="P19" s="5" t="s">
        <v>120</v>
      </c>
      <c r="Q19" s="5" t="s">
        <v>77</v>
      </c>
      <c r="R19" s="5" t="s">
        <v>121</v>
      </c>
      <c r="S19" s="9"/>
      <c r="T19" s="8"/>
      <c r="U19" s="5"/>
      <c r="V19" s="6" t="str">
        <f t="shared" si="0"/>
        <v>Заказ принят снабжением и логистикой</v>
      </c>
      <c r="W19" s="6" t="str">
        <f t="shared" si="1"/>
        <v>Приём заказа смежниками</v>
      </c>
      <c r="X19" s="6">
        <f>IF(AND(A19&lt;&gt;"",V19&lt;&gt;"Закрыто",OR(Продажи!$I$4="Все",D19=Продажи!$I$4),OR(Продажи!$O$4="Все",E19=Продажи!$O$4)),1,0)</f>
        <v>1</v>
      </c>
      <c r="Y19" s="6">
        <f>IF(A19="","",IF(AND(ISNUMBER(H19),H19&lt;Продажи!$D$4,W19&lt;&gt;"",V19&lt;&gt;"Закрыто"),1,0))</f>
        <v>0</v>
      </c>
      <c r="Z19" s="6">
        <f>IF(A19="","",IF(V19="Закрыто",0,IF(COUNTIFS(Действия!$B$7:$B$106,A19,Действия!$N$7:$N$106,1,Действия!$D$7:$D$106,"Продажи")=0,1,0)))</f>
        <v>1</v>
      </c>
      <c r="AA19" s="10" t="str">
        <f>IF(A19="","",IF(OR(S19="",T19=""),"Нет данных",IF(AND(S19&gt;0,T19&lt;INT(Продажи!$D$4)),S19,0)))</f>
        <v>Нет данных</v>
      </c>
      <c r="AB19" s="6" t="str">
        <f t="shared" si="2"/>
        <v>Передача / исполнение</v>
      </c>
      <c r="AC19" s="6">
        <f t="shared" si="3"/>
        <v>0</v>
      </c>
      <c r="AD19" s="9"/>
    </row>
    <row r="20" spans="1:30" ht="44" customHeight="1">
      <c r="A20" s="5" t="s">
        <v>122</v>
      </c>
      <c r="B20" s="5" t="s">
        <v>38</v>
      </c>
      <c r="C20" s="5" t="s">
        <v>123</v>
      </c>
      <c r="D20" s="5" t="s">
        <v>81</v>
      </c>
      <c r="E20" s="5" t="s">
        <v>76</v>
      </c>
      <c r="F20" s="5" t="s">
        <v>38</v>
      </c>
      <c r="G20" s="7">
        <v>46314</v>
      </c>
      <c r="H20" s="7">
        <v>46321.625</v>
      </c>
      <c r="I20" s="5" t="s">
        <v>77</v>
      </c>
      <c r="J20" s="5" t="s">
        <v>77</v>
      </c>
      <c r="K20" s="5" t="s">
        <v>77</v>
      </c>
      <c r="L20" s="5" t="s">
        <v>77</v>
      </c>
      <c r="M20" s="5" t="s">
        <v>77</v>
      </c>
      <c r="N20" s="5" t="s">
        <v>78</v>
      </c>
      <c r="O20" s="5"/>
      <c r="P20" s="5" t="s">
        <v>124</v>
      </c>
      <c r="Q20" s="5" t="s">
        <v>77</v>
      </c>
      <c r="R20" s="5" t="s">
        <v>125</v>
      </c>
      <c r="S20" s="9"/>
      <c r="T20" s="8"/>
      <c r="U20" s="5"/>
      <c r="V20" s="6" t="str">
        <f t="shared" si="0"/>
        <v>Согласованы изменения и сроки клиента</v>
      </c>
      <c r="W20" s="6" t="str">
        <f t="shared" si="1"/>
        <v>Согласованы изменения и сроки клиента</v>
      </c>
      <c r="X20" s="6">
        <f>IF(AND(A20&lt;&gt;"",V20&lt;&gt;"Закрыто",OR(Продажи!$I$4="Все",D20=Продажи!$I$4),OR(Продажи!$O$4="Все",E20=Продажи!$O$4)),1,0)</f>
        <v>1</v>
      </c>
      <c r="Y20" s="6">
        <f>IF(A20="","",IF(AND(ISNUMBER(H20),H20&lt;Продажи!$D$4,W20&lt;&gt;"",V20&lt;&gt;"Закрыто"),1,0))</f>
        <v>0</v>
      </c>
      <c r="Z20" s="6">
        <f>IF(A20="","",IF(V20="Закрыто",0,IF(COUNTIFS(Действия!$B$7:$B$106,A20,Действия!$N$7:$N$106,1,Действия!$D$7:$D$106,"Продажи")=0,1,0)))</f>
        <v>0</v>
      </c>
      <c r="AA20" s="10" t="str">
        <f>IF(A20="","",IF(OR(S20="",T20=""),"Нет данных",IF(AND(S20&gt;0,T20&lt;INT(Продажи!$D$4)),S20,0)))</f>
        <v>Нет данных</v>
      </c>
      <c r="AB20" s="6" t="str">
        <f t="shared" si="2"/>
        <v>Передача / исполнение</v>
      </c>
      <c r="AC20" s="6">
        <f t="shared" si="3"/>
        <v>0</v>
      </c>
      <c r="AD20" s="9"/>
    </row>
    <row r="21" spans="1:30" ht="44" customHeight="1">
      <c r="A21" s="5" t="s">
        <v>126</v>
      </c>
      <c r="B21" s="5" t="s">
        <v>38</v>
      </c>
      <c r="C21" s="5" t="s">
        <v>127</v>
      </c>
      <c r="D21" s="5" t="s">
        <v>95</v>
      </c>
      <c r="E21" s="5" t="s">
        <v>96</v>
      </c>
      <c r="F21" s="5" t="s">
        <v>128</v>
      </c>
      <c r="G21" s="7">
        <v>46317</v>
      </c>
      <c r="H21" s="7">
        <v>46322.708333333336</v>
      </c>
      <c r="I21" s="5" t="s">
        <v>77</v>
      </c>
      <c r="J21" s="5" t="s">
        <v>77</v>
      </c>
      <c r="K21" s="5" t="s">
        <v>77</v>
      </c>
      <c r="L21" s="5" t="s">
        <v>77</v>
      </c>
      <c r="M21" s="5" t="s">
        <v>77</v>
      </c>
      <c r="N21" s="5" t="s">
        <v>78</v>
      </c>
      <c r="O21" s="5"/>
      <c r="P21" s="5" t="s">
        <v>124</v>
      </c>
      <c r="Q21" s="5" t="s">
        <v>120</v>
      </c>
      <c r="R21" s="5" t="s">
        <v>129</v>
      </c>
      <c r="S21" s="9">
        <v>1850420.75</v>
      </c>
      <c r="T21" s="8">
        <v>46318</v>
      </c>
      <c r="U21" s="5"/>
      <c r="V21" s="6" t="str">
        <f t="shared" si="0"/>
        <v>Приёмка подтверждена и оплата поступила</v>
      </c>
      <c r="W21" s="6" t="str">
        <f t="shared" si="1"/>
        <v>Подтверждение приёмки; Оплата клиента</v>
      </c>
      <c r="X21" s="6">
        <f>IF(AND(A21&lt;&gt;"",V21&lt;&gt;"Закрыто",OR(Продажи!$I$4="Все",D21=Продажи!$I$4),OR(Продажи!$O$4="Все",E21=Продажи!$O$4)),1,0)</f>
        <v>1</v>
      </c>
      <c r="Y21" s="6">
        <f>IF(A21="","",IF(AND(ISNUMBER(H21),H21&lt;Продажи!$D$4,W21&lt;&gt;"",V21&lt;&gt;"Закрыто"),1,0))</f>
        <v>0</v>
      </c>
      <c r="Z21" s="6">
        <f>IF(A21="","",IF(V21="Закрыто",0,IF(COUNTIFS(Действия!$B$7:$B$106,A21,Действия!$N$7:$N$106,1,Действия!$D$7:$D$106,"Продажи")=0,1,0)))</f>
        <v>0</v>
      </c>
      <c r="AA21" s="10">
        <f>IF(A21="","",IF(OR(S21="",T21=""),"Нет данных",IF(AND(S21&gt;0,T21&lt;INT(Продажи!$D$4)),S21,0)))</f>
        <v>1850420.75</v>
      </c>
      <c r="AB21" s="6" t="str">
        <f t="shared" si="2"/>
        <v>Приёмка / оплата</v>
      </c>
      <c r="AC21" s="6">
        <f t="shared" si="3"/>
        <v>0</v>
      </c>
      <c r="AD21" s="9"/>
    </row>
    <row r="22" spans="1:30" ht="25" customHeight="1">
      <c r="A22" s="5"/>
      <c r="B22" s="5"/>
      <c r="C22" s="5"/>
      <c r="D22" s="5"/>
      <c r="E22" s="5"/>
      <c r="F22" s="5"/>
      <c r="G22" s="7"/>
      <c r="H22" s="7"/>
      <c r="I22" s="5"/>
      <c r="J22" s="5"/>
      <c r="K22" s="5"/>
      <c r="L22" s="5"/>
      <c r="M22" s="5"/>
      <c r="N22" s="5"/>
      <c r="O22" s="5"/>
      <c r="P22" s="5"/>
      <c r="Q22" s="5"/>
      <c r="R22" s="5"/>
      <c r="S22" s="9"/>
      <c r="T22" s="8"/>
      <c r="U22" s="5"/>
      <c r="V22" s="6" t="str">
        <f t="shared" si="0"/>
        <v/>
      </c>
      <c r="W22" s="6" t="str">
        <f t="shared" si="1"/>
        <v/>
      </c>
      <c r="X22" s="6">
        <f>IF(AND(A22&lt;&gt;"",V22&lt;&gt;"Закрыто",OR(Продажи!$I$4="Все",D22=Продажи!$I$4),OR(Продажи!$O$4="Все",E22=Продажи!$O$4)),1,0)</f>
        <v>0</v>
      </c>
      <c r="Y22" s="6" t="str">
        <f>IF(A22="","",IF(AND(ISNUMBER(H22),H22&lt;Продажи!$D$4,W22&lt;&gt;"",V22&lt;&gt;"Закрыто"),1,0))</f>
        <v/>
      </c>
      <c r="Z22" s="6" t="str">
        <f>IF(A22="","",IF(V22="Закрыто",0,IF(COUNTIFS(Действия!$B$7:$B$106,A22,Действия!$N$7:$N$106,1,Действия!$D$7:$D$106,"Продажи")=0,1,0)))</f>
        <v/>
      </c>
      <c r="AA22" s="10" t="str">
        <f>IF(A22="","",IF(OR(S22="",T22=""),"Нет данных",IF(AND(S22&gt;0,T22&lt;INT(Продажи!$D$4)),S22,0)))</f>
        <v/>
      </c>
      <c r="AB22" s="6" t="str">
        <f t="shared" si="2"/>
        <v/>
      </c>
      <c r="AC22" s="6">
        <f t="shared" si="3"/>
        <v>0</v>
      </c>
      <c r="AD22" s="9"/>
    </row>
    <row r="23" spans="1:30" ht="25" customHeight="1">
      <c r="A23" s="5"/>
      <c r="B23" s="5"/>
      <c r="C23" s="5"/>
      <c r="D23" s="5"/>
      <c r="E23" s="5"/>
      <c r="F23" s="5"/>
      <c r="G23" s="7"/>
      <c r="H23" s="7"/>
      <c r="I23" s="5"/>
      <c r="J23" s="5"/>
      <c r="K23" s="5"/>
      <c r="L23" s="5"/>
      <c r="M23" s="5"/>
      <c r="N23" s="5"/>
      <c r="O23" s="5"/>
      <c r="P23" s="5"/>
      <c r="Q23" s="5"/>
      <c r="R23" s="5"/>
      <c r="S23" s="9"/>
      <c r="T23" s="8"/>
      <c r="U23" s="5"/>
      <c r="V23" s="6" t="str">
        <f t="shared" si="0"/>
        <v/>
      </c>
      <c r="W23" s="6" t="str">
        <f t="shared" si="1"/>
        <v/>
      </c>
      <c r="X23" s="6">
        <f>IF(AND(A23&lt;&gt;"",V23&lt;&gt;"Закрыто",OR(Продажи!$I$4="Все",D23=Продажи!$I$4),OR(Продажи!$O$4="Все",E23=Продажи!$O$4)),1,0)</f>
        <v>0</v>
      </c>
      <c r="Y23" s="6" t="str">
        <f>IF(A23="","",IF(AND(ISNUMBER(H23),H23&lt;Продажи!$D$4,W23&lt;&gt;"",V23&lt;&gt;"Закрыто"),1,0))</f>
        <v/>
      </c>
      <c r="Z23" s="6" t="str">
        <f>IF(A23="","",IF(V23="Закрыто",0,IF(COUNTIFS(Действия!$B$7:$B$106,A23,Действия!$N$7:$N$106,1,Действия!$D$7:$D$106,"Продажи")=0,1,0)))</f>
        <v/>
      </c>
      <c r="AA23" s="10" t="str">
        <f>IF(A23="","",IF(OR(S23="",T23=""),"Нет данных",IF(AND(S23&gt;0,T23&lt;INT(Продажи!$D$4)),S23,0)))</f>
        <v/>
      </c>
      <c r="AB23" s="6" t="str">
        <f t="shared" si="2"/>
        <v/>
      </c>
      <c r="AC23" s="6">
        <f t="shared" si="3"/>
        <v>0</v>
      </c>
      <c r="AD23" s="9"/>
    </row>
    <row r="24" spans="1:30" ht="25" customHeight="1">
      <c r="A24" s="5"/>
      <c r="B24" s="5"/>
      <c r="C24" s="5"/>
      <c r="D24" s="5"/>
      <c r="E24" s="5"/>
      <c r="F24" s="5"/>
      <c r="G24" s="7"/>
      <c r="H24" s="7"/>
      <c r="I24" s="5"/>
      <c r="J24" s="5"/>
      <c r="K24" s="5"/>
      <c r="L24" s="5"/>
      <c r="M24" s="5"/>
      <c r="N24" s="5"/>
      <c r="O24" s="5"/>
      <c r="P24" s="5"/>
      <c r="Q24" s="5"/>
      <c r="R24" s="5"/>
      <c r="S24" s="9"/>
      <c r="T24" s="8"/>
      <c r="U24" s="5"/>
      <c r="V24" s="6" t="str">
        <f t="shared" si="0"/>
        <v/>
      </c>
      <c r="W24" s="6" t="str">
        <f t="shared" si="1"/>
        <v/>
      </c>
      <c r="X24" s="6">
        <f>IF(AND(A24&lt;&gt;"",V24&lt;&gt;"Закрыто",OR(Продажи!$I$4="Все",D24=Продажи!$I$4),OR(Продажи!$O$4="Все",E24=Продажи!$O$4)),1,0)</f>
        <v>0</v>
      </c>
      <c r="Y24" s="6" t="str">
        <f>IF(A24="","",IF(AND(ISNUMBER(H24),H24&lt;Продажи!$D$4,W24&lt;&gt;"",V24&lt;&gt;"Закрыто"),1,0))</f>
        <v/>
      </c>
      <c r="Z24" s="6" t="str">
        <f>IF(A24="","",IF(V24="Закрыто",0,IF(COUNTIFS(Действия!$B$7:$B$106,A24,Действия!$N$7:$N$106,1,Действия!$D$7:$D$106,"Продажи")=0,1,0)))</f>
        <v/>
      </c>
      <c r="AA24" s="10" t="str">
        <f>IF(A24="","",IF(OR(S24="",T24=""),"Нет данных",IF(AND(S24&gt;0,T24&lt;INT(Продажи!$D$4)),S24,0)))</f>
        <v/>
      </c>
      <c r="AB24" s="6" t="str">
        <f t="shared" si="2"/>
        <v/>
      </c>
      <c r="AC24" s="6">
        <f t="shared" si="3"/>
        <v>0</v>
      </c>
      <c r="AD24" s="9"/>
    </row>
    <row r="25" spans="1:30" ht="25" customHeight="1">
      <c r="A25" s="5"/>
      <c r="B25" s="5"/>
      <c r="C25" s="5"/>
      <c r="D25" s="5"/>
      <c r="E25" s="5"/>
      <c r="F25" s="5"/>
      <c r="G25" s="7"/>
      <c r="H25" s="7"/>
      <c r="I25" s="5"/>
      <c r="J25" s="5"/>
      <c r="K25" s="5"/>
      <c r="L25" s="5"/>
      <c r="M25" s="5"/>
      <c r="N25" s="5"/>
      <c r="O25" s="5"/>
      <c r="P25" s="5"/>
      <c r="Q25" s="5"/>
      <c r="R25" s="5"/>
      <c r="S25" s="9"/>
      <c r="T25" s="8"/>
      <c r="U25" s="5"/>
      <c r="V25" s="6" t="str">
        <f t="shared" si="0"/>
        <v/>
      </c>
      <c r="W25" s="6" t="str">
        <f t="shared" si="1"/>
        <v/>
      </c>
      <c r="X25" s="6">
        <f>IF(AND(A25&lt;&gt;"",V25&lt;&gt;"Закрыто",OR(Продажи!$I$4="Все",D25=Продажи!$I$4),OR(Продажи!$O$4="Все",E25=Продажи!$O$4)),1,0)</f>
        <v>0</v>
      </c>
      <c r="Y25" s="6" t="str">
        <f>IF(A25="","",IF(AND(ISNUMBER(H25),H25&lt;Продажи!$D$4,W25&lt;&gt;"",V25&lt;&gt;"Закрыто"),1,0))</f>
        <v/>
      </c>
      <c r="Z25" s="6" t="str">
        <f>IF(A25="","",IF(V25="Закрыто",0,IF(COUNTIFS(Действия!$B$7:$B$106,A25,Действия!$N$7:$N$106,1,Действия!$D$7:$D$106,"Продажи")=0,1,0)))</f>
        <v/>
      </c>
      <c r="AA25" s="10" t="str">
        <f>IF(A25="","",IF(OR(S25="",T25=""),"Нет данных",IF(AND(S25&gt;0,T25&lt;INT(Продажи!$D$4)),S25,0)))</f>
        <v/>
      </c>
      <c r="AB25" s="6" t="str">
        <f t="shared" si="2"/>
        <v/>
      </c>
      <c r="AC25" s="6">
        <f t="shared" si="3"/>
        <v>0</v>
      </c>
      <c r="AD25" s="9"/>
    </row>
    <row r="26" spans="1:30" ht="25" customHeight="1">
      <c r="A26" s="5"/>
      <c r="B26" s="5"/>
      <c r="C26" s="5"/>
      <c r="D26" s="5"/>
      <c r="E26" s="5"/>
      <c r="F26" s="5"/>
      <c r="G26" s="7"/>
      <c r="H26" s="7"/>
      <c r="I26" s="5"/>
      <c r="J26" s="5"/>
      <c r="K26" s="5"/>
      <c r="L26" s="5"/>
      <c r="M26" s="5"/>
      <c r="N26" s="5"/>
      <c r="O26" s="5"/>
      <c r="P26" s="5"/>
      <c r="Q26" s="5"/>
      <c r="R26" s="5"/>
      <c r="S26" s="9"/>
      <c r="T26" s="8"/>
      <c r="U26" s="5"/>
      <c r="V26" s="6" t="str">
        <f t="shared" si="0"/>
        <v/>
      </c>
      <c r="W26" s="6" t="str">
        <f t="shared" si="1"/>
        <v/>
      </c>
      <c r="X26" s="6">
        <f>IF(AND(A26&lt;&gt;"",V26&lt;&gt;"Закрыто",OR(Продажи!$I$4="Все",D26=Продажи!$I$4),OR(Продажи!$O$4="Все",E26=Продажи!$O$4)),1,0)</f>
        <v>0</v>
      </c>
      <c r="Y26" s="6" t="str">
        <f>IF(A26="","",IF(AND(ISNUMBER(H26),H26&lt;Продажи!$D$4,W26&lt;&gt;"",V26&lt;&gt;"Закрыто"),1,0))</f>
        <v/>
      </c>
      <c r="Z26" s="6" t="str">
        <f>IF(A26="","",IF(V26="Закрыто",0,IF(COUNTIFS(Действия!$B$7:$B$106,A26,Действия!$N$7:$N$106,1,Действия!$D$7:$D$106,"Продажи")=0,1,0)))</f>
        <v/>
      </c>
      <c r="AA26" s="10" t="str">
        <f>IF(A26="","",IF(OR(S26="",T26=""),"Нет данных",IF(AND(S26&gt;0,T26&lt;INT(Продажи!$D$4)),S26,0)))</f>
        <v/>
      </c>
      <c r="AB26" s="6" t="str">
        <f t="shared" si="2"/>
        <v/>
      </c>
      <c r="AC26" s="6">
        <f t="shared" si="3"/>
        <v>0</v>
      </c>
      <c r="AD26" s="9"/>
    </row>
    <row r="27" spans="1:30" ht="25" customHeight="1">
      <c r="A27" s="5"/>
      <c r="B27" s="5"/>
      <c r="C27" s="5"/>
      <c r="D27" s="5"/>
      <c r="E27" s="5"/>
      <c r="F27" s="5"/>
      <c r="G27" s="7"/>
      <c r="H27" s="7"/>
      <c r="I27" s="5"/>
      <c r="J27" s="5"/>
      <c r="K27" s="5"/>
      <c r="L27" s="5"/>
      <c r="M27" s="5"/>
      <c r="N27" s="5"/>
      <c r="O27" s="5"/>
      <c r="P27" s="5"/>
      <c r="Q27" s="5"/>
      <c r="R27" s="5"/>
      <c r="S27" s="9"/>
      <c r="T27" s="8"/>
      <c r="U27" s="5"/>
      <c r="V27" s="6" t="str">
        <f t="shared" si="0"/>
        <v/>
      </c>
      <c r="W27" s="6" t="str">
        <f t="shared" si="1"/>
        <v/>
      </c>
      <c r="X27" s="6">
        <f>IF(AND(A27&lt;&gt;"",V27&lt;&gt;"Закрыто",OR(Продажи!$I$4="Все",D27=Продажи!$I$4),OR(Продажи!$O$4="Все",E27=Продажи!$O$4)),1,0)</f>
        <v>0</v>
      </c>
      <c r="Y27" s="6" t="str">
        <f>IF(A27="","",IF(AND(ISNUMBER(H27),H27&lt;Продажи!$D$4,W27&lt;&gt;"",V27&lt;&gt;"Закрыто"),1,0))</f>
        <v/>
      </c>
      <c r="Z27" s="6" t="str">
        <f>IF(A27="","",IF(V27="Закрыто",0,IF(COUNTIFS(Действия!$B$7:$B$106,A27,Действия!$N$7:$N$106,1,Действия!$D$7:$D$106,"Продажи")=0,1,0)))</f>
        <v/>
      </c>
      <c r="AA27" s="10" t="str">
        <f>IF(A27="","",IF(OR(S27="",T27=""),"Нет данных",IF(AND(S27&gt;0,T27&lt;INT(Продажи!$D$4)),S27,0)))</f>
        <v/>
      </c>
      <c r="AB27" s="6" t="str">
        <f t="shared" si="2"/>
        <v/>
      </c>
      <c r="AC27" s="6">
        <f t="shared" si="3"/>
        <v>0</v>
      </c>
      <c r="AD27" s="9"/>
    </row>
    <row r="28" spans="1:30" ht="25" customHeight="1">
      <c r="A28" s="5"/>
      <c r="B28" s="5"/>
      <c r="C28" s="5"/>
      <c r="D28" s="5"/>
      <c r="E28" s="5"/>
      <c r="F28" s="5"/>
      <c r="G28" s="7"/>
      <c r="H28" s="7"/>
      <c r="I28" s="5"/>
      <c r="J28" s="5"/>
      <c r="K28" s="5"/>
      <c r="L28" s="5"/>
      <c r="M28" s="5"/>
      <c r="N28" s="5"/>
      <c r="O28" s="5"/>
      <c r="P28" s="5"/>
      <c r="Q28" s="5"/>
      <c r="R28" s="5"/>
      <c r="S28" s="9"/>
      <c r="T28" s="8"/>
      <c r="U28" s="5"/>
      <c r="V28" s="6" t="str">
        <f t="shared" si="0"/>
        <v/>
      </c>
      <c r="W28" s="6" t="str">
        <f t="shared" si="1"/>
        <v/>
      </c>
      <c r="X28" s="6">
        <f>IF(AND(A28&lt;&gt;"",V28&lt;&gt;"Закрыто",OR(Продажи!$I$4="Все",D28=Продажи!$I$4),OR(Продажи!$O$4="Все",E28=Продажи!$O$4)),1,0)</f>
        <v>0</v>
      </c>
      <c r="Y28" s="6" t="str">
        <f>IF(A28="","",IF(AND(ISNUMBER(H28),H28&lt;Продажи!$D$4,W28&lt;&gt;"",V28&lt;&gt;"Закрыто"),1,0))</f>
        <v/>
      </c>
      <c r="Z28" s="6" t="str">
        <f>IF(A28="","",IF(V28="Закрыто",0,IF(COUNTIFS(Действия!$B$7:$B$106,A28,Действия!$N$7:$N$106,1,Действия!$D$7:$D$106,"Продажи")=0,1,0)))</f>
        <v/>
      </c>
      <c r="AA28" s="10" t="str">
        <f>IF(A28="","",IF(OR(S28="",T28=""),"Нет данных",IF(AND(S28&gt;0,T28&lt;INT(Продажи!$D$4)),S28,0)))</f>
        <v/>
      </c>
      <c r="AB28" s="6" t="str">
        <f t="shared" si="2"/>
        <v/>
      </c>
      <c r="AC28" s="6">
        <f t="shared" si="3"/>
        <v>0</v>
      </c>
      <c r="AD28" s="9"/>
    </row>
    <row r="29" spans="1:30" ht="25" customHeight="1">
      <c r="A29" s="5"/>
      <c r="B29" s="5"/>
      <c r="C29" s="5"/>
      <c r="D29" s="5"/>
      <c r="E29" s="5"/>
      <c r="F29" s="5"/>
      <c r="G29" s="7"/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9"/>
      <c r="T29" s="8"/>
      <c r="U29" s="5"/>
      <c r="V29" s="6" t="str">
        <f t="shared" si="0"/>
        <v/>
      </c>
      <c r="W29" s="6" t="str">
        <f t="shared" si="1"/>
        <v/>
      </c>
      <c r="X29" s="6">
        <f>IF(AND(A29&lt;&gt;"",V29&lt;&gt;"Закрыто",OR(Продажи!$I$4="Все",D29=Продажи!$I$4),OR(Продажи!$O$4="Все",E29=Продажи!$O$4)),1,0)</f>
        <v>0</v>
      </c>
      <c r="Y29" s="6" t="str">
        <f>IF(A29="","",IF(AND(ISNUMBER(H29),H29&lt;Продажи!$D$4,W29&lt;&gt;"",V29&lt;&gt;"Закрыто"),1,0))</f>
        <v/>
      </c>
      <c r="Z29" s="6" t="str">
        <f>IF(A29="","",IF(V29="Закрыто",0,IF(COUNTIFS(Действия!$B$7:$B$106,A29,Действия!$N$7:$N$106,1,Действия!$D$7:$D$106,"Продажи")=0,1,0)))</f>
        <v/>
      </c>
      <c r="AA29" s="10" t="str">
        <f>IF(A29="","",IF(OR(S29="",T29=""),"Нет данных",IF(AND(S29&gt;0,T29&lt;INT(Продажи!$D$4)),S29,0)))</f>
        <v/>
      </c>
      <c r="AB29" s="6" t="str">
        <f t="shared" si="2"/>
        <v/>
      </c>
      <c r="AC29" s="6">
        <f t="shared" si="3"/>
        <v>0</v>
      </c>
      <c r="AD29" s="9"/>
    </row>
    <row r="30" spans="1:30" ht="25" customHeight="1">
      <c r="A30" s="5"/>
      <c r="B30" s="5"/>
      <c r="C30" s="5"/>
      <c r="D30" s="5"/>
      <c r="E30" s="5"/>
      <c r="F30" s="5"/>
      <c r="G30" s="7"/>
      <c r="H30" s="7"/>
      <c r="I30" s="5"/>
      <c r="J30" s="5"/>
      <c r="K30" s="5"/>
      <c r="L30" s="5"/>
      <c r="M30" s="5"/>
      <c r="N30" s="5"/>
      <c r="O30" s="5"/>
      <c r="P30" s="5"/>
      <c r="Q30" s="5"/>
      <c r="R30" s="5"/>
      <c r="S30" s="9"/>
      <c r="T30" s="8"/>
      <c r="U30" s="5"/>
      <c r="V30" s="6" t="str">
        <f t="shared" si="0"/>
        <v/>
      </c>
      <c r="W30" s="6" t="str">
        <f t="shared" si="1"/>
        <v/>
      </c>
      <c r="X30" s="6">
        <f>IF(AND(A30&lt;&gt;"",V30&lt;&gt;"Закрыто",OR(Продажи!$I$4="Все",D30=Продажи!$I$4),OR(Продажи!$O$4="Все",E30=Продажи!$O$4)),1,0)</f>
        <v>0</v>
      </c>
      <c r="Y30" s="6" t="str">
        <f>IF(A30="","",IF(AND(ISNUMBER(H30),H30&lt;Продажи!$D$4,W30&lt;&gt;"",V30&lt;&gt;"Закрыто"),1,0))</f>
        <v/>
      </c>
      <c r="Z30" s="6" t="str">
        <f>IF(A30="","",IF(V30="Закрыто",0,IF(COUNTIFS(Действия!$B$7:$B$106,A30,Действия!$N$7:$N$106,1,Действия!$D$7:$D$106,"Продажи")=0,1,0)))</f>
        <v/>
      </c>
      <c r="AA30" s="10" t="str">
        <f>IF(A30="","",IF(OR(S30="",T30=""),"Нет данных",IF(AND(S30&gt;0,T30&lt;INT(Продажи!$D$4)),S30,0)))</f>
        <v/>
      </c>
      <c r="AB30" s="6" t="str">
        <f t="shared" si="2"/>
        <v/>
      </c>
      <c r="AC30" s="6">
        <f t="shared" si="3"/>
        <v>0</v>
      </c>
      <c r="AD30" s="9"/>
    </row>
    <row r="31" spans="1:30" ht="25" customHeight="1">
      <c r="A31" s="5"/>
      <c r="B31" s="5"/>
      <c r="C31" s="5"/>
      <c r="D31" s="5"/>
      <c r="E31" s="5"/>
      <c r="F31" s="5"/>
      <c r="G31" s="7"/>
      <c r="H31" s="7"/>
      <c r="I31" s="5"/>
      <c r="J31" s="5"/>
      <c r="K31" s="5"/>
      <c r="L31" s="5"/>
      <c r="M31" s="5"/>
      <c r="N31" s="5"/>
      <c r="O31" s="5"/>
      <c r="P31" s="5"/>
      <c r="Q31" s="5"/>
      <c r="R31" s="5"/>
      <c r="S31" s="9"/>
      <c r="T31" s="8"/>
      <c r="U31" s="5"/>
      <c r="V31" s="6" t="str">
        <f t="shared" si="0"/>
        <v/>
      </c>
      <c r="W31" s="6" t="str">
        <f t="shared" si="1"/>
        <v/>
      </c>
      <c r="X31" s="6">
        <f>IF(AND(A31&lt;&gt;"",V31&lt;&gt;"Закрыто",OR(Продажи!$I$4="Все",D31=Продажи!$I$4),OR(Продажи!$O$4="Все",E31=Продажи!$O$4)),1,0)</f>
        <v>0</v>
      </c>
      <c r="Y31" s="6" t="str">
        <f>IF(A31="","",IF(AND(ISNUMBER(H31),H31&lt;Продажи!$D$4,W31&lt;&gt;"",V31&lt;&gt;"Закрыто"),1,0))</f>
        <v/>
      </c>
      <c r="Z31" s="6" t="str">
        <f>IF(A31="","",IF(V31="Закрыто",0,IF(COUNTIFS(Действия!$B$7:$B$106,A31,Действия!$N$7:$N$106,1,Действия!$D$7:$D$106,"Продажи")=0,1,0)))</f>
        <v/>
      </c>
      <c r="AA31" s="10" t="str">
        <f>IF(A31="","",IF(OR(S31="",T31=""),"Нет данных",IF(AND(S31&gt;0,T31&lt;INT(Продажи!$D$4)),S31,0)))</f>
        <v/>
      </c>
      <c r="AB31" s="6" t="str">
        <f t="shared" si="2"/>
        <v/>
      </c>
      <c r="AC31" s="6">
        <f t="shared" si="3"/>
        <v>0</v>
      </c>
      <c r="AD31" s="9"/>
    </row>
    <row r="32" spans="1:30" ht="25" customHeight="1">
      <c r="A32" s="5"/>
      <c r="B32" s="5"/>
      <c r="C32" s="5"/>
      <c r="D32" s="5"/>
      <c r="E32" s="5"/>
      <c r="F32" s="5"/>
      <c r="G32" s="7"/>
      <c r="H32" s="7"/>
      <c r="I32" s="5"/>
      <c r="J32" s="5"/>
      <c r="K32" s="5"/>
      <c r="L32" s="5"/>
      <c r="M32" s="5"/>
      <c r="N32" s="5"/>
      <c r="O32" s="5"/>
      <c r="P32" s="5"/>
      <c r="Q32" s="5"/>
      <c r="R32" s="5"/>
      <c r="S32" s="9"/>
      <c r="T32" s="8"/>
      <c r="U32" s="5"/>
      <c r="V32" s="6" t="str">
        <f t="shared" si="0"/>
        <v/>
      </c>
      <c r="W32" s="6" t="str">
        <f t="shared" si="1"/>
        <v/>
      </c>
      <c r="X32" s="6">
        <f>IF(AND(A32&lt;&gt;"",V32&lt;&gt;"Закрыто",OR(Продажи!$I$4="Все",D32=Продажи!$I$4),OR(Продажи!$O$4="Все",E32=Продажи!$O$4)),1,0)</f>
        <v>0</v>
      </c>
      <c r="Y32" s="6" t="str">
        <f>IF(A32="","",IF(AND(ISNUMBER(H32),H32&lt;Продажи!$D$4,W32&lt;&gt;"",V32&lt;&gt;"Закрыто"),1,0))</f>
        <v/>
      </c>
      <c r="Z32" s="6" t="str">
        <f>IF(A32="","",IF(V32="Закрыто",0,IF(COUNTIFS(Действия!$B$7:$B$106,A32,Действия!$N$7:$N$106,1,Действия!$D$7:$D$106,"Продажи")=0,1,0)))</f>
        <v/>
      </c>
      <c r="AA32" s="10" t="str">
        <f>IF(A32="","",IF(OR(S32="",T32=""),"Нет данных",IF(AND(S32&gt;0,T32&lt;INT(Продажи!$D$4)),S32,0)))</f>
        <v/>
      </c>
      <c r="AB32" s="6" t="str">
        <f t="shared" si="2"/>
        <v/>
      </c>
      <c r="AC32" s="6">
        <f t="shared" si="3"/>
        <v>0</v>
      </c>
      <c r="AD32" s="9"/>
    </row>
    <row r="33" spans="1:30" ht="25" customHeight="1">
      <c r="A33" s="5"/>
      <c r="B33" s="5"/>
      <c r="C33" s="5"/>
      <c r="D33" s="5"/>
      <c r="E33" s="5"/>
      <c r="F33" s="5"/>
      <c r="G33" s="7"/>
      <c r="H33" s="7"/>
      <c r="I33" s="5"/>
      <c r="J33" s="5"/>
      <c r="K33" s="5"/>
      <c r="L33" s="5"/>
      <c r="M33" s="5"/>
      <c r="N33" s="5"/>
      <c r="O33" s="5"/>
      <c r="P33" s="5"/>
      <c r="Q33" s="5"/>
      <c r="R33" s="5"/>
      <c r="S33" s="9"/>
      <c r="T33" s="8"/>
      <c r="U33" s="5"/>
      <c r="V33" s="6" t="str">
        <f t="shared" si="0"/>
        <v/>
      </c>
      <c r="W33" s="6" t="str">
        <f t="shared" si="1"/>
        <v/>
      </c>
      <c r="X33" s="6">
        <f>IF(AND(A33&lt;&gt;"",V33&lt;&gt;"Закрыто",OR(Продажи!$I$4="Все",D33=Продажи!$I$4),OR(Продажи!$O$4="Все",E33=Продажи!$O$4)),1,0)</f>
        <v>0</v>
      </c>
      <c r="Y33" s="6" t="str">
        <f>IF(A33="","",IF(AND(ISNUMBER(H33),H33&lt;Продажи!$D$4,W33&lt;&gt;"",V33&lt;&gt;"Закрыто"),1,0))</f>
        <v/>
      </c>
      <c r="Z33" s="6" t="str">
        <f>IF(A33="","",IF(V33="Закрыто",0,IF(COUNTIFS(Действия!$B$7:$B$106,A33,Действия!$N$7:$N$106,1,Действия!$D$7:$D$106,"Продажи")=0,1,0)))</f>
        <v/>
      </c>
      <c r="AA33" s="10" t="str">
        <f>IF(A33="","",IF(OR(S33="",T33=""),"Нет данных",IF(AND(S33&gt;0,T33&lt;INT(Продажи!$D$4)),S33,0)))</f>
        <v/>
      </c>
      <c r="AB33" s="6" t="str">
        <f t="shared" si="2"/>
        <v/>
      </c>
      <c r="AC33" s="6">
        <f t="shared" si="3"/>
        <v>0</v>
      </c>
      <c r="AD33" s="9"/>
    </row>
    <row r="34" spans="1:30" ht="25" customHeight="1">
      <c r="A34" s="5"/>
      <c r="B34" s="5"/>
      <c r="C34" s="5"/>
      <c r="D34" s="5"/>
      <c r="E34" s="5"/>
      <c r="F34" s="5"/>
      <c r="G34" s="7"/>
      <c r="H34" s="7"/>
      <c r="I34" s="5"/>
      <c r="J34" s="5"/>
      <c r="K34" s="5"/>
      <c r="L34" s="5"/>
      <c r="M34" s="5"/>
      <c r="N34" s="5"/>
      <c r="O34" s="5"/>
      <c r="P34" s="5"/>
      <c r="Q34" s="5"/>
      <c r="R34" s="5"/>
      <c r="S34" s="9"/>
      <c r="T34" s="8"/>
      <c r="U34" s="5"/>
      <c r="V34" s="6" t="str">
        <f t="shared" si="0"/>
        <v/>
      </c>
      <c r="W34" s="6" t="str">
        <f t="shared" si="1"/>
        <v/>
      </c>
      <c r="X34" s="6">
        <f>IF(AND(A34&lt;&gt;"",V34&lt;&gt;"Закрыто",OR(Продажи!$I$4="Все",D34=Продажи!$I$4),OR(Продажи!$O$4="Все",E34=Продажи!$O$4)),1,0)</f>
        <v>0</v>
      </c>
      <c r="Y34" s="6" t="str">
        <f>IF(A34="","",IF(AND(ISNUMBER(H34),H34&lt;Продажи!$D$4,W34&lt;&gt;"",V34&lt;&gt;"Закрыто"),1,0))</f>
        <v/>
      </c>
      <c r="Z34" s="6" t="str">
        <f>IF(A34="","",IF(V34="Закрыто",0,IF(COUNTIFS(Действия!$B$7:$B$106,A34,Действия!$N$7:$N$106,1,Действия!$D$7:$D$106,"Продажи")=0,1,0)))</f>
        <v/>
      </c>
      <c r="AA34" s="10" t="str">
        <f>IF(A34="","",IF(OR(S34="",T34=""),"Нет данных",IF(AND(S34&gt;0,T34&lt;INT(Продажи!$D$4)),S34,0)))</f>
        <v/>
      </c>
      <c r="AB34" s="6" t="str">
        <f t="shared" si="2"/>
        <v/>
      </c>
      <c r="AC34" s="6">
        <f t="shared" si="3"/>
        <v>0</v>
      </c>
      <c r="AD34" s="9"/>
    </row>
    <row r="35" spans="1:30" ht="25" customHeight="1">
      <c r="A35" s="5"/>
      <c r="B35" s="5"/>
      <c r="C35" s="5"/>
      <c r="D35" s="5"/>
      <c r="E35" s="5"/>
      <c r="F35" s="5"/>
      <c r="G35" s="7"/>
      <c r="H35" s="7"/>
      <c r="I35" s="5"/>
      <c r="J35" s="5"/>
      <c r="K35" s="5"/>
      <c r="L35" s="5"/>
      <c r="M35" s="5"/>
      <c r="N35" s="5"/>
      <c r="O35" s="5"/>
      <c r="P35" s="5"/>
      <c r="Q35" s="5"/>
      <c r="R35" s="5"/>
      <c r="S35" s="9"/>
      <c r="T35" s="8"/>
      <c r="U35" s="5"/>
      <c r="V35" s="6" t="str">
        <f t="shared" si="0"/>
        <v/>
      </c>
      <c r="W35" s="6" t="str">
        <f t="shared" si="1"/>
        <v/>
      </c>
      <c r="X35" s="6">
        <f>IF(AND(A35&lt;&gt;"",V35&lt;&gt;"Закрыто",OR(Продажи!$I$4="Все",D35=Продажи!$I$4),OR(Продажи!$O$4="Все",E35=Продажи!$O$4)),1,0)</f>
        <v>0</v>
      </c>
      <c r="Y35" s="6" t="str">
        <f>IF(A35="","",IF(AND(ISNUMBER(H35),H35&lt;Продажи!$D$4,W35&lt;&gt;"",V35&lt;&gt;"Закрыто"),1,0))</f>
        <v/>
      </c>
      <c r="Z35" s="6" t="str">
        <f>IF(A35="","",IF(V35="Закрыто",0,IF(COUNTIFS(Действия!$B$7:$B$106,A35,Действия!$N$7:$N$106,1,Действия!$D$7:$D$106,"Продажи")=0,1,0)))</f>
        <v/>
      </c>
      <c r="AA35" s="10" t="str">
        <f>IF(A35="","",IF(OR(S35="",T35=""),"Нет данных",IF(AND(S35&gt;0,T35&lt;INT(Продажи!$D$4)),S35,0)))</f>
        <v/>
      </c>
      <c r="AB35" s="6" t="str">
        <f t="shared" si="2"/>
        <v/>
      </c>
      <c r="AC35" s="6">
        <f t="shared" si="3"/>
        <v>0</v>
      </c>
      <c r="AD35" s="9"/>
    </row>
    <row r="36" spans="1:30" ht="25" customHeight="1">
      <c r="A36" s="5"/>
      <c r="B36" s="5"/>
      <c r="C36" s="5"/>
      <c r="D36" s="5"/>
      <c r="E36" s="5"/>
      <c r="F36" s="5"/>
      <c r="G36" s="7"/>
      <c r="H36" s="7"/>
      <c r="I36" s="5"/>
      <c r="J36" s="5"/>
      <c r="K36" s="5"/>
      <c r="L36" s="5"/>
      <c r="M36" s="5"/>
      <c r="N36" s="5"/>
      <c r="O36" s="5"/>
      <c r="P36" s="5"/>
      <c r="Q36" s="5"/>
      <c r="R36" s="5"/>
      <c r="S36" s="9"/>
      <c r="T36" s="8"/>
      <c r="U36" s="5"/>
      <c r="V36" s="6" t="str">
        <f t="shared" si="0"/>
        <v/>
      </c>
      <c r="W36" s="6" t="str">
        <f t="shared" si="1"/>
        <v/>
      </c>
      <c r="X36" s="6">
        <f>IF(AND(A36&lt;&gt;"",V36&lt;&gt;"Закрыто",OR(Продажи!$I$4="Все",D36=Продажи!$I$4),OR(Продажи!$O$4="Все",E36=Продажи!$O$4)),1,0)</f>
        <v>0</v>
      </c>
      <c r="Y36" s="6" t="str">
        <f>IF(A36="","",IF(AND(ISNUMBER(H36),H36&lt;Продажи!$D$4,W36&lt;&gt;"",V36&lt;&gt;"Закрыто"),1,0))</f>
        <v/>
      </c>
      <c r="Z36" s="6" t="str">
        <f>IF(A36="","",IF(V36="Закрыто",0,IF(COUNTIFS(Действия!$B$7:$B$106,A36,Действия!$N$7:$N$106,1,Действия!$D$7:$D$106,"Продажи")=0,1,0)))</f>
        <v/>
      </c>
      <c r="AA36" s="10" t="str">
        <f>IF(A36="","",IF(OR(S36="",T36=""),"Нет данных",IF(AND(S36&gt;0,T36&lt;INT(Продажи!$D$4)),S36,0)))</f>
        <v/>
      </c>
      <c r="AB36" s="6" t="str">
        <f t="shared" si="2"/>
        <v/>
      </c>
      <c r="AC36" s="6">
        <f t="shared" si="3"/>
        <v>0</v>
      </c>
      <c r="AD36" s="9"/>
    </row>
    <row r="37" spans="1:30" ht="25" customHeight="1">
      <c r="A37" s="5"/>
      <c r="B37" s="5"/>
      <c r="C37" s="5"/>
      <c r="D37" s="5"/>
      <c r="E37" s="5"/>
      <c r="F37" s="5"/>
      <c r="G37" s="7"/>
      <c r="H37" s="7"/>
      <c r="I37" s="5"/>
      <c r="J37" s="5"/>
      <c r="K37" s="5"/>
      <c r="L37" s="5"/>
      <c r="M37" s="5"/>
      <c r="N37" s="5"/>
      <c r="O37" s="5"/>
      <c r="P37" s="5"/>
      <c r="Q37" s="5"/>
      <c r="R37" s="5"/>
      <c r="S37" s="9"/>
      <c r="T37" s="8"/>
      <c r="U37" s="5"/>
      <c r="V37" s="6" t="str">
        <f t="shared" si="0"/>
        <v/>
      </c>
      <c r="W37" s="6" t="str">
        <f t="shared" si="1"/>
        <v/>
      </c>
      <c r="X37" s="6">
        <f>IF(AND(A37&lt;&gt;"",V37&lt;&gt;"Закрыто",OR(Продажи!$I$4="Все",D37=Продажи!$I$4),OR(Продажи!$O$4="Все",E37=Продажи!$O$4)),1,0)</f>
        <v>0</v>
      </c>
      <c r="Y37" s="6" t="str">
        <f>IF(A37="","",IF(AND(ISNUMBER(H37),H37&lt;Продажи!$D$4,W37&lt;&gt;"",V37&lt;&gt;"Закрыто"),1,0))</f>
        <v/>
      </c>
      <c r="Z37" s="6" t="str">
        <f>IF(A37="","",IF(V37="Закрыто",0,IF(COUNTIFS(Действия!$B$7:$B$106,A37,Действия!$N$7:$N$106,1,Действия!$D$7:$D$106,"Продажи")=0,1,0)))</f>
        <v/>
      </c>
      <c r="AA37" s="10" t="str">
        <f>IF(A37="","",IF(OR(S37="",T37=""),"Нет данных",IF(AND(S37&gt;0,T37&lt;INT(Продажи!$D$4)),S37,0)))</f>
        <v/>
      </c>
      <c r="AB37" s="6" t="str">
        <f t="shared" si="2"/>
        <v/>
      </c>
      <c r="AC37" s="6">
        <f t="shared" si="3"/>
        <v>0</v>
      </c>
      <c r="AD37" s="9"/>
    </row>
    <row r="38" spans="1:30" ht="25" customHeight="1">
      <c r="A38" s="5"/>
      <c r="B38" s="5"/>
      <c r="C38" s="5"/>
      <c r="D38" s="5"/>
      <c r="E38" s="5"/>
      <c r="F38" s="5"/>
      <c r="G38" s="7"/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9"/>
      <c r="T38" s="8"/>
      <c r="U38" s="5"/>
      <c r="V38" s="6" t="str">
        <f t="shared" si="0"/>
        <v/>
      </c>
      <c r="W38" s="6" t="str">
        <f t="shared" si="1"/>
        <v/>
      </c>
      <c r="X38" s="6">
        <f>IF(AND(A38&lt;&gt;"",V38&lt;&gt;"Закрыто",OR(Продажи!$I$4="Все",D38=Продажи!$I$4),OR(Продажи!$O$4="Все",E38=Продажи!$O$4)),1,0)</f>
        <v>0</v>
      </c>
      <c r="Y38" s="6" t="str">
        <f>IF(A38="","",IF(AND(ISNUMBER(H38),H38&lt;Продажи!$D$4,W38&lt;&gt;"",V38&lt;&gt;"Закрыто"),1,0))</f>
        <v/>
      </c>
      <c r="Z38" s="6" t="str">
        <f>IF(A38="","",IF(V38="Закрыто",0,IF(COUNTIFS(Действия!$B$7:$B$106,A38,Действия!$N$7:$N$106,1,Действия!$D$7:$D$106,"Продажи")=0,1,0)))</f>
        <v/>
      </c>
      <c r="AA38" s="10" t="str">
        <f>IF(A38="","",IF(OR(S38="",T38=""),"Нет данных",IF(AND(S38&gt;0,T38&lt;INT(Продажи!$D$4)),S38,0)))</f>
        <v/>
      </c>
      <c r="AB38" s="6" t="str">
        <f t="shared" si="2"/>
        <v/>
      </c>
      <c r="AC38" s="6">
        <f t="shared" si="3"/>
        <v>0</v>
      </c>
      <c r="AD38" s="9"/>
    </row>
    <row r="39" spans="1:30" ht="25" customHeight="1">
      <c r="A39" s="5"/>
      <c r="B39" s="5"/>
      <c r="C39" s="5"/>
      <c r="D39" s="5"/>
      <c r="E39" s="5"/>
      <c r="F39" s="5"/>
      <c r="G39" s="7"/>
      <c r="H39" s="7"/>
      <c r="I39" s="5"/>
      <c r="J39" s="5"/>
      <c r="K39" s="5"/>
      <c r="L39" s="5"/>
      <c r="M39" s="5"/>
      <c r="N39" s="5"/>
      <c r="O39" s="5"/>
      <c r="P39" s="5"/>
      <c r="Q39" s="5"/>
      <c r="R39" s="5"/>
      <c r="S39" s="9"/>
      <c r="T39" s="8"/>
      <c r="U39" s="5"/>
      <c r="V39" s="6" t="str">
        <f t="shared" ref="V39:V70" si="4">IF(A39="","",IFERROR(VLOOKUP(F39,$A$111:$C$127,2,FALSE),"Не задан этап"))</f>
        <v/>
      </c>
      <c r="W39" s="6" t="str">
        <f t="shared" ref="W39:W70" si="5">IF(A39="","",IF(V39="Закрыто","",IF(OR(F39="Расчёт",F39="Решение об участии"),IF(COUNTIF(I39:M39,"Готово")+COUNTIF(I39:M39,"Не требуется")&lt;5,IF(OR(I39="",I39="Нет"),"ТЗ; ","")&amp;IF(OR(J39="",J39="Нет"),"КП завода; ","")&amp;IF(OR(K39="",K39="Нет"),"логистика; ","")&amp;IF(OR(L39="",L39="Нет"),"допрасходы; ","")&amp;IF(OR(M39="",M39="Нет"),"цена продажи; ",""),IF(COUNTIF(I39:M39,"Не требуется")=5,"Проверить применимость расчёта",IF(AND(N39="Готово",O39&lt;&gt;""),"","Подтверждение калькуляции"))),IF(F39="Передача в исполнение",IF(AND(P39="Принято",O39&lt;&gt;""),"","Приём заказа смежниками"),IF(F39="Приёмка и оплата",IF(Q39&lt;&gt;"Принято","Подтверждение приёмки; ","")&amp;IF(S39="","Остаток долга не загружен",IF(S39&gt;0,"Оплата клиента","")),IF(AND(N39="Готово",O39&lt;&gt;""),"",V39))))))</f>
        <v/>
      </c>
      <c r="X39" s="6">
        <f>IF(AND(A39&lt;&gt;"",V39&lt;&gt;"Закрыто",OR(Продажи!$I$4="Все",D39=Продажи!$I$4),OR(Продажи!$O$4="Все",E39=Продажи!$O$4)),1,0)</f>
        <v>0</v>
      </c>
      <c r="Y39" s="6" t="str">
        <f>IF(A39="","",IF(AND(ISNUMBER(H39),H39&lt;Продажи!$D$4,W39&lt;&gt;"",V39&lt;&gt;"Закрыто"),1,0))</f>
        <v/>
      </c>
      <c r="Z39" s="6" t="str">
        <f>IF(A39="","",IF(V39="Закрыто",0,IF(COUNTIFS(Действия!$B$7:$B$106,A39,Действия!$N$7:$N$106,1,Действия!$D$7:$D$106,"Продажи")=0,1,0)))</f>
        <v/>
      </c>
      <c r="AA39" s="10" t="str">
        <f>IF(A39="","",IF(OR(S39="",T39=""),"Нет данных",IF(AND(S39&gt;0,T39&lt;INT(Продажи!$D$4)),S39,0)))</f>
        <v/>
      </c>
      <c r="AB39" s="6" t="str">
        <f t="shared" ref="AB39:AB70" si="6">IF(A39="","",IFERROR(VLOOKUP(F39,$A$111:$C$127,3,FALSE),"Не классифицировано"))</f>
        <v/>
      </c>
      <c r="AC39" s="6">
        <f t="shared" ref="AC39:AC70" si="7">IF(AND(A39&lt;&gt;"",V39&lt;&gt;"Закрыто",H39=""),1,0)</f>
        <v>0</v>
      </c>
      <c r="AD39" s="9"/>
    </row>
    <row r="40" spans="1:30" ht="25" customHeight="1">
      <c r="A40" s="5"/>
      <c r="B40" s="5"/>
      <c r="C40" s="5"/>
      <c r="D40" s="5"/>
      <c r="E40" s="5"/>
      <c r="F40" s="5"/>
      <c r="G40" s="7"/>
      <c r="H40" s="7"/>
      <c r="I40" s="5"/>
      <c r="J40" s="5"/>
      <c r="K40" s="5"/>
      <c r="L40" s="5"/>
      <c r="M40" s="5"/>
      <c r="N40" s="5"/>
      <c r="O40" s="5"/>
      <c r="P40" s="5"/>
      <c r="Q40" s="5"/>
      <c r="R40" s="5"/>
      <c r="S40" s="9"/>
      <c r="T40" s="8"/>
      <c r="U40" s="5"/>
      <c r="V40" s="6" t="str">
        <f t="shared" si="4"/>
        <v/>
      </c>
      <c r="W40" s="6" t="str">
        <f t="shared" si="5"/>
        <v/>
      </c>
      <c r="X40" s="6">
        <f>IF(AND(A40&lt;&gt;"",V40&lt;&gt;"Закрыто",OR(Продажи!$I$4="Все",D40=Продажи!$I$4),OR(Продажи!$O$4="Все",E40=Продажи!$O$4)),1,0)</f>
        <v>0</v>
      </c>
      <c r="Y40" s="6" t="str">
        <f>IF(A40="","",IF(AND(ISNUMBER(H40),H40&lt;Продажи!$D$4,W40&lt;&gt;"",V40&lt;&gt;"Закрыто"),1,0))</f>
        <v/>
      </c>
      <c r="Z40" s="6" t="str">
        <f>IF(A40="","",IF(V40="Закрыто",0,IF(COUNTIFS(Действия!$B$7:$B$106,A40,Действия!$N$7:$N$106,1,Действия!$D$7:$D$106,"Продажи")=0,1,0)))</f>
        <v/>
      </c>
      <c r="AA40" s="10" t="str">
        <f>IF(A40="","",IF(OR(S40="",T40=""),"Нет данных",IF(AND(S40&gt;0,T40&lt;INT(Продажи!$D$4)),S40,0)))</f>
        <v/>
      </c>
      <c r="AB40" s="6" t="str">
        <f t="shared" si="6"/>
        <v/>
      </c>
      <c r="AC40" s="6">
        <f t="shared" si="7"/>
        <v>0</v>
      </c>
      <c r="AD40" s="9"/>
    </row>
    <row r="41" spans="1:30" ht="25" customHeight="1">
      <c r="A41" s="5"/>
      <c r="B41" s="5"/>
      <c r="C41" s="5"/>
      <c r="D41" s="5"/>
      <c r="E41" s="5"/>
      <c r="F41" s="5"/>
      <c r="G41" s="7"/>
      <c r="H41" s="7"/>
      <c r="I41" s="5"/>
      <c r="J41" s="5"/>
      <c r="K41" s="5"/>
      <c r="L41" s="5"/>
      <c r="M41" s="5"/>
      <c r="N41" s="5"/>
      <c r="O41" s="5"/>
      <c r="P41" s="5"/>
      <c r="Q41" s="5"/>
      <c r="R41" s="5"/>
      <c r="S41" s="9"/>
      <c r="T41" s="8"/>
      <c r="U41" s="5"/>
      <c r="V41" s="6" t="str">
        <f t="shared" si="4"/>
        <v/>
      </c>
      <c r="W41" s="6" t="str">
        <f t="shared" si="5"/>
        <v/>
      </c>
      <c r="X41" s="6">
        <f>IF(AND(A41&lt;&gt;"",V41&lt;&gt;"Закрыто",OR(Продажи!$I$4="Все",D41=Продажи!$I$4),OR(Продажи!$O$4="Все",E41=Продажи!$O$4)),1,0)</f>
        <v>0</v>
      </c>
      <c r="Y41" s="6" t="str">
        <f>IF(A41="","",IF(AND(ISNUMBER(H41),H41&lt;Продажи!$D$4,W41&lt;&gt;"",V41&lt;&gt;"Закрыто"),1,0))</f>
        <v/>
      </c>
      <c r="Z41" s="6" t="str">
        <f>IF(A41="","",IF(V41="Закрыто",0,IF(COUNTIFS(Действия!$B$7:$B$106,A41,Действия!$N$7:$N$106,1,Действия!$D$7:$D$106,"Продажи")=0,1,0)))</f>
        <v/>
      </c>
      <c r="AA41" s="10" t="str">
        <f>IF(A41="","",IF(OR(S41="",T41=""),"Нет данных",IF(AND(S41&gt;0,T41&lt;INT(Продажи!$D$4)),S41,0)))</f>
        <v/>
      </c>
      <c r="AB41" s="6" t="str">
        <f t="shared" si="6"/>
        <v/>
      </c>
      <c r="AC41" s="6">
        <f t="shared" si="7"/>
        <v>0</v>
      </c>
      <c r="AD41" s="9"/>
    </row>
    <row r="42" spans="1:30" ht="25" customHeight="1">
      <c r="A42" s="5"/>
      <c r="B42" s="5"/>
      <c r="C42" s="5"/>
      <c r="D42" s="5"/>
      <c r="E42" s="5"/>
      <c r="F42" s="5"/>
      <c r="G42" s="7"/>
      <c r="H42" s="7"/>
      <c r="I42" s="5"/>
      <c r="J42" s="5"/>
      <c r="K42" s="5"/>
      <c r="L42" s="5"/>
      <c r="M42" s="5"/>
      <c r="N42" s="5"/>
      <c r="O42" s="5"/>
      <c r="P42" s="5"/>
      <c r="Q42" s="5"/>
      <c r="R42" s="5"/>
      <c r="S42" s="9"/>
      <c r="T42" s="8"/>
      <c r="U42" s="5"/>
      <c r="V42" s="6" t="str">
        <f t="shared" si="4"/>
        <v/>
      </c>
      <c r="W42" s="6" t="str">
        <f t="shared" si="5"/>
        <v/>
      </c>
      <c r="X42" s="6">
        <f>IF(AND(A42&lt;&gt;"",V42&lt;&gt;"Закрыто",OR(Продажи!$I$4="Все",D42=Продажи!$I$4),OR(Продажи!$O$4="Все",E42=Продажи!$O$4)),1,0)</f>
        <v>0</v>
      </c>
      <c r="Y42" s="6" t="str">
        <f>IF(A42="","",IF(AND(ISNUMBER(H42),H42&lt;Продажи!$D$4,W42&lt;&gt;"",V42&lt;&gt;"Закрыто"),1,0))</f>
        <v/>
      </c>
      <c r="Z42" s="6" t="str">
        <f>IF(A42="","",IF(V42="Закрыто",0,IF(COUNTIFS(Действия!$B$7:$B$106,A42,Действия!$N$7:$N$106,1,Действия!$D$7:$D$106,"Продажи")=0,1,0)))</f>
        <v/>
      </c>
      <c r="AA42" s="10" t="str">
        <f>IF(A42="","",IF(OR(S42="",T42=""),"Нет данных",IF(AND(S42&gt;0,T42&lt;INT(Продажи!$D$4)),S42,0)))</f>
        <v/>
      </c>
      <c r="AB42" s="6" t="str">
        <f t="shared" si="6"/>
        <v/>
      </c>
      <c r="AC42" s="6">
        <f t="shared" si="7"/>
        <v>0</v>
      </c>
      <c r="AD42" s="9"/>
    </row>
    <row r="43" spans="1:30" ht="25" customHeight="1">
      <c r="A43" s="5"/>
      <c r="B43" s="5"/>
      <c r="C43" s="5"/>
      <c r="D43" s="5"/>
      <c r="E43" s="5"/>
      <c r="F43" s="5"/>
      <c r="G43" s="7"/>
      <c r="H43" s="7"/>
      <c r="I43" s="5"/>
      <c r="J43" s="5"/>
      <c r="K43" s="5"/>
      <c r="L43" s="5"/>
      <c r="M43" s="5"/>
      <c r="N43" s="5"/>
      <c r="O43" s="5"/>
      <c r="P43" s="5"/>
      <c r="Q43" s="5"/>
      <c r="R43" s="5"/>
      <c r="S43" s="9"/>
      <c r="T43" s="8"/>
      <c r="U43" s="5"/>
      <c r="V43" s="6" t="str">
        <f t="shared" si="4"/>
        <v/>
      </c>
      <c r="W43" s="6" t="str">
        <f t="shared" si="5"/>
        <v/>
      </c>
      <c r="X43" s="6">
        <f>IF(AND(A43&lt;&gt;"",V43&lt;&gt;"Закрыто",OR(Продажи!$I$4="Все",D43=Продажи!$I$4),OR(Продажи!$O$4="Все",E43=Продажи!$O$4)),1,0)</f>
        <v>0</v>
      </c>
      <c r="Y43" s="6" t="str">
        <f>IF(A43="","",IF(AND(ISNUMBER(H43),H43&lt;Продажи!$D$4,W43&lt;&gt;"",V43&lt;&gt;"Закрыто"),1,0))</f>
        <v/>
      </c>
      <c r="Z43" s="6" t="str">
        <f>IF(A43="","",IF(V43="Закрыто",0,IF(COUNTIFS(Действия!$B$7:$B$106,A43,Действия!$N$7:$N$106,1,Действия!$D$7:$D$106,"Продажи")=0,1,0)))</f>
        <v/>
      </c>
      <c r="AA43" s="10" t="str">
        <f>IF(A43="","",IF(OR(S43="",T43=""),"Нет данных",IF(AND(S43&gt;0,T43&lt;INT(Продажи!$D$4)),S43,0)))</f>
        <v/>
      </c>
      <c r="AB43" s="6" t="str">
        <f t="shared" si="6"/>
        <v/>
      </c>
      <c r="AC43" s="6">
        <f t="shared" si="7"/>
        <v>0</v>
      </c>
      <c r="AD43" s="9"/>
    </row>
    <row r="44" spans="1:30" ht="25" customHeight="1">
      <c r="A44" s="5"/>
      <c r="B44" s="5"/>
      <c r="C44" s="5"/>
      <c r="D44" s="5"/>
      <c r="E44" s="5"/>
      <c r="F44" s="5"/>
      <c r="G44" s="7"/>
      <c r="H44" s="7"/>
      <c r="I44" s="5"/>
      <c r="J44" s="5"/>
      <c r="K44" s="5"/>
      <c r="L44" s="5"/>
      <c r="M44" s="5"/>
      <c r="N44" s="5"/>
      <c r="O44" s="5"/>
      <c r="P44" s="5"/>
      <c r="Q44" s="5"/>
      <c r="R44" s="5"/>
      <c r="S44" s="9"/>
      <c r="T44" s="8"/>
      <c r="U44" s="5"/>
      <c r="V44" s="6" t="str">
        <f t="shared" si="4"/>
        <v/>
      </c>
      <c r="W44" s="6" t="str">
        <f t="shared" si="5"/>
        <v/>
      </c>
      <c r="X44" s="6">
        <f>IF(AND(A44&lt;&gt;"",V44&lt;&gt;"Закрыто",OR(Продажи!$I$4="Все",D44=Продажи!$I$4),OR(Продажи!$O$4="Все",E44=Продажи!$O$4)),1,0)</f>
        <v>0</v>
      </c>
      <c r="Y44" s="6" t="str">
        <f>IF(A44="","",IF(AND(ISNUMBER(H44),H44&lt;Продажи!$D$4,W44&lt;&gt;"",V44&lt;&gt;"Закрыто"),1,0))</f>
        <v/>
      </c>
      <c r="Z44" s="6" t="str">
        <f>IF(A44="","",IF(V44="Закрыто",0,IF(COUNTIFS(Действия!$B$7:$B$106,A44,Действия!$N$7:$N$106,1,Действия!$D$7:$D$106,"Продажи")=0,1,0)))</f>
        <v/>
      </c>
      <c r="AA44" s="10" t="str">
        <f>IF(A44="","",IF(OR(S44="",T44=""),"Нет данных",IF(AND(S44&gt;0,T44&lt;INT(Продажи!$D$4)),S44,0)))</f>
        <v/>
      </c>
      <c r="AB44" s="6" t="str">
        <f t="shared" si="6"/>
        <v/>
      </c>
      <c r="AC44" s="6">
        <f t="shared" si="7"/>
        <v>0</v>
      </c>
      <c r="AD44" s="9"/>
    </row>
    <row r="45" spans="1:30" ht="25" customHeight="1">
      <c r="A45" s="5"/>
      <c r="B45" s="5"/>
      <c r="C45" s="5"/>
      <c r="D45" s="5"/>
      <c r="E45" s="5"/>
      <c r="F45" s="5"/>
      <c r="G45" s="7"/>
      <c r="H45" s="7"/>
      <c r="I45" s="5"/>
      <c r="J45" s="5"/>
      <c r="K45" s="5"/>
      <c r="L45" s="5"/>
      <c r="M45" s="5"/>
      <c r="N45" s="5"/>
      <c r="O45" s="5"/>
      <c r="P45" s="5"/>
      <c r="Q45" s="5"/>
      <c r="R45" s="5"/>
      <c r="S45" s="9"/>
      <c r="T45" s="8"/>
      <c r="U45" s="5"/>
      <c r="V45" s="6" t="str">
        <f t="shared" si="4"/>
        <v/>
      </c>
      <c r="W45" s="6" t="str">
        <f t="shared" si="5"/>
        <v/>
      </c>
      <c r="X45" s="6">
        <f>IF(AND(A45&lt;&gt;"",V45&lt;&gt;"Закрыто",OR(Продажи!$I$4="Все",D45=Продажи!$I$4),OR(Продажи!$O$4="Все",E45=Продажи!$O$4)),1,0)</f>
        <v>0</v>
      </c>
      <c r="Y45" s="6" t="str">
        <f>IF(A45="","",IF(AND(ISNUMBER(H45),H45&lt;Продажи!$D$4,W45&lt;&gt;"",V45&lt;&gt;"Закрыто"),1,0))</f>
        <v/>
      </c>
      <c r="Z45" s="6" t="str">
        <f>IF(A45="","",IF(V45="Закрыто",0,IF(COUNTIFS(Действия!$B$7:$B$106,A45,Действия!$N$7:$N$106,1,Действия!$D$7:$D$106,"Продажи")=0,1,0)))</f>
        <v/>
      </c>
      <c r="AA45" s="10" t="str">
        <f>IF(A45="","",IF(OR(S45="",T45=""),"Нет данных",IF(AND(S45&gt;0,T45&lt;INT(Продажи!$D$4)),S45,0)))</f>
        <v/>
      </c>
      <c r="AB45" s="6" t="str">
        <f t="shared" si="6"/>
        <v/>
      </c>
      <c r="AC45" s="6">
        <f t="shared" si="7"/>
        <v>0</v>
      </c>
      <c r="AD45" s="9"/>
    </row>
    <row r="46" spans="1:30" ht="25" customHeight="1">
      <c r="A46" s="5"/>
      <c r="B46" s="5"/>
      <c r="C46" s="5"/>
      <c r="D46" s="5"/>
      <c r="E46" s="5"/>
      <c r="F46" s="5"/>
      <c r="G46" s="7"/>
      <c r="H46" s="7"/>
      <c r="I46" s="5"/>
      <c r="J46" s="5"/>
      <c r="K46" s="5"/>
      <c r="L46" s="5"/>
      <c r="M46" s="5"/>
      <c r="N46" s="5"/>
      <c r="O46" s="5"/>
      <c r="P46" s="5"/>
      <c r="Q46" s="5"/>
      <c r="R46" s="5"/>
      <c r="S46" s="9"/>
      <c r="T46" s="8"/>
      <c r="U46" s="5"/>
      <c r="V46" s="6" t="str">
        <f t="shared" si="4"/>
        <v/>
      </c>
      <c r="W46" s="6" t="str">
        <f t="shared" si="5"/>
        <v/>
      </c>
      <c r="X46" s="6">
        <f>IF(AND(A46&lt;&gt;"",V46&lt;&gt;"Закрыто",OR(Продажи!$I$4="Все",D46=Продажи!$I$4),OR(Продажи!$O$4="Все",E46=Продажи!$O$4)),1,0)</f>
        <v>0</v>
      </c>
      <c r="Y46" s="6" t="str">
        <f>IF(A46="","",IF(AND(ISNUMBER(H46),H46&lt;Продажи!$D$4,W46&lt;&gt;"",V46&lt;&gt;"Закрыто"),1,0))</f>
        <v/>
      </c>
      <c r="Z46" s="6" t="str">
        <f>IF(A46="","",IF(V46="Закрыто",0,IF(COUNTIFS(Действия!$B$7:$B$106,A46,Действия!$N$7:$N$106,1,Действия!$D$7:$D$106,"Продажи")=0,1,0)))</f>
        <v/>
      </c>
      <c r="AA46" s="10" t="str">
        <f>IF(A46="","",IF(OR(S46="",T46=""),"Нет данных",IF(AND(S46&gt;0,T46&lt;INT(Продажи!$D$4)),S46,0)))</f>
        <v/>
      </c>
      <c r="AB46" s="6" t="str">
        <f t="shared" si="6"/>
        <v/>
      </c>
      <c r="AC46" s="6">
        <f t="shared" si="7"/>
        <v>0</v>
      </c>
      <c r="AD46" s="9"/>
    </row>
    <row r="47" spans="1:30" ht="25" customHeight="1">
      <c r="A47" s="5"/>
      <c r="B47" s="5"/>
      <c r="C47" s="5"/>
      <c r="D47" s="5"/>
      <c r="E47" s="5"/>
      <c r="F47" s="5"/>
      <c r="G47" s="7"/>
      <c r="H47" s="7"/>
      <c r="I47" s="5"/>
      <c r="J47" s="5"/>
      <c r="K47" s="5"/>
      <c r="L47" s="5"/>
      <c r="M47" s="5"/>
      <c r="N47" s="5"/>
      <c r="O47" s="5"/>
      <c r="P47" s="5"/>
      <c r="Q47" s="5"/>
      <c r="R47" s="5"/>
      <c r="S47" s="9"/>
      <c r="T47" s="8"/>
      <c r="U47" s="5"/>
      <c r="V47" s="6" t="str">
        <f t="shared" si="4"/>
        <v/>
      </c>
      <c r="W47" s="6" t="str">
        <f t="shared" si="5"/>
        <v/>
      </c>
      <c r="X47" s="6">
        <f>IF(AND(A47&lt;&gt;"",V47&lt;&gt;"Закрыто",OR(Продажи!$I$4="Все",D47=Продажи!$I$4),OR(Продажи!$O$4="Все",E47=Продажи!$O$4)),1,0)</f>
        <v>0</v>
      </c>
      <c r="Y47" s="6" t="str">
        <f>IF(A47="","",IF(AND(ISNUMBER(H47),H47&lt;Продажи!$D$4,W47&lt;&gt;"",V47&lt;&gt;"Закрыто"),1,0))</f>
        <v/>
      </c>
      <c r="Z47" s="6" t="str">
        <f>IF(A47="","",IF(V47="Закрыто",0,IF(COUNTIFS(Действия!$B$7:$B$106,A47,Действия!$N$7:$N$106,1,Действия!$D$7:$D$106,"Продажи")=0,1,0)))</f>
        <v/>
      </c>
      <c r="AA47" s="10" t="str">
        <f>IF(A47="","",IF(OR(S47="",T47=""),"Нет данных",IF(AND(S47&gt;0,T47&lt;INT(Продажи!$D$4)),S47,0)))</f>
        <v/>
      </c>
      <c r="AB47" s="6" t="str">
        <f t="shared" si="6"/>
        <v/>
      </c>
      <c r="AC47" s="6">
        <f t="shared" si="7"/>
        <v>0</v>
      </c>
      <c r="AD47" s="9"/>
    </row>
    <row r="48" spans="1:30" ht="25" customHeight="1">
      <c r="A48" s="5"/>
      <c r="B48" s="5"/>
      <c r="C48" s="5"/>
      <c r="D48" s="5"/>
      <c r="E48" s="5"/>
      <c r="F48" s="5"/>
      <c r="G48" s="7"/>
      <c r="H48" s="7"/>
      <c r="I48" s="5"/>
      <c r="J48" s="5"/>
      <c r="K48" s="5"/>
      <c r="L48" s="5"/>
      <c r="M48" s="5"/>
      <c r="N48" s="5"/>
      <c r="O48" s="5"/>
      <c r="P48" s="5"/>
      <c r="Q48" s="5"/>
      <c r="R48" s="5"/>
      <c r="S48" s="9"/>
      <c r="T48" s="8"/>
      <c r="U48" s="5"/>
      <c r="V48" s="6" t="str">
        <f t="shared" si="4"/>
        <v/>
      </c>
      <c r="W48" s="6" t="str">
        <f t="shared" si="5"/>
        <v/>
      </c>
      <c r="X48" s="6">
        <f>IF(AND(A48&lt;&gt;"",V48&lt;&gt;"Закрыто",OR(Продажи!$I$4="Все",D48=Продажи!$I$4),OR(Продажи!$O$4="Все",E48=Продажи!$O$4)),1,0)</f>
        <v>0</v>
      </c>
      <c r="Y48" s="6" t="str">
        <f>IF(A48="","",IF(AND(ISNUMBER(H48),H48&lt;Продажи!$D$4,W48&lt;&gt;"",V48&lt;&gt;"Закрыто"),1,0))</f>
        <v/>
      </c>
      <c r="Z48" s="6" t="str">
        <f>IF(A48="","",IF(V48="Закрыто",0,IF(COUNTIFS(Действия!$B$7:$B$106,A48,Действия!$N$7:$N$106,1,Действия!$D$7:$D$106,"Продажи")=0,1,0)))</f>
        <v/>
      </c>
      <c r="AA48" s="10" t="str">
        <f>IF(A48="","",IF(OR(S48="",T48=""),"Нет данных",IF(AND(S48&gt;0,T48&lt;INT(Продажи!$D$4)),S48,0)))</f>
        <v/>
      </c>
      <c r="AB48" s="6" t="str">
        <f t="shared" si="6"/>
        <v/>
      </c>
      <c r="AC48" s="6">
        <f t="shared" si="7"/>
        <v>0</v>
      </c>
      <c r="AD48" s="9"/>
    </row>
    <row r="49" spans="1:30" ht="25" customHeight="1">
      <c r="A49" s="5"/>
      <c r="B49" s="5"/>
      <c r="C49" s="5"/>
      <c r="D49" s="5"/>
      <c r="E49" s="5"/>
      <c r="F49" s="5"/>
      <c r="G49" s="7"/>
      <c r="H49" s="7"/>
      <c r="I49" s="5"/>
      <c r="J49" s="5"/>
      <c r="K49" s="5"/>
      <c r="L49" s="5"/>
      <c r="M49" s="5"/>
      <c r="N49" s="5"/>
      <c r="O49" s="5"/>
      <c r="P49" s="5"/>
      <c r="Q49" s="5"/>
      <c r="R49" s="5"/>
      <c r="S49" s="9"/>
      <c r="T49" s="8"/>
      <c r="U49" s="5"/>
      <c r="V49" s="6" t="str">
        <f t="shared" si="4"/>
        <v/>
      </c>
      <c r="W49" s="6" t="str">
        <f t="shared" si="5"/>
        <v/>
      </c>
      <c r="X49" s="6">
        <f>IF(AND(A49&lt;&gt;"",V49&lt;&gt;"Закрыто",OR(Продажи!$I$4="Все",D49=Продажи!$I$4),OR(Продажи!$O$4="Все",E49=Продажи!$O$4)),1,0)</f>
        <v>0</v>
      </c>
      <c r="Y49" s="6" t="str">
        <f>IF(A49="","",IF(AND(ISNUMBER(H49),H49&lt;Продажи!$D$4,W49&lt;&gt;"",V49&lt;&gt;"Закрыто"),1,0))</f>
        <v/>
      </c>
      <c r="Z49" s="6" t="str">
        <f>IF(A49="","",IF(V49="Закрыто",0,IF(COUNTIFS(Действия!$B$7:$B$106,A49,Действия!$N$7:$N$106,1,Действия!$D$7:$D$106,"Продажи")=0,1,0)))</f>
        <v/>
      </c>
      <c r="AA49" s="10" t="str">
        <f>IF(A49="","",IF(OR(S49="",T49=""),"Нет данных",IF(AND(S49&gt;0,T49&lt;INT(Продажи!$D$4)),S49,0)))</f>
        <v/>
      </c>
      <c r="AB49" s="6" t="str">
        <f t="shared" si="6"/>
        <v/>
      </c>
      <c r="AC49" s="6">
        <f t="shared" si="7"/>
        <v>0</v>
      </c>
      <c r="AD49" s="9"/>
    </row>
    <row r="50" spans="1:30" ht="25" customHeight="1">
      <c r="A50" s="5"/>
      <c r="B50" s="5"/>
      <c r="C50" s="5"/>
      <c r="D50" s="5"/>
      <c r="E50" s="5"/>
      <c r="F50" s="5"/>
      <c r="G50" s="7"/>
      <c r="H50" s="7"/>
      <c r="I50" s="5"/>
      <c r="J50" s="5"/>
      <c r="K50" s="5"/>
      <c r="L50" s="5"/>
      <c r="M50" s="5"/>
      <c r="N50" s="5"/>
      <c r="O50" s="5"/>
      <c r="P50" s="5"/>
      <c r="Q50" s="5"/>
      <c r="R50" s="5"/>
      <c r="S50" s="9"/>
      <c r="T50" s="8"/>
      <c r="U50" s="5"/>
      <c r="V50" s="6" t="str">
        <f t="shared" si="4"/>
        <v/>
      </c>
      <c r="W50" s="6" t="str">
        <f t="shared" si="5"/>
        <v/>
      </c>
      <c r="X50" s="6">
        <f>IF(AND(A50&lt;&gt;"",V50&lt;&gt;"Закрыто",OR(Продажи!$I$4="Все",D50=Продажи!$I$4),OR(Продажи!$O$4="Все",E50=Продажи!$O$4)),1,0)</f>
        <v>0</v>
      </c>
      <c r="Y50" s="6" t="str">
        <f>IF(A50="","",IF(AND(ISNUMBER(H50),H50&lt;Продажи!$D$4,W50&lt;&gt;"",V50&lt;&gt;"Закрыто"),1,0))</f>
        <v/>
      </c>
      <c r="Z50" s="6" t="str">
        <f>IF(A50="","",IF(V50="Закрыто",0,IF(COUNTIFS(Действия!$B$7:$B$106,A50,Действия!$N$7:$N$106,1,Действия!$D$7:$D$106,"Продажи")=0,1,0)))</f>
        <v/>
      </c>
      <c r="AA50" s="10" t="str">
        <f>IF(A50="","",IF(OR(S50="",T50=""),"Нет данных",IF(AND(S50&gt;0,T50&lt;INT(Продажи!$D$4)),S50,0)))</f>
        <v/>
      </c>
      <c r="AB50" s="6" t="str">
        <f t="shared" si="6"/>
        <v/>
      </c>
      <c r="AC50" s="6">
        <f t="shared" si="7"/>
        <v>0</v>
      </c>
      <c r="AD50" s="9"/>
    </row>
    <row r="51" spans="1:30" ht="25" customHeight="1">
      <c r="A51" s="5"/>
      <c r="B51" s="5"/>
      <c r="C51" s="5"/>
      <c r="D51" s="5"/>
      <c r="E51" s="5"/>
      <c r="F51" s="5"/>
      <c r="G51" s="7"/>
      <c r="H51" s="7"/>
      <c r="I51" s="5"/>
      <c r="J51" s="5"/>
      <c r="K51" s="5"/>
      <c r="L51" s="5"/>
      <c r="M51" s="5"/>
      <c r="N51" s="5"/>
      <c r="O51" s="5"/>
      <c r="P51" s="5"/>
      <c r="Q51" s="5"/>
      <c r="R51" s="5"/>
      <c r="S51" s="9"/>
      <c r="T51" s="8"/>
      <c r="U51" s="5"/>
      <c r="V51" s="6" t="str">
        <f t="shared" si="4"/>
        <v/>
      </c>
      <c r="W51" s="6" t="str">
        <f t="shared" si="5"/>
        <v/>
      </c>
      <c r="X51" s="6">
        <f>IF(AND(A51&lt;&gt;"",V51&lt;&gt;"Закрыто",OR(Продажи!$I$4="Все",D51=Продажи!$I$4),OR(Продажи!$O$4="Все",E51=Продажи!$O$4)),1,0)</f>
        <v>0</v>
      </c>
      <c r="Y51" s="6" t="str">
        <f>IF(A51="","",IF(AND(ISNUMBER(H51),H51&lt;Продажи!$D$4,W51&lt;&gt;"",V51&lt;&gt;"Закрыто"),1,0))</f>
        <v/>
      </c>
      <c r="Z51" s="6" t="str">
        <f>IF(A51="","",IF(V51="Закрыто",0,IF(COUNTIFS(Действия!$B$7:$B$106,A51,Действия!$N$7:$N$106,1,Действия!$D$7:$D$106,"Продажи")=0,1,0)))</f>
        <v/>
      </c>
      <c r="AA51" s="10" t="str">
        <f>IF(A51="","",IF(OR(S51="",T51=""),"Нет данных",IF(AND(S51&gt;0,T51&lt;INT(Продажи!$D$4)),S51,0)))</f>
        <v/>
      </c>
      <c r="AB51" s="6" t="str">
        <f t="shared" si="6"/>
        <v/>
      </c>
      <c r="AC51" s="6">
        <f t="shared" si="7"/>
        <v>0</v>
      </c>
      <c r="AD51" s="9"/>
    </row>
    <row r="52" spans="1:30" ht="25" customHeight="1">
      <c r="A52" s="5"/>
      <c r="B52" s="5"/>
      <c r="C52" s="5"/>
      <c r="D52" s="5"/>
      <c r="E52" s="5"/>
      <c r="F52" s="5"/>
      <c r="G52" s="7"/>
      <c r="H52" s="7"/>
      <c r="I52" s="5"/>
      <c r="J52" s="5"/>
      <c r="K52" s="5"/>
      <c r="L52" s="5"/>
      <c r="M52" s="5"/>
      <c r="N52" s="5"/>
      <c r="O52" s="5"/>
      <c r="P52" s="5"/>
      <c r="Q52" s="5"/>
      <c r="R52" s="5"/>
      <c r="S52" s="9"/>
      <c r="T52" s="8"/>
      <c r="U52" s="5"/>
      <c r="V52" s="6" t="str">
        <f t="shared" si="4"/>
        <v/>
      </c>
      <c r="W52" s="6" t="str">
        <f t="shared" si="5"/>
        <v/>
      </c>
      <c r="X52" s="6">
        <f>IF(AND(A52&lt;&gt;"",V52&lt;&gt;"Закрыто",OR(Продажи!$I$4="Все",D52=Продажи!$I$4),OR(Продажи!$O$4="Все",E52=Продажи!$O$4)),1,0)</f>
        <v>0</v>
      </c>
      <c r="Y52" s="6" t="str">
        <f>IF(A52="","",IF(AND(ISNUMBER(H52),H52&lt;Продажи!$D$4,W52&lt;&gt;"",V52&lt;&gt;"Закрыто"),1,0))</f>
        <v/>
      </c>
      <c r="Z52" s="6" t="str">
        <f>IF(A52="","",IF(V52="Закрыто",0,IF(COUNTIFS(Действия!$B$7:$B$106,A52,Действия!$N$7:$N$106,1,Действия!$D$7:$D$106,"Продажи")=0,1,0)))</f>
        <v/>
      </c>
      <c r="AA52" s="10" t="str">
        <f>IF(A52="","",IF(OR(S52="",T52=""),"Нет данных",IF(AND(S52&gt;0,T52&lt;INT(Продажи!$D$4)),S52,0)))</f>
        <v/>
      </c>
      <c r="AB52" s="6" t="str">
        <f t="shared" si="6"/>
        <v/>
      </c>
      <c r="AC52" s="6">
        <f t="shared" si="7"/>
        <v>0</v>
      </c>
      <c r="AD52" s="9"/>
    </row>
    <row r="53" spans="1:30" ht="25" customHeight="1">
      <c r="A53" s="5"/>
      <c r="B53" s="5"/>
      <c r="C53" s="5"/>
      <c r="D53" s="5"/>
      <c r="E53" s="5"/>
      <c r="F53" s="5"/>
      <c r="G53" s="7"/>
      <c r="H53" s="7"/>
      <c r="I53" s="5"/>
      <c r="J53" s="5"/>
      <c r="K53" s="5"/>
      <c r="L53" s="5"/>
      <c r="M53" s="5"/>
      <c r="N53" s="5"/>
      <c r="O53" s="5"/>
      <c r="P53" s="5"/>
      <c r="Q53" s="5"/>
      <c r="R53" s="5"/>
      <c r="S53" s="9"/>
      <c r="T53" s="8"/>
      <c r="U53" s="5"/>
      <c r="V53" s="6" t="str">
        <f t="shared" si="4"/>
        <v/>
      </c>
      <c r="W53" s="6" t="str">
        <f t="shared" si="5"/>
        <v/>
      </c>
      <c r="X53" s="6">
        <f>IF(AND(A53&lt;&gt;"",V53&lt;&gt;"Закрыто",OR(Продажи!$I$4="Все",D53=Продажи!$I$4),OR(Продажи!$O$4="Все",E53=Продажи!$O$4)),1,0)</f>
        <v>0</v>
      </c>
      <c r="Y53" s="6" t="str">
        <f>IF(A53="","",IF(AND(ISNUMBER(H53),H53&lt;Продажи!$D$4,W53&lt;&gt;"",V53&lt;&gt;"Закрыто"),1,0))</f>
        <v/>
      </c>
      <c r="Z53" s="6" t="str">
        <f>IF(A53="","",IF(V53="Закрыто",0,IF(COUNTIFS(Действия!$B$7:$B$106,A53,Действия!$N$7:$N$106,1,Действия!$D$7:$D$106,"Продажи")=0,1,0)))</f>
        <v/>
      </c>
      <c r="AA53" s="10" t="str">
        <f>IF(A53="","",IF(OR(S53="",T53=""),"Нет данных",IF(AND(S53&gt;0,T53&lt;INT(Продажи!$D$4)),S53,0)))</f>
        <v/>
      </c>
      <c r="AB53" s="6" t="str">
        <f t="shared" si="6"/>
        <v/>
      </c>
      <c r="AC53" s="6">
        <f t="shared" si="7"/>
        <v>0</v>
      </c>
      <c r="AD53" s="9"/>
    </row>
    <row r="54" spans="1:30" ht="25" customHeight="1">
      <c r="A54" s="5"/>
      <c r="B54" s="5"/>
      <c r="C54" s="5"/>
      <c r="D54" s="5"/>
      <c r="E54" s="5"/>
      <c r="F54" s="5"/>
      <c r="G54" s="7"/>
      <c r="H54" s="7"/>
      <c r="I54" s="5"/>
      <c r="J54" s="5"/>
      <c r="K54" s="5"/>
      <c r="L54" s="5"/>
      <c r="M54" s="5"/>
      <c r="N54" s="5"/>
      <c r="O54" s="5"/>
      <c r="P54" s="5"/>
      <c r="Q54" s="5"/>
      <c r="R54" s="5"/>
      <c r="S54" s="9"/>
      <c r="T54" s="8"/>
      <c r="U54" s="5"/>
      <c r="V54" s="6" t="str">
        <f t="shared" si="4"/>
        <v/>
      </c>
      <c r="W54" s="6" t="str">
        <f t="shared" si="5"/>
        <v/>
      </c>
      <c r="X54" s="6">
        <f>IF(AND(A54&lt;&gt;"",V54&lt;&gt;"Закрыто",OR(Продажи!$I$4="Все",D54=Продажи!$I$4),OR(Продажи!$O$4="Все",E54=Продажи!$O$4)),1,0)</f>
        <v>0</v>
      </c>
      <c r="Y54" s="6" t="str">
        <f>IF(A54="","",IF(AND(ISNUMBER(H54),H54&lt;Продажи!$D$4,W54&lt;&gt;"",V54&lt;&gt;"Закрыто"),1,0))</f>
        <v/>
      </c>
      <c r="Z54" s="6" t="str">
        <f>IF(A54="","",IF(V54="Закрыто",0,IF(COUNTIFS(Действия!$B$7:$B$106,A54,Действия!$N$7:$N$106,1,Действия!$D$7:$D$106,"Продажи")=0,1,0)))</f>
        <v/>
      </c>
      <c r="AA54" s="10" t="str">
        <f>IF(A54="","",IF(OR(S54="",T54=""),"Нет данных",IF(AND(S54&gt;0,T54&lt;INT(Продажи!$D$4)),S54,0)))</f>
        <v/>
      </c>
      <c r="AB54" s="6" t="str">
        <f t="shared" si="6"/>
        <v/>
      </c>
      <c r="AC54" s="6">
        <f t="shared" si="7"/>
        <v>0</v>
      </c>
      <c r="AD54" s="9"/>
    </row>
    <row r="55" spans="1:30" ht="25" customHeight="1">
      <c r="A55" s="5"/>
      <c r="B55" s="5"/>
      <c r="C55" s="5"/>
      <c r="D55" s="5"/>
      <c r="E55" s="5"/>
      <c r="F55" s="5"/>
      <c r="G55" s="7"/>
      <c r="H55" s="7"/>
      <c r="I55" s="5"/>
      <c r="J55" s="5"/>
      <c r="K55" s="5"/>
      <c r="L55" s="5"/>
      <c r="M55" s="5"/>
      <c r="N55" s="5"/>
      <c r="O55" s="5"/>
      <c r="P55" s="5"/>
      <c r="Q55" s="5"/>
      <c r="R55" s="5"/>
      <c r="S55" s="9"/>
      <c r="T55" s="8"/>
      <c r="U55" s="5"/>
      <c r="V55" s="6" t="str">
        <f t="shared" si="4"/>
        <v/>
      </c>
      <c r="W55" s="6" t="str">
        <f t="shared" si="5"/>
        <v/>
      </c>
      <c r="X55" s="6">
        <f>IF(AND(A55&lt;&gt;"",V55&lt;&gt;"Закрыто",OR(Продажи!$I$4="Все",D55=Продажи!$I$4),OR(Продажи!$O$4="Все",E55=Продажи!$O$4)),1,0)</f>
        <v>0</v>
      </c>
      <c r="Y55" s="6" t="str">
        <f>IF(A55="","",IF(AND(ISNUMBER(H55),H55&lt;Продажи!$D$4,W55&lt;&gt;"",V55&lt;&gt;"Закрыто"),1,0))</f>
        <v/>
      </c>
      <c r="Z55" s="6" t="str">
        <f>IF(A55="","",IF(V55="Закрыто",0,IF(COUNTIFS(Действия!$B$7:$B$106,A55,Действия!$N$7:$N$106,1,Действия!$D$7:$D$106,"Продажи")=0,1,0)))</f>
        <v/>
      </c>
      <c r="AA55" s="10" t="str">
        <f>IF(A55="","",IF(OR(S55="",T55=""),"Нет данных",IF(AND(S55&gt;0,T55&lt;INT(Продажи!$D$4)),S55,0)))</f>
        <v/>
      </c>
      <c r="AB55" s="6" t="str">
        <f t="shared" si="6"/>
        <v/>
      </c>
      <c r="AC55" s="6">
        <f t="shared" si="7"/>
        <v>0</v>
      </c>
      <c r="AD55" s="9"/>
    </row>
    <row r="56" spans="1:30" ht="25" customHeight="1">
      <c r="A56" s="5"/>
      <c r="B56" s="5"/>
      <c r="C56" s="5"/>
      <c r="D56" s="5"/>
      <c r="E56" s="5"/>
      <c r="F56" s="5"/>
      <c r="G56" s="7"/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9"/>
      <c r="T56" s="8"/>
      <c r="U56" s="5"/>
      <c r="V56" s="6" t="str">
        <f t="shared" si="4"/>
        <v/>
      </c>
      <c r="W56" s="6" t="str">
        <f t="shared" si="5"/>
        <v/>
      </c>
      <c r="X56" s="6">
        <f>IF(AND(A56&lt;&gt;"",V56&lt;&gt;"Закрыто",OR(Продажи!$I$4="Все",D56=Продажи!$I$4),OR(Продажи!$O$4="Все",E56=Продажи!$O$4)),1,0)</f>
        <v>0</v>
      </c>
      <c r="Y56" s="6" t="str">
        <f>IF(A56="","",IF(AND(ISNUMBER(H56),H56&lt;Продажи!$D$4,W56&lt;&gt;"",V56&lt;&gt;"Закрыто"),1,0))</f>
        <v/>
      </c>
      <c r="Z56" s="6" t="str">
        <f>IF(A56="","",IF(V56="Закрыто",0,IF(COUNTIFS(Действия!$B$7:$B$106,A56,Действия!$N$7:$N$106,1,Действия!$D$7:$D$106,"Продажи")=0,1,0)))</f>
        <v/>
      </c>
      <c r="AA56" s="10" t="str">
        <f>IF(A56="","",IF(OR(S56="",T56=""),"Нет данных",IF(AND(S56&gt;0,T56&lt;INT(Продажи!$D$4)),S56,0)))</f>
        <v/>
      </c>
      <c r="AB56" s="6" t="str">
        <f t="shared" si="6"/>
        <v/>
      </c>
      <c r="AC56" s="6">
        <f t="shared" si="7"/>
        <v>0</v>
      </c>
      <c r="AD56" s="9"/>
    </row>
    <row r="57" spans="1:30" ht="25" customHeight="1">
      <c r="A57" s="5"/>
      <c r="B57" s="5"/>
      <c r="C57" s="5"/>
      <c r="D57" s="5"/>
      <c r="E57" s="5"/>
      <c r="F57" s="5"/>
      <c r="G57" s="7"/>
      <c r="H57" s="7"/>
      <c r="I57" s="5"/>
      <c r="J57" s="5"/>
      <c r="K57" s="5"/>
      <c r="L57" s="5"/>
      <c r="M57" s="5"/>
      <c r="N57" s="5"/>
      <c r="O57" s="5"/>
      <c r="P57" s="5"/>
      <c r="Q57" s="5"/>
      <c r="R57" s="5"/>
      <c r="S57" s="9"/>
      <c r="T57" s="8"/>
      <c r="U57" s="5"/>
      <c r="V57" s="6" t="str">
        <f t="shared" si="4"/>
        <v/>
      </c>
      <c r="W57" s="6" t="str">
        <f t="shared" si="5"/>
        <v/>
      </c>
      <c r="X57" s="6">
        <f>IF(AND(A57&lt;&gt;"",V57&lt;&gt;"Закрыто",OR(Продажи!$I$4="Все",D57=Продажи!$I$4),OR(Продажи!$O$4="Все",E57=Продажи!$O$4)),1,0)</f>
        <v>0</v>
      </c>
      <c r="Y57" s="6" t="str">
        <f>IF(A57="","",IF(AND(ISNUMBER(H57),H57&lt;Продажи!$D$4,W57&lt;&gt;"",V57&lt;&gt;"Закрыто"),1,0))</f>
        <v/>
      </c>
      <c r="Z57" s="6" t="str">
        <f>IF(A57="","",IF(V57="Закрыто",0,IF(COUNTIFS(Действия!$B$7:$B$106,A57,Действия!$N$7:$N$106,1,Действия!$D$7:$D$106,"Продажи")=0,1,0)))</f>
        <v/>
      </c>
      <c r="AA57" s="10" t="str">
        <f>IF(A57="","",IF(OR(S57="",T57=""),"Нет данных",IF(AND(S57&gt;0,T57&lt;INT(Продажи!$D$4)),S57,0)))</f>
        <v/>
      </c>
      <c r="AB57" s="6" t="str">
        <f t="shared" si="6"/>
        <v/>
      </c>
      <c r="AC57" s="6">
        <f t="shared" si="7"/>
        <v>0</v>
      </c>
      <c r="AD57" s="9"/>
    </row>
    <row r="58" spans="1:30" ht="25" customHeight="1">
      <c r="A58" s="5"/>
      <c r="B58" s="5"/>
      <c r="C58" s="5"/>
      <c r="D58" s="5"/>
      <c r="E58" s="5"/>
      <c r="F58" s="5"/>
      <c r="G58" s="7"/>
      <c r="H58" s="7"/>
      <c r="I58" s="5"/>
      <c r="J58" s="5"/>
      <c r="K58" s="5"/>
      <c r="L58" s="5"/>
      <c r="M58" s="5"/>
      <c r="N58" s="5"/>
      <c r="O58" s="5"/>
      <c r="P58" s="5"/>
      <c r="Q58" s="5"/>
      <c r="R58" s="5"/>
      <c r="S58" s="9"/>
      <c r="T58" s="8"/>
      <c r="U58" s="5"/>
      <c r="V58" s="6" t="str">
        <f t="shared" si="4"/>
        <v/>
      </c>
      <c r="W58" s="6" t="str">
        <f t="shared" si="5"/>
        <v/>
      </c>
      <c r="X58" s="6">
        <f>IF(AND(A58&lt;&gt;"",V58&lt;&gt;"Закрыто",OR(Продажи!$I$4="Все",D58=Продажи!$I$4),OR(Продажи!$O$4="Все",E58=Продажи!$O$4)),1,0)</f>
        <v>0</v>
      </c>
      <c r="Y58" s="6" t="str">
        <f>IF(A58="","",IF(AND(ISNUMBER(H58),H58&lt;Продажи!$D$4,W58&lt;&gt;"",V58&lt;&gt;"Закрыто"),1,0))</f>
        <v/>
      </c>
      <c r="Z58" s="6" t="str">
        <f>IF(A58="","",IF(V58="Закрыто",0,IF(COUNTIFS(Действия!$B$7:$B$106,A58,Действия!$N$7:$N$106,1,Действия!$D$7:$D$106,"Продажи")=0,1,0)))</f>
        <v/>
      </c>
      <c r="AA58" s="10" t="str">
        <f>IF(A58="","",IF(OR(S58="",T58=""),"Нет данных",IF(AND(S58&gt;0,T58&lt;INT(Продажи!$D$4)),S58,0)))</f>
        <v/>
      </c>
      <c r="AB58" s="6" t="str">
        <f t="shared" si="6"/>
        <v/>
      </c>
      <c r="AC58" s="6">
        <f t="shared" si="7"/>
        <v>0</v>
      </c>
      <c r="AD58" s="9"/>
    </row>
    <row r="59" spans="1:30" ht="25" customHeight="1">
      <c r="A59" s="5"/>
      <c r="B59" s="5"/>
      <c r="C59" s="5"/>
      <c r="D59" s="5"/>
      <c r="E59" s="5"/>
      <c r="F59" s="5"/>
      <c r="G59" s="7"/>
      <c r="H59" s="7"/>
      <c r="I59" s="5"/>
      <c r="J59" s="5"/>
      <c r="K59" s="5"/>
      <c r="L59" s="5"/>
      <c r="M59" s="5"/>
      <c r="N59" s="5"/>
      <c r="O59" s="5"/>
      <c r="P59" s="5"/>
      <c r="Q59" s="5"/>
      <c r="R59" s="5"/>
      <c r="S59" s="9"/>
      <c r="T59" s="8"/>
      <c r="U59" s="5"/>
      <c r="V59" s="6" t="str">
        <f t="shared" si="4"/>
        <v/>
      </c>
      <c r="W59" s="6" t="str">
        <f t="shared" si="5"/>
        <v/>
      </c>
      <c r="X59" s="6">
        <f>IF(AND(A59&lt;&gt;"",V59&lt;&gt;"Закрыто",OR(Продажи!$I$4="Все",D59=Продажи!$I$4),OR(Продажи!$O$4="Все",E59=Продажи!$O$4)),1,0)</f>
        <v>0</v>
      </c>
      <c r="Y59" s="6" t="str">
        <f>IF(A59="","",IF(AND(ISNUMBER(H59),H59&lt;Продажи!$D$4,W59&lt;&gt;"",V59&lt;&gt;"Закрыто"),1,0))</f>
        <v/>
      </c>
      <c r="Z59" s="6" t="str">
        <f>IF(A59="","",IF(V59="Закрыто",0,IF(COUNTIFS(Действия!$B$7:$B$106,A59,Действия!$N$7:$N$106,1,Действия!$D$7:$D$106,"Продажи")=0,1,0)))</f>
        <v/>
      </c>
      <c r="AA59" s="10" t="str">
        <f>IF(A59="","",IF(OR(S59="",T59=""),"Нет данных",IF(AND(S59&gt;0,T59&lt;INT(Продажи!$D$4)),S59,0)))</f>
        <v/>
      </c>
      <c r="AB59" s="6" t="str">
        <f t="shared" si="6"/>
        <v/>
      </c>
      <c r="AC59" s="6">
        <f t="shared" si="7"/>
        <v>0</v>
      </c>
      <c r="AD59" s="9"/>
    </row>
    <row r="60" spans="1:30" ht="25" customHeight="1">
      <c r="A60" s="5"/>
      <c r="B60" s="5"/>
      <c r="C60" s="5"/>
      <c r="D60" s="5"/>
      <c r="E60" s="5"/>
      <c r="F60" s="5"/>
      <c r="G60" s="7"/>
      <c r="H60" s="7"/>
      <c r="I60" s="5"/>
      <c r="J60" s="5"/>
      <c r="K60" s="5"/>
      <c r="L60" s="5"/>
      <c r="M60" s="5"/>
      <c r="N60" s="5"/>
      <c r="O60" s="5"/>
      <c r="P60" s="5"/>
      <c r="Q60" s="5"/>
      <c r="R60" s="5"/>
      <c r="S60" s="9"/>
      <c r="T60" s="8"/>
      <c r="U60" s="5"/>
      <c r="V60" s="6" t="str">
        <f t="shared" si="4"/>
        <v/>
      </c>
      <c r="W60" s="6" t="str">
        <f t="shared" si="5"/>
        <v/>
      </c>
      <c r="X60" s="6">
        <f>IF(AND(A60&lt;&gt;"",V60&lt;&gt;"Закрыто",OR(Продажи!$I$4="Все",D60=Продажи!$I$4),OR(Продажи!$O$4="Все",E60=Продажи!$O$4)),1,0)</f>
        <v>0</v>
      </c>
      <c r="Y60" s="6" t="str">
        <f>IF(A60="","",IF(AND(ISNUMBER(H60),H60&lt;Продажи!$D$4,W60&lt;&gt;"",V60&lt;&gt;"Закрыто"),1,0))</f>
        <v/>
      </c>
      <c r="Z60" s="6" t="str">
        <f>IF(A60="","",IF(V60="Закрыто",0,IF(COUNTIFS(Действия!$B$7:$B$106,A60,Действия!$N$7:$N$106,1,Действия!$D$7:$D$106,"Продажи")=0,1,0)))</f>
        <v/>
      </c>
      <c r="AA60" s="10" t="str">
        <f>IF(A60="","",IF(OR(S60="",T60=""),"Нет данных",IF(AND(S60&gt;0,T60&lt;INT(Продажи!$D$4)),S60,0)))</f>
        <v/>
      </c>
      <c r="AB60" s="6" t="str">
        <f t="shared" si="6"/>
        <v/>
      </c>
      <c r="AC60" s="6">
        <f t="shared" si="7"/>
        <v>0</v>
      </c>
      <c r="AD60" s="9"/>
    </row>
    <row r="61" spans="1:30" ht="25" customHeight="1">
      <c r="A61" s="5"/>
      <c r="B61" s="5"/>
      <c r="C61" s="5"/>
      <c r="D61" s="5"/>
      <c r="E61" s="5"/>
      <c r="F61" s="5"/>
      <c r="G61" s="7"/>
      <c r="H61" s="7"/>
      <c r="I61" s="5"/>
      <c r="J61" s="5"/>
      <c r="K61" s="5"/>
      <c r="L61" s="5"/>
      <c r="M61" s="5"/>
      <c r="N61" s="5"/>
      <c r="O61" s="5"/>
      <c r="P61" s="5"/>
      <c r="Q61" s="5"/>
      <c r="R61" s="5"/>
      <c r="S61" s="9"/>
      <c r="T61" s="8"/>
      <c r="U61" s="5"/>
      <c r="V61" s="6" t="str">
        <f t="shared" si="4"/>
        <v/>
      </c>
      <c r="W61" s="6" t="str">
        <f t="shared" si="5"/>
        <v/>
      </c>
      <c r="X61" s="6">
        <f>IF(AND(A61&lt;&gt;"",V61&lt;&gt;"Закрыто",OR(Продажи!$I$4="Все",D61=Продажи!$I$4),OR(Продажи!$O$4="Все",E61=Продажи!$O$4)),1,0)</f>
        <v>0</v>
      </c>
      <c r="Y61" s="6" t="str">
        <f>IF(A61="","",IF(AND(ISNUMBER(H61),H61&lt;Продажи!$D$4,W61&lt;&gt;"",V61&lt;&gt;"Закрыто"),1,0))</f>
        <v/>
      </c>
      <c r="Z61" s="6" t="str">
        <f>IF(A61="","",IF(V61="Закрыто",0,IF(COUNTIFS(Действия!$B$7:$B$106,A61,Действия!$N$7:$N$106,1,Действия!$D$7:$D$106,"Продажи")=0,1,0)))</f>
        <v/>
      </c>
      <c r="AA61" s="10" t="str">
        <f>IF(A61="","",IF(OR(S61="",T61=""),"Нет данных",IF(AND(S61&gt;0,T61&lt;INT(Продажи!$D$4)),S61,0)))</f>
        <v/>
      </c>
      <c r="AB61" s="6" t="str">
        <f t="shared" si="6"/>
        <v/>
      </c>
      <c r="AC61" s="6">
        <f t="shared" si="7"/>
        <v>0</v>
      </c>
      <c r="AD61" s="9"/>
    </row>
    <row r="62" spans="1:30" ht="25" customHeight="1">
      <c r="A62" s="5"/>
      <c r="B62" s="5"/>
      <c r="C62" s="5"/>
      <c r="D62" s="5"/>
      <c r="E62" s="5"/>
      <c r="F62" s="5"/>
      <c r="G62" s="7"/>
      <c r="H62" s="7"/>
      <c r="I62" s="5"/>
      <c r="J62" s="5"/>
      <c r="K62" s="5"/>
      <c r="L62" s="5"/>
      <c r="M62" s="5"/>
      <c r="N62" s="5"/>
      <c r="O62" s="5"/>
      <c r="P62" s="5"/>
      <c r="Q62" s="5"/>
      <c r="R62" s="5"/>
      <c r="S62" s="9"/>
      <c r="T62" s="8"/>
      <c r="U62" s="5"/>
      <c r="V62" s="6" t="str">
        <f t="shared" si="4"/>
        <v/>
      </c>
      <c r="W62" s="6" t="str">
        <f t="shared" si="5"/>
        <v/>
      </c>
      <c r="X62" s="6">
        <f>IF(AND(A62&lt;&gt;"",V62&lt;&gt;"Закрыто",OR(Продажи!$I$4="Все",D62=Продажи!$I$4),OR(Продажи!$O$4="Все",E62=Продажи!$O$4)),1,0)</f>
        <v>0</v>
      </c>
      <c r="Y62" s="6" t="str">
        <f>IF(A62="","",IF(AND(ISNUMBER(H62),H62&lt;Продажи!$D$4,W62&lt;&gt;"",V62&lt;&gt;"Закрыто"),1,0))</f>
        <v/>
      </c>
      <c r="Z62" s="6" t="str">
        <f>IF(A62="","",IF(V62="Закрыто",0,IF(COUNTIFS(Действия!$B$7:$B$106,A62,Действия!$N$7:$N$106,1,Действия!$D$7:$D$106,"Продажи")=0,1,0)))</f>
        <v/>
      </c>
      <c r="AA62" s="10" t="str">
        <f>IF(A62="","",IF(OR(S62="",T62=""),"Нет данных",IF(AND(S62&gt;0,T62&lt;INT(Продажи!$D$4)),S62,0)))</f>
        <v/>
      </c>
      <c r="AB62" s="6" t="str">
        <f t="shared" si="6"/>
        <v/>
      </c>
      <c r="AC62" s="6">
        <f t="shared" si="7"/>
        <v>0</v>
      </c>
      <c r="AD62" s="9"/>
    </row>
    <row r="63" spans="1:30" ht="25" customHeight="1">
      <c r="A63" s="5"/>
      <c r="B63" s="5"/>
      <c r="C63" s="5"/>
      <c r="D63" s="5"/>
      <c r="E63" s="5"/>
      <c r="F63" s="5"/>
      <c r="G63" s="7"/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9"/>
      <c r="T63" s="8"/>
      <c r="U63" s="5"/>
      <c r="V63" s="6" t="str">
        <f t="shared" si="4"/>
        <v/>
      </c>
      <c r="W63" s="6" t="str">
        <f t="shared" si="5"/>
        <v/>
      </c>
      <c r="X63" s="6">
        <f>IF(AND(A63&lt;&gt;"",V63&lt;&gt;"Закрыто",OR(Продажи!$I$4="Все",D63=Продажи!$I$4),OR(Продажи!$O$4="Все",E63=Продажи!$O$4)),1,0)</f>
        <v>0</v>
      </c>
      <c r="Y63" s="6" t="str">
        <f>IF(A63="","",IF(AND(ISNUMBER(H63),H63&lt;Продажи!$D$4,W63&lt;&gt;"",V63&lt;&gt;"Закрыто"),1,0))</f>
        <v/>
      </c>
      <c r="Z63" s="6" t="str">
        <f>IF(A63="","",IF(V63="Закрыто",0,IF(COUNTIFS(Действия!$B$7:$B$106,A63,Действия!$N$7:$N$106,1,Действия!$D$7:$D$106,"Продажи")=0,1,0)))</f>
        <v/>
      </c>
      <c r="AA63" s="10" t="str">
        <f>IF(A63="","",IF(OR(S63="",T63=""),"Нет данных",IF(AND(S63&gt;0,T63&lt;INT(Продажи!$D$4)),S63,0)))</f>
        <v/>
      </c>
      <c r="AB63" s="6" t="str">
        <f t="shared" si="6"/>
        <v/>
      </c>
      <c r="AC63" s="6">
        <f t="shared" si="7"/>
        <v>0</v>
      </c>
      <c r="AD63" s="9"/>
    </row>
    <row r="64" spans="1:30" ht="25" customHeight="1">
      <c r="A64" s="5"/>
      <c r="B64" s="5"/>
      <c r="C64" s="5"/>
      <c r="D64" s="5"/>
      <c r="E64" s="5"/>
      <c r="F64" s="5"/>
      <c r="G64" s="7"/>
      <c r="H64" s="7"/>
      <c r="I64" s="5"/>
      <c r="J64" s="5"/>
      <c r="K64" s="5"/>
      <c r="L64" s="5"/>
      <c r="M64" s="5"/>
      <c r="N64" s="5"/>
      <c r="O64" s="5"/>
      <c r="P64" s="5"/>
      <c r="Q64" s="5"/>
      <c r="R64" s="5"/>
      <c r="S64" s="9"/>
      <c r="T64" s="8"/>
      <c r="U64" s="5"/>
      <c r="V64" s="6" t="str">
        <f t="shared" si="4"/>
        <v/>
      </c>
      <c r="W64" s="6" t="str">
        <f t="shared" si="5"/>
        <v/>
      </c>
      <c r="X64" s="6">
        <f>IF(AND(A64&lt;&gt;"",V64&lt;&gt;"Закрыто",OR(Продажи!$I$4="Все",D64=Продажи!$I$4),OR(Продажи!$O$4="Все",E64=Продажи!$O$4)),1,0)</f>
        <v>0</v>
      </c>
      <c r="Y64" s="6" t="str">
        <f>IF(A64="","",IF(AND(ISNUMBER(H64),H64&lt;Продажи!$D$4,W64&lt;&gt;"",V64&lt;&gt;"Закрыто"),1,0))</f>
        <v/>
      </c>
      <c r="Z64" s="6" t="str">
        <f>IF(A64="","",IF(V64="Закрыто",0,IF(COUNTIFS(Действия!$B$7:$B$106,A64,Действия!$N$7:$N$106,1,Действия!$D$7:$D$106,"Продажи")=0,1,0)))</f>
        <v/>
      </c>
      <c r="AA64" s="10" t="str">
        <f>IF(A64="","",IF(OR(S64="",T64=""),"Нет данных",IF(AND(S64&gt;0,T64&lt;INT(Продажи!$D$4)),S64,0)))</f>
        <v/>
      </c>
      <c r="AB64" s="6" t="str">
        <f t="shared" si="6"/>
        <v/>
      </c>
      <c r="AC64" s="6">
        <f t="shared" si="7"/>
        <v>0</v>
      </c>
      <c r="AD64" s="9"/>
    </row>
    <row r="65" spans="1:30" ht="25" customHeight="1">
      <c r="A65" s="5"/>
      <c r="B65" s="5"/>
      <c r="C65" s="5"/>
      <c r="D65" s="5"/>
      <c r="E65" s="5"/>
      <c r="F65" s="5"/>
      <c r="G65" s="7"/>
      <c r="H65" s="7"/>
      <c r="I65" s="5"/>
      <c r="J65" s="5"/>
      <c r="K65" s="5"/>
      <c r="L65" s="5"/>
      <c r="M65" s="5"/>
      <c r="N65" s="5"/>
      <c r="O65" s="5"/>
      <c r="P65" s="5"/>
      <c r="Q65" s="5"/>
      <c r="R65" s="5"/>
      <c r="S65" s="9"/>
      <c r="T65" s="8"/>
      <c r="U65" s="5"/>
      <c r="V65" s="6" t="str">
        <f t="shared" si="4"/>
        <v/>
      </c>
      <c r="W65" s="6" t="str">
        <f t="shared" si="5"/>
        <v/>
      </c>
      <c r="X65" s="6">
        <f>IF(AND(A65&lt;&gt;"",V65&lt;&gt;"Закрыто",OR(Продажи!$I$4="Все",D65=Продажи!$I$4),OR(Продажи!$O$4="Все",E65=Продажи!$O$4)),1,0)</f>
        <v>0</v>
      </c>
      <c r="Y65" s="6" t="str">
        <f>IF(A65="","",IF(AND(ISNUMBER(H65),H65&lt;Продажи!$D$4,W65&lt;&gt;"",V65&lt;&gt;"Закрыто"),1,0))</f>
        <v/>
      </c>
      <c r="Z65" s="6" t="str">
        <f>IF(A65="","",IF(V65="Закрыто",0,IF(COUNTIFS(Действия!$B$7:$B$106,A65,Действия!$N$7:$N$106,1,Действия!$D$7:$D$106,"Продажи")=0,1,0)))</f>
        <v/>
      </c>
      <c r="AA65" s="10" t="str">
        <f>IF(A65="","",IF(OR(S65="",T65=""),"Нет данных",IF(AND(S65&gt;0,T65&lt;INT(Продажи!$D$4)),S65,0)))</f>
        <v/>
      </c>
      <c r="AB65" s="6" t="str">
        <f t="shared" si="6"/>
        <v/>
      </c>
      <c r="AC65" s="6">
        <f t="shared" si="7"/>
        <v>0</v>
      </c>
      <c r="AD65" s="9"/>
    </row>
    <row r="66" spans="1:30" ht="25" customHeight="1">
      <c r="A66" s="5"/>
      <c r="B66" s="5"/>
      <c r="C66" s="5"/>
      <c r="D66" s="5"/>
      <c r="E66" s="5"/>
      <c r="F66" s="5"/>
      <c r="G66" s="7"/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9"/>
      <c r="T66" s="8"/>
      <c r="U66" s="5"/>
      <c r="V66" s="6" t="str">
        <f t="shared" si="4"/>
        <v/>
      </c>
      <c r="W66" s="6" t="str">
        <f t="shared" si="5"/>
        <v/>
      </c>
      <c r="X66" s="6">
        <f>IF(AND(A66&lt;&gt;"",V66&lt;&gt;"Закрыто",OR(Продажи!$I$4="Все",D66=Продажи!$I$4),OR(Продажи!$O$4="Все",E66=Продажи!$O$4)),1,0)</f>
        <v>0</v>
      </c>
      <c r="Y66" s="6" t="str">
        <f>IF(A66="","",IF(AND(ISNUMBER(H66),H66&lt;Продажи!$D$4,W66&lt;&gt;"",V66&lt;&gt;"Закрыто"),1,0))</f>
        <v/>
      </c>
      <c r="Z66" s="6" t="str">
        <f>IF(A66="","",IF(V66="Закрыто",0,IF(COUNTIFS(Действия!$B$7:$B$106,A66,Действия!$N$7:$N$106,1,Действия!$D$7:$D$106,"Продажи")=0,1,0)))</f>
        <v/>
      </c>
      <c r="AA66" s="10" t="str">
        <f>IF(A66="","",IF(OR(S66="",T66=""),"Нет данных",IF(AND(S66&gt;0,T66&lt;INT(Продажи!$D$4)),S66,0)))</f>
        <v/>
      </c>
      <c r="AB66" s="6" t="str">
        <f t="shared" si="6"/>
        <v/>
      </c>
      <c r="AC66" s="6">
        <f t="shared" si="7"/>
        <v>0</v>
      </c>
      <c r="AD66" s="9"/>
    </row>
    <row r="67" spans="1:30" ht="25" customHeight="1">
      <c r="A67" s="5"/>
      <c r="B67" s="5"/>
      <c r="C67" s="5"/>
      <c r="D67" s="5"/>
      <c r="E67" s="5"/>
      <c r="F67" s="5"/>
      <c r="G67" s="7"/>
      <c r="H67" s="7"/>
      <c r="I67" s="5"/>
      <c r="J67" s="5"/>
      <c r="K67" s="5"/>
      <c r="L67" s="5"/>
      <c r="M67" s="5"/>
      <c r="N67" s="5"/>
      <c r="O67" s="5"/>
      <c r="P67" s="5"/>
      <c r="Q67" s="5"/>
      <c r="R67" s="5"/>
      <c r="S67" s="9"/>
      <c r="T67" s="8"/>
      <c r="U67" s="5"/>
      <c r="V67" s="6" t="str">
        <f t="shared" si="4"/>
        <v/>
      </c>
      <c r="W67" s="6" t="str">
        <f t="shared" si="5"/>
        <v/>
      </c>
      <c r="X67" s="6">
        <f>IF(AND(A67&lt;&gt;"",V67&lt;&gt;"Закрыто",OR(Продажи!$I$4="Все",D67=Продажи!$I$4),OR(Продажи!$O$4="Все",E67=Продажи!$O$4)),1,0)</f>
        <v>0</v>
      </c>
      <c r="Y67" s="6" t="str">
        <f>IF(A67="","",IF(AND(ISNUMBER(H67),H67&lt;Продажи!$D$4,W67&lt;&gt;"",V67&lt;&gt;"Закрыто"),1,0))</f>
        <v/>
      </c>
      <c r="Z67" s="6" t="str">
        <f>IF(A67="","",IF(V67="Закрыто",0,IF(COUNTIFS(Действия!$B$7:$B$106,A67,Действия!$N$7:$N$106,1,Действия!$D$7:$D$106,"Продажи")=0,1,0)))</f>
        <v/>
      </c>
      <c r="AA67" s="10" t="str">
        <f>IF(A67="","",IF(OR(S67="",T67=""),"Нет данных",IF(AND(S67&gt;0,T67&lt;INT(Продажи!$D$4)),S67,0)))</f>
        <v/>
      </c>
      <c r="AB67" s="6" t="str">
        <f t="shared" si="6"/>
        <v/>
      </c>
      <c r="AC67" s="6">
        <f t="shared" si="7"/>
        <v>0</v>
      </c>
      <c r="AD67" s="9"/>
    </row>
    <row r="68" spans="1:30" ht="25" customHeight="1">
      <c r="A68" s="5"/>
      <c r="B68" s="5"/>
      <c r="C68" s="5"/>
      <c r="D68" s="5"/>
      <c r="E68" s="5"/>
      <c r="F68" s="5"/>
      <c r="G68" s="7"/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9"/>
      <c r="T68" s="8"/>
      <c r="U68" s="5"/>
      <c r="V68" s="6" t="str">
        <f t="shared" si="4"/>
        <v/>
      </c>
      <c r="W68" s="6" t="str">
        <f t="shared" si="5"/>
        <v/>
      </c>
      <c r="X68" s="6">
        <f>IF(AND(A68&lt;&gt;"",V68&lt;&gt;"Закрыто",OR(Продажи!$I$4="Все",D68=Продажи!$I$4),OR(Продажи!$O$4="Все",E68=Продажи!$O$4)),1,0)</f>
        <v>0</v>
      </c>
      <c r="Y68" s="6" t="str">
        <f>IF(A68="","",IF(AND(ISNUMBER(H68),H68&lt;Продажи!$D$4,W68&lt;&gt;"",V68&lt;&gt;"Закрыто"),1,0))</f>
        <v/>
      </c>
      <c r="Z68" s="6" t="str">
        <f>IF(A68="","",IF(V68="Закрыто",0,IF(COUNTIFS(Действия!$B$7:$B$106,A68,Действия!$N$7:$N$106,1,Действия!$D$7:$D$106,"Продажи")=0,1,0)))</f>
        <v/>
      </c>
      <c r="AA68" s="10" t="str">
        <f>IF(A68="","",IF(OR(S68="",T68=""),"Нет данных",IF(AND(S68&gt;0,T68&lt;INT(Продажи!$D$4)),S68,0)))</f>
        <v/>
      </c>
      <c r="AB68" s="6" t="str">
        <f t="shared" si="6"/>
        <v/>
      </c>
      <c r="AC68" s="6">
        <f t="shared" si="7"/>
        <v>0</v>
      </c>
      <c r="AD68" s="9"/>
    </row>
    <row r="69" spans="1:30" ht="25" customHeight="1">
      <c r="A69" s="5"/>
      <c r="B69" s="5"/>
      <c r="C69" s="5"/>
      <c r="D69" s="5"/>
      <c r="E69" s="5"/>
      <c r="F69" s="5"/>
      <c r="G69" s="7"/>
      <c r="H69" s="7"/>
      <c r="I69" s="5"/>
      <c r="J69" s="5"/>
      <c r="K69" s="5"/>
      <c r="L69" s="5"/>
      <c r="M69" s="5"/>
      <c r="N69" s="5"/>
      <c r="O69" s="5"/>
      <c r="P69" s="5"/>
      <c r="Q69" s="5"/>
      <c r="R69" s="5"/>
      <c r="S69" s="9"/>
      <c r="T69" s="8"/>
      <c r="U69" s="5"/>
      <c r="V69" s="6" t="str">
        <f t="shared" si="4"/>
        <v/>
      </c>
      <c r="W69" s="6" t="str">
        <f t="shared" si="5"/>
        <v/>
      </c>
      <c r="X69" s="6">
        <f>IF(AND(A69&lt;&gt;"",V69&lt;&gt;"Закрыто",OR(Продажи!$I$4="Все",D69=Продажи!$I$4),OR(Продажи!$O$4="Все",E69=Продажи!$O$4)),1,0)</f>
        <v>0</v>
      </c>
      <c r="Y69" s="6" t="str">
        <f>IF(A69="","",IF(AND(ISNUMBER(H69),H69&lt;Продажи!$D$4,W69&lt;&gt;"",V69&lt;&gt;"Закрыто"),1,0))</f>
        <v/>
      </c>
      <c r="Z69" s="6" t="str">
        <f>IF(A69="","",IF(V69="Закрыто",0,IF(COUNTIFS(Действия!$B$7:$B$106,A69,Действия!$N$7:$N$106,1,Действия!$D$7:$D$106,"Продажи")=0,1,0)))</f>
        <v/>
      </c>
      <c r="AA69" s="10" t="str">
        <f>IF(A69="","",IF(OR(S69="",T69=""),"Нет данных",IF(AND(S69&gt;0,T69&lt;INT(Продажи!$D$4)),S69,0)))</f>
        <v/>
      </c>
      <c r="AB69" s="6" t="str">
        <f t="shared" si="6"/>
        <v/>
      </c>
      <c r="AC69" s="6">
        <f t="shared" si="7"/>
        <v>0</v>
      </c>
      <c r="AD69" s="9"/>
    </row>
    <row r="70" spans="1:30" ht="25" customHeight="1">
      <c r="A70" s="5"/>
      <c r="B70" s="5"/>
      <c r="C70" s="5"/>
      <c r="D70" s="5"/>
      <c r="E70" s="5"/>
      <c r="F70" s="5"/>
      <c r="G70" s="7"/>
      <c r="H70" s="7"/>
      <c r="I70" s="5"/>
      <c r="J70" s="5"/>
      <c r="K70" s="5"/>
      <c r="L70" s="5"/>
      <c r="M70" s="5"/>
      <c r="N70" s="5"/>
      <c r="O70" s="5"/>
      <c r="P70" s="5"/>
      <c r="Q70" s="5"/>
      <c r="R70" s="5"/>
      <c r="S70" s="9"/>
      <c r="T70" s="8"/>
      <c r="U70" s="5"/>
      <c r="V70" s="6" t="str">
        <f t="shared" si="4"/>
        <v/>
      </c>
      <c r="W70" s="6" t="str">
        <f t="shared" si="5"/>
        <v/>
      </c>
      <c r="X70" s="6">
        <f>IF(AND(A70&lt;&gt;"",V70&lt;&gt;"Закрыто",OR(Продажи!$I$4="Все",D70=Продажи!$I$4),OR(Продажи!$O$4="Все",E70=Продажи!$O$4)),1,0)</f>
        <v>0</v>
      </c>
      <c r="Y70" s="6" t="str">
        <f>IF(A70="","",IF(AND(ISNUMBER(H70),H70&lt;Продажи!$D$4,W70&lt;&gt;"",V70&lt;&gt;"Закрыто"),1,0))</f>
        <v/>
      </c>
      <c r="Z70" s="6" t="str">
        <f>IF(A70="","",IF(V70="Закрыто",0,IF(COUNTIFS(Действия!$B$7:$B$106,A70,Действия!$N$7:$N$106,1,Действия!$D$7:$D$106,"Продажи")=0,1,0)))</f>
        <v/>
      </c>
      <c r="AA70" s="10" t="str">
        <f>IF(A70="","",IF(OR(S70="",T70=""),"Нет данных",IF(AND(S70&gt;0,T70&lt;INT(Продажи!$D$4)),S70,0)))</f>
        <v/>
      </c>
      <c r="AB70" s="6" t="str">
        <f t="shared" si="6"/>
        <v/>
      </c>
      <c r="AC70" s="6">
        <f t="shared" si="7"/>
        <v>0</v>
      </c>
      <c r="AD70" s="9"/>
    </row>
    <row r="71" spans="1:30" ht="25" customHeight="1">
      <c r="A71" s="5"/>
      <c r="B71" s="5"/>
      <c r="C71" s="5"/>
      <c r="D71" s="5"/>
      <c r="E71" s="5"/>
      <c r="F71" s="5"/>
      <c r="G71" s="7"/>
      <c r="H71" s="7"/>
      <c r="I71" s="5"/>
      <c r="J71" s="5"/>
      <c r="K71" s="5"/>
      <c r="L71" s="5"/>
      <c r="M71" s="5"/>
      <c r="N71" s="5"/>
      <c r="O71" s="5"/>
      <c r="P71" s="5"/>
      <c r="Q71" s="5"/>
      <c r="R71" s="5"/>
      <c r="S71" s="9"/>
      <c r="T71" s="8"/>
      <c r="U71" s="5"/>
      <c r="V71" s="6" t="str">
        <f t="shared" ref="V71:V106" si="8">IF(A71="","",IFERROR(VLOOKUP(F71,$A$111:$C$127,2,FALSE),"Не задан этап"))</f>
        <v/>
      </c>
      <c r="W71" s="6" t="str">
        <f t="shared" ref="W71:W102" si="9">IF(A71="","",IF(V71="Закрыто","",IF(OR(F71="Расчёт",F71="Решение об участии"),IF(COUNTIF(I71:M71,"Готово")+COUNTIF(I71:M71,"Не требуется")&lt;5,IF(OR(I71="",I71="Нет"),"ТЗ; ","")&amp;IF(OR(J71="",J71="Нет"),"КП завода; ","")&amp;IF(OR(K71="",K71="Нет"),"логистика; ","")&amp;IF(OR(L71="",L71="Нет"),"допрасходы; ","")&amp;IF(OR(M71="",M71="Нет"),"цена продажи; ",""),IF(COUNTIF(I71:M71,"Не требуется")=5,"Проверить применимость расчёта",IF(AND(N71="Готово",O71&lt;&gt;""),"","Подтверждение калькуляции"))),IF(F71="Передача в исполнение",IF(AND(P71="Принято",O71&lt;&gt;""),"","Приём заказа смежниками"),IF(F71="Приёмка и оплата",IF(Q71&lt;&gt;"Принято","Подтверждение приёмки; ","")&amp;IF(S71="","Остаток долга не загружен",IF(S71&gt;0,"Оплата клиента","")),IF(AND(N71="Готово",O71&lt;&gt;""),"",V71))))))</f>
        <v/>
      </c>
      <c r="X71" s="6">
        <f>IF(AND(A71&lt;&gt;"",V71&lt;&gt;"Закрыто",OR(Продажи!$I$4="Все",D71=Продажи!$I$4),OR(Продажи!$O$4="Все",E71=Продажи!$O$4)),1,0)</f>
        <v>0</v>
      </c>
      <c r="Y71" s="6" t="str">
        <f>IF(A71="","",IF(AND(ISNUMBER(H71),H71&lt;Продажи!$D$4,W71&lt;&gt;"",V71&lt;&gt;"Закрыто"),1,0))</f>
        <v/>
      </c>
      <c r="Z71" s="6" t="str">
        <f>IF(A71="","",IF(V71="Закрыто",0,IF(COUNTIFS(Действия!$B$7:$B$106,A71,Действия!$N$7:$N$106,1,Действия!$D$7:$D$106,"Продажи")=0,1,0)))</f>
        <v/>
      </c>
      <c r="AA71" s="10" t="str">
        <f>IF(A71="","",IF(OR(S71="",T71=""),"Нет данных",IF(AND(S71&gt;0,T71&lt;INT(Продажи!$D$4)),S71,0)))</f>
        <v/>
      </c>
      <c r="AB71" s="6" t="str">
        <f t="shared" ref="AB71:AB106" si="10">IF(A71="","",IFERROR(VLOOKUP(F71,$A$111:$C$127,3,FALSE),"Не классифицировано"))</f>
        <v/>
      </c>
      <c r="AC71" s="6">
        <f t="shared" ref="AC71:AC106" si="11">IF(AND(A71&lt;&gt;"",V71&lt;&gt;"Закрыто",H71=""),1,0)</f>
        <v>0</v>
      </c>
      <c r="AD71" s="9"/>
    </row>
    <row r="72" spans="1:30" ht="25" customHeight="1">
      <c r="A72" s="5"/>
      <c r="B72" s="5"/>
      <c r="C72" s="5"/>
      <c r="D72" s="5"/>
      <c r="E72" s="5"/>
      <c r="F72" s="5"/>
      <c r="G72" s="7"/>
      <c r="H72" s="7"/>
      <c r="I72" s="5"/>
      <c r="J72" s="5"/>
      <c r="K72" s="5"/>
      <c r="L72" s="5"/>
      <c r="M72" s="5"/>
      <c r="N72" s="5"/>
      <c r="O72" s="5"/>
      <c r="P72" s="5"/>
      <c r="Q72" s="5"/>
      <c r="R72" s="5"/>
      <c r="S72" s="9"/>
      <c r="T72" s="8"/>
      <c r="U72" s="5"/>
      <c r="V72" s="6" t="str">
        <f t="shared" si="8"/>
        <v/>
      </c>
      <c r="W72" s="6" t="str">
        <f t="shared" si="9"/>
        <v/>
      </c>
      <c r="X72" s="6">
        <f>IF(AND(A72&lt;&gt;"",V72&lt;&gt;"Закрыто",OR(Продажи!$I$4="Все",D72=Продажи!$I$4),OR(Продажи!$O$4="Все",E72=Продажи!$O$4)),1,0)</f>
        <v>0</v>
      </c>
      <c r="Y72" s="6" t="str">
        <f>IF(A72="","",IF(AND(ISNUMBER(H72),H72&lt;Продажи!$D$4,W72&lt;&gt;"",V72&lt;&gt;"Закрыто"),1,0))</f>
        <v/>
      </c>
      <c r="Z72" s="6" t="str">
        <f>IF(A72="","",IF(V72="Закрыто",0,IF(COUNTIFS(Действия!$B$7:$B$106,A72,Действия!$N$7:$N$106,1,Действия!$D$7:$D$106,"Продажи")=0,1,0)))</f>
        <v/>
      </c>
      <c r="AA72" s="10" t="str">
        <f>IF(A72="","",IF(OR(S72="",T72=""),"Нет данных",IF(AND(S72&gt;0,T72&lt;INT(Продажи!$D$4)),S72,0)))</f>
        <v/>
      </c>
      <c r="AB72" s="6" t="str">
        <f t="shared" si="10"/>
        <v/>
      </c>
      <c r="AC72" s="6">
        <f t="shared" si="11"/>
        <v>0</v>
      </c>
      <c r="AD72" s="9"/>
    </row>
    <row r="73" spans="1:30" ht="25" customHeight="1">
      <c r="A73" s="5"/>
      <c r="B73" s="5"/>
      <c r="C73" s="5"/>
      <c r="D73" s="5"/>
      <c r="E73" s="5"/>
      <c r="F73" s="5"/>
      <c r="G73" s="7"/>
      <c r="H73" s="7"/>
      <c r="I73" s="5"/>
      <c r="J73" s="5"/>
      <c r="K73" s="5"/>
      <c r="L73" s="5"/>
      <c r="M73" s="5"/>
      <c r="N73" s="5"/>
      <c r="O73" s="5"/>
      <c r="P73" s="5"/>
      <c r="Q73" s="5"/>
      <c r="R73" s="5"/>
      <c r="S73" s="9"/>
      <c r="T73" s="8"/>
      <c r="U73" s="5"/>
      <c r="V73" s="6" t="str">
        <f t="shared" si="8"/>
        <v/>
      </c>
      <c r="W73" s="6" t="str">
        <f t="shared" si="9"/>
        <v/>
      </c>
      <c r="X73" s="6">
        <f>IF(AND(A73&lt;&gt;"",V73&lt;&gt;"Закрыто",OR(Продажи!$I$4="Все",D73=Продажи!$I$4),OR(Продажи!$O$4="Все",E73=Продажи!$O$4)),1,0)</f>
        <v>0</v>
      </c>
      <c r="Y73" s="6" t="str">
        <f>IF(A73="","",IF(AND(ISNUMBER(H73),H73&lt;Продажи!$D$4,W73&lt;&gt;"",V73&lt;&gt;"Закрыто"),1,0))</f>
        <v/>
      </c>
      <c r="Z73" s="6" t="str">
        <f>IF(A73="","",IF(V73="Закрыто",0,IF(COUNTIFS(Действия!$B$7:$B$106,A73,Действия!$N$7:$N$106,1,Действия!$D$7:$D$106,"Продажи")=0,1,0)))</f>
        <v/>
      </c>
      <c r="AA73" s="10" t="str">
        <f>IF(A73="","",IF(OR(S73="",T73=""),"Нет данных",IF(AND(S73&gt;0,T73&lt;INT(Продажи!$D$4)),S73,0)))</f>
        <v/>
      </c>
      <c r="AB73" s="6" t="str">
        <f t="shared" si="10"/>
        <v/>
      </c>
      <c r="AC73" s="6">
        <f t="shared" si="11"/>
        <v>0</v>
      </c>
      <c r="AD73" s="9"/>
    </row>
    <row r="74" spans="1:30" ht="25" customHeight="1">
      <c r="A74" s="5"/>
      <c r="B74" s="5"/>
      <c r="C74" s="5"/>
      <c r="D74" s="5"/>
      <c r="E74" s="5"/>
      <c r="F74" s="5"/>
      <c r="G74" s="7"/>
      <c r="H74" s="7"/>
      <c r="I74" s="5"/>
      <c r="J74" s="5"/>
      <c r="K74" s="5"/>
      <c r="L74" s="5"/>
      <c r="M74" s="5"/>
      <c r="N74" s="5"/>
      <c r="O74" s="5"/>
      <c r="P74" s="5"/>
      <c r="Q74" s="5"/>
      <c r="R74" s="5"/>
      <c r="S74" s="9"/>
      <c r="T74" s="8"/>
      <c r="U74" s="5"/>
      <c r="V74" s="6" t="str">
        <f t="shared" si="8"/>
        <v/>
      </c>
      <c r="W74" s="6" t="str">
        <f t="shared" si="9"/>
        <v/>
      </c>
      <c r="X74" s="6">
        <f>IF(AND(A74&lt;&gt;"",V74&lt;&gt;"Закрыто",OR(Продажи!$I$4="Все",D74=Продажи!$I$4),OR(Продажи!$O$4="Все",E74=Продажи!$O$4)),1,0)</f>
        <v>0</v>
      </c>
      <c r="Y74" s="6" t="str">
        <f>IF(A74="","",IF(AND(ISNUMBER(H74),H74&lt;Продажи!$D$4,W74&lt;&gt;"",V74&lt;&gt;"Закрыто"),1,0))</f>
        <v/>
      </c>
      <c r="Z74" s="6" t="str">
        <f>IF(A74="","",IF(V74="Закрыто",0,IF(COUNTIFS(Действия!$B$7:$B$106,A74,Действия!$N$7:$N$106,1,Действия!$D$7:$D$106,"Продажи")=0,1,0)))</f>
        <v/>
      </c>
      <c r="AA74" s="10" t="str">
        <f>IF(A74="","",IF(OR(S74="",T74=""),"Нет данных",IF(AND(S74&gt;0,T74&lt;INT(Продажи!$D$4)),S74,0)))</f>
        <v/>
      </c>
      <c r="AB74" s="6" t="str">
        <f t="shared" si="10"/>
        <v/>
      </c>
      <c r="AC74" s="6">
        <f t="shared" si="11"/>
        <v>0</v>
      </c>
      <c r="AD74" s="9"/>
    </row>
    <row r="75" spans="1:30" ht="25" customHeight="1">
      <c r="A75" s="5"/>
      <c r="B75" s="5"/>
      <c r="C75" s="5"/>
      <c r="D75" s="5"/>
      <c r="E75" s="5"/>
      <c r="F75" s="5"/>
      <c r="G75" s="7"/>
      <c r="H75" s="7"/>
      <c r="I75" s="5"/>
      <c r="J75" s="5"/>
      <c r="K75" s="5"/>
      <c r="L75" s="5"/>
      <c r="M75" s="5"/>
      <c r="N75" s="5"/>
      <c r="O75" s="5"/>
      <c r="P75" s="5"/>
      <c r="Q75" s="5"/>
      <c r="R75" s="5"/>
      <c r="S75" s="9"/>
      <c r="T75" s="8"/>
      <c r="U75" s="5"/>
      <c r="V75" s="6" t="str">
        <f t="shared" si="8"/>
        <v/>
      </c>
      <c r="W75" s="6" t="str">
        <f t="shared" si="9"/>
        <v/>
      </c>
      <c r="X75" s="6">
        <f>IF(AND(A75&lt;&gt;"",V75&lt;&gt;"Закрыто",OR(Продажи!$I$4="Все",D75=Продажи!$I$4),OR(Продажи!$O$4="Все",E75=Продажи!$O$4)),1,0)</f>
        <v>0</v>
      </c>
      <c r="Y75" s="6" t="str">
        <f>IF(A75="","",IF(AND(ISNUMBER(H75),H75&lt;Продажи!$D$4,W75&lt;&gt;"",V75&lt;&gt;"Закрыто"),1,0))</f>
        <v/>
      </c>
      <c r="Z75" s="6" t="str">
        <f>IF(A75="","",IF(V75="Закрыто",0,IF(COUNTIFS(Действия!$B$7:$B$106,A75,Действия!$N$7:$N$106,1,Действия!$D$7:$D$106,"Продажи")=0,1,0)))</f>
        <v/>
      </c>
      <c r="AA75" s="10" t="str">
        <f>IF(A75="","",IF(OR(S75="",T75=""),"Нет данных",IF(AND(S75&gt;0,T75&lt;INT(Продажи!$D$4)),S75,0)))</f>
        <v/>
      </c>
      <c r="AB75" s="6" t="str">
        <f t="shared" si="10"/>
        <v/>
      </c>
      <c r="AC75" s="6">
        <f t="shared" si="11"/>
        <v>0</v>
      </c>
      <c r="AD75" s="9"/>
    </row>
    <row r="76" spans="1:30" ht="25" customHeight="1">
      <c r="A76" s="5"/>
      <c r="B76" s="5"/>
      <c r="C76" s="5"/>
      <c r="D76" s="5"/>
      <c r="E76" s="5"/>
      <c r="F76" s="5"/>
      <c r="G76" s="7"/>
      <c r="H76" s="7"/>
      <c r="I76" s="5"/>
      <c r="J76" s="5"/>
      <c r="K76" s="5"/>
      <c r="L76" s="5"/>
      <c r="M76" s="5"/>
      <c r="N76" s="5"/>
      <c r="O76" s="5"/>
      <c r="P76" s="5"/>
      <c r="Q76" s="5"/>
      <c r="R76" s="5"/>
      <c r="S76" s="9"/>
      <c r="T76" s="8"/>
      <c r="U76" s="5"/>
      <c r="V76" s="6" t="str">
        <f t="shared" si="8"/>
        <v/>
      </c>
      <c r="W76" s="6" t="str">
        <f t="shared" si="9"/>
        <v/>
      </c>
      <c r="X76" s="6">
        <f>IF(AND(A76&lt;&gt;"",V76&lt;&gt;"Закрыто",OR(Продажи!$I$4="Все",D76=Продажи!$I$4),OR(Продажи!$O$4="Все",E76=Продажи!$O$4)),1,0)</f>
        <v>0</v>
      </c>
      <c r="Y76" s="6" t="str">
        <f>IF(A76="","",IF(AND(ISNUMBER(H76),H76&lt;Продажи!$D$4,W76&lt;&gt;"",V76&lt;&gt;"Закрыто"),1,0))</f>
        <v/>
      </c>
      <c r="Z76" s="6" t="str">
        <f>IF(A76="","",IF(V76="Закрыто",0,IF(COUNTIFS(Действия!$B$7:$B$106,A76,Действия!$N$7:$N$106,1,Действия!$D$7:$D$106,"Продажи")=0,1,0)))</f>
        <v/>
      </c>
      <c r="AA76" s="10" t="str">
        <f>IF(A76="","",IF(OR(S76="",T76=""),"Нет данных",IF(AND(S76&gt;0,T76&lt;INT(Продажи!$D$4)),S76,0)))</f>
        <v/>
      </c>
      <c r="AB76" s="6" t="str">
        <f t="shared" si="10"/>
        <v/>
      </c>
      <c r="AC76" s="6">
        <f t="shared" si="11"/>
        <v>0</v>
      </c>
      <c r="AD76" s="9"/>
    </row>
    <row r="77" spans="1:30" ht="25" customHeight="1">
      <c r="A77" s="5"/>
      <c r="B77" s="5"/>
      <c r="C77" s="5"/>
      <c r="D77" s="5"/>
      <c r="E77" s="5"/>
      <c r="F77" s="5"/>
      <c r="G77" s="7"/>
      <c r="H77" s="7"/>
      <c r="I77" s="5"/>
      <c r="J77" s="5"/>
      <c r="K77" s="5"/>
      <c r="L77" s="5"/>
      <c r="M77" s="5"/>
      <c r="N77" s="5"/>
      <c r="O77" s="5"/>
      <c r="P77" s="5"/>
      <c r="Q77" s="5"/>
      <c r="R77" s="5"/>
      <c r="S77" s="9"/>
      <c r="T77" s="8"/>
      <c r="U77" s="5"/>
      <c r="V77" s="6" t="str">
        <f t="shared" si="8"/>
        <v/>
      </c>
      <c r="W77" s="6" t="str">
        <f t="shared" si="9"/>
        <v/>
      </c>
      <c r="X77" s="6">
        <f>IF(AND(A77&lt;&gt;"",V77&lt;&gt;"Закрыто",OR(Продажи!$I$4="Все",D77=Продажи!$I$4),OR(Продажи!$O$4="Все",E77=Продажи!$O$4)),1,0)</f>
        <v>0</v>
      </c>
      <c r="Y77" s="6" t="str">
        <f>IF(A77="","",IF(AND(ISNUMBER(H77),H77&lt;Продажи!$D$4,W77&lt;&gt;"",V77&lt;&gt;"Закрыто"),1,0))</f>
        <v/>
      </c>
      <c r="Z77" s="6" t="str">
        <f>IF(A77="","",IF(V77="Закрыто",0,IF(COUNTIFS(Действия!$B$7:$B$106,A77,Действия!$N$7:$N$106,1,Действия!$D$7:$D$106,"Продажи")=0,1,0)))</f>
        <v/>
      </c>
      <c r="AA77" s="10" t="str">
        <f>IF(A77="","",IF(OR(S77="",T77=""),"Нет данных",IF(AND(S77&gt;0,T77&lt;INT(Продажи!$D$4)),S77,0)))</f>
        <v/>
      </c>
      <c r="AB77" s="6" t="str">
        <f t="shared" si="10"/>
        <v/>
      </c>
      <c r="AC77" s="6">
        <f t="shared" si="11"/>
        <v>0</v>
      </c>
      <c r="AD77" s="9"/>
    </row>
    <row r="78" spans="1:30" ht="25" customHeight="1">
      <c r="A78" s="5"/>
      <c r="B78" s="5"/>
      <c r="C78" s="5"/>
      <c r="D78" s="5"/>
      <c r="E78" s="5"/>
      <c r="F78" s="5"/>
      <c r="G78" s="7"/>
      <c r="H78" s="7"/>
      <c r="I78" s="5"/>
      <c r="J78" s="5"/>
      <c r="K78" s="5"/>
      <c r="L78" s="5"/>
      <c r="M78" s="5"/>
      <c r="N78" s="5"/>
      <c r="O78" s="5"/>
      <c r="P78" s="5"/>
      <c r="Q78" s="5"/>
      <c r="R78" s="5"/>
      <c r="S78" s="9"/>
      <c r="T78" s="8"/>
      <c r="U78" s="5"/>
      <c r="V78" s="6" t="str">
        <f t="shared" si="8"/>
        <v/>
      </c>
      <c r="W78" s="6" t="str">
        <f t="shared" si="9"/>
        <v/>
      </c>
      <c r="X78" s="6">
        <f>IF(AND(A78&lt;&gt;"",V78&lt;&gt;"Закрыто",OR(Продажи!$I$4="Все",D78=Продажи!$I$4),OR(Продажи!$O$4="Все",E78=Продажи!$O$4)),1,0)</f>
        <v>0</v>
      </c>
      <c r="Y78" s="6" t="str">
        <f>IF(A78="","",IF(AND(ISNUMBER(H78),H78&lt;Продажи!$D$4,W78&lt;&gt;"",V78&lt;&gt;"Закрыто"),1,0))</f>
        <v/>
      </c>
      <c r="Z78" s="6" t="str">
        <f>IF(A78="","",IF(V78="Закрыто",0,IF(COUNTIFS(Действия!$B$7:$B$106,A78,Действия!$N$7:$N$106,1,Действия!$D$7:$D$106,"Продажи")=0,1,0)))</f>
        <v/>
      </c>
      <c r="AA78" s="10" t="str">
        <f>IF(A78="","",IF(OR(S78="",T78=""),"Нет данных",IF(AND(S78&gt;0,T78&lt;INT(Продажи!$D$4)),S78,0)))</f>
        <v/>
      </c>
      <c r="AB78" s="6" t="str">
        <f t="shared" si="10"/>
        <v/>
      </c>
      <c r="AC78" s="6">
        <f t="shared" si="11"/>
        <v>0</v>
      </c>
      <c r="AD78" s="9"/>
    </row>
    <row r="79" spans="1:30" ht="25" customHeight="1">
      <c r="A79" s="5"/>
      <c r="B79" s="5"/>
      <c r="C79" s="5"/>
      <c r="D79" s="5"/>
      <c r="E79" s="5"/>
      <c r="F79" s="5"/>
      <c r="G79" s="7"/>
      <c r="H79" s="7"/>
      <c r="I79" s="5"/>
      <c r="J79" s="5"/>
      <c r="K79" s="5"/>
      <c r="L79" s="5"/>
      <c r="M79" s="5"/>
      <c r="N79" s="5"/>
      <c r="O79" s="5"/>
      <c r="P79" s="5"/>
      <c r="Q79" s="5"/>
      <c r="R79" s="5"/>
      <c r="S79" s="9"/>
      <c r="T79" s="8"/>
      <c r="U79" s="5"/>
      <c r="V79" s="6" t="str">
        <f t="shared" si="8"/>
        <v/>
      </c>
      <c r="W79" s="6" t="str">
        <f t="shared" si="9"/>
        <v/>
      </c>
      <c r="X79" s="6">
        <f>IF(AND(A79&lt;&gt;"",V79&lt;&gt;"Закрыто",OR(Продажи!$I$4="Все",D79=Продажи!$I$4),OR(Продажи!$O$4="Все",E79=Продажи!$O$4)),1,0)</f>
        <v>0</v>
      </c>
      <c r="Y79" s="6" t="str">
        <f>IF(A79="","",IF(AND(ISNUMBER(H79),H79&lt;Продажи!$D$4,W79&lt;&gt;"",V79&lt;&gt;"Закрыто"),1,0))</f>
        <v/>
      </c>
      <c r="Z79" s="6" t="str">
        <f>IF(A79="","",IF(V79="Закрыто",0,IF(COUNTIFS(Действия!$B$7:$B$106,A79,Действия!$N$7:$N$106,1,Действия!$D$7:$D$106,"Продажи")=0,1,0)))</f>
        <v/>
      </c>
      <c r="AA79" s="10" t="str">
        <f>IF(A79="","",IF(OR(S79="",T79=""),"Нет данных",IF(AND(S79&gt;0,T79&lt;INT(Продажи!$D$4)),S79,0)))</f>
        <v/>
      </c>
      <c r="AB79" s="6" t="str">
        <f t="shared" si="10"/>
        <v/>
      </c>
      <c r="AC79" s="6">
        <f t="shared" si="11"/>
        <v>0</v>
      </c>
      <c r="AD79" s="9"/>
    </row>
    <row r="80" spans="1:30" ht="25" customHeight="1">
      <c r="A80" s="5"/>
      <c r="B80" s="5"/>
      <c r="C80" s="5"/>
      <c r="D80" s="5"/>
      <c r="E80" s="5"/>
      <c r="F80" s="5"/>
      <c r="G80" s="7"/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9"/>
      <c r="T80" s="8"/>
      <c r="U80" s="5"/>
      <c r="V80" s="6" t="str">
        <f t="shared" si="8"/>
        <v/>
      </c>
      <c r="W80" s="6" t="str">
        <f t="shared" si="9"/>
        <v/>
      </c>
      <c r="X80" s="6">
        <f>IF(AND(A80&lt;&gt;"",V80&lt;&gt;"Закрыто",OR(Продажи!$I$4="Все",D80=Продажи!$I$4),OR(Продажи!$O$4="Все",E80=Продажи!$O$4)),1,0)</f>
        <v>0</v>
      </c>
      <c r="Y80" s="6" t="str">
        <f>IF(A80="","",IF(AND(ISNUMBER(H80),H80&lt;Продажи!$D$4,W80&lt;&gt;"",V80&lt;&gt;"Закрыто"),1,0))</f>
        <v/>
      </c>
      <c r="Z80" s="6" t="str">
        <f>IF(A80="","",IF(V80="Закрыто",0,IF(COUNTIFS(Действия!$B$7:$B$106,A80,Действия!$N$7:$N$106,1,Действия!$D$7:$D$106,"Продажи")=0,1,0)))</f>
        <v/>
      </c>
      <c r="AA80" s="10" t="str">
        <f>IF(A80="","",IF(OR(S80="",T80=""),"Нет данных",IF(AND(S80&gt;0,T80&lt;INT(Продажи!$D$4)),S80,0)))</f>
        <v/>
      </c>
      <c r="AB80" s="6" t="str">
        <f t="shared" si="10"/>
        <v/>
      </c>
      <c r="AC80" s="6">
        <f t="shared" si="11"/>
        <v>0</v>
      </c>
      <c r="AD80" s="9"/>
    </row>
    <row r="81" spans="1:30" ht="25" customHeight="1">
      <c r="A81" s="5"/>
      <c r="B81" s="5"/>
      <c r="C81" s="5"/>
      <c r="D81" s="5"/>
      <c r="E81" s="5"/>
      <c r="F81" s="5"/>
      <c r="G81" s="7"/>
      <c r="H81" s="7"/>
      <c r="I81" s="5"/>
      <c r="J81" s="5"/>
      <c r="K81" s="5"/>
      <c r="L81" s="5"/>
      <c r="M81" s="5"/>
      <c r="N81" s="5"/>
      <c r="O81" s="5"/>
      <c r="P81" s="5"/>
      <c r="Q81" s="5"/>
      <c r="R81" s="5"/>
      <c r="S81" s="9"/>
      <c r="T81" s="8"/>
      <c r="U81" s="5"/>
      <c r="V81" s="6" t="str">
        <f t="shared" si="8"/>
        <v/>
      </c>
      <c r="W81" s="6" t="str">
        <f t="shared" si="9"/>
        <v/>
      </c>
      <c r="X81" s="6">
        <f>IF(AND(A81&lt;&gt;"",V81&lt;&gt;"Закрыто",OR(Продажи!$I$4="Все",D81=Продажи!$I$4),OR(Продажи!$O$4="Все",E81=Продажи!$O$4)),1,0)</f>
        <v>0</v>
      </c>
      <c r="Y81" s="6" t="str">
        <f>IF(A81="","",IF(AND(ISNUMBER(H81),H81&lt;Продажи!$D$4,W81&lt;&gt;"",V81&lt;&gt;"Закрыто"),1,0))</f>
        <v/>
      </c>
      <c r="Z81" s="6" t="str">
        <f>IF(A81="","",IF(V81="Закрыто",0,IF(COUNTIFS(Действия!$B$7:$B$106,A81,Действия!$N$7:$N$106,1,Действия!$D$7:$D$106,"Продажи")=0,1,0)))</f>
        <v/>
      </c>
      <c r="AA81" s="10" t="str">
        <f>IF(A81="","",IF(OR(S81="",T81=""),"Нет данных",IF(AND(S81&gt;0,T81&lt;INT(Продажи!$D$4)),S81,0)))</f>
        <v/>
      </c>
      <c r="AB81" s="6" t="str">
        <f t="shared" si="10"/>
        <v/>
      </c>
      <c r="AC81" s="6">
        <f t="shared" si="11"/>
        <v>0</v>
      </c>
      <c r="AD81" s="9"/>
    </row>
    <row r="82" spans="1:30" ht="25" customHeight="1">
      <c r="A82" s="5"/>
      <c r="B82" s="5"/>
      <c r="C82" s="5"/>
      <c r="D82" s="5"/>
      <c r="E82" s="5"/>
      <c r="F82" s="5"/>
      <c r="G82" s="7"/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9"/>
      <c r="T82" s="8"/>
      <c r="U82" s="5"/>
      <c r="V82" s="6" t="str">
        <f t="shared" si="8"/>
        <v/>
      </c>
      <c r="W82" s="6" t="str">
        <f t="shared" si="9"/>
        <v/>
      </c>
      <c r="X82" s="6">
        <f>IF(AND(A82&lt;&gt;"",V82&lt;&gt;"Закрыто",OR(Продажи!$I$4="Все",D82=Продажи!$I$4),OR(Продажи!$O$4="Все",E82=Продажи!$O$4)),1,0)</f>
        <v>0</v>
      </c>
      <c r="Y82" s="6" t="str">
        <f>IF(A82="","",IF(AND(ISNUMBER(H82),H82&lt;Продажи!$D$4,W82&lt;&gt;"",V82&lt;&gt;"Закрыто"),1,0))</f>
        <v/>
      </c>
      <c r="Z82" s="6" t="str">
        <f>IF(A82="","",IF(V82="Закрыто",0,IF(COUNTIFS(Действия!$B$7:$B$106,A82,Действия!$N$7:$N$106,1,Действия!$D$7:$D$106,"Продажи")=0,1,0)))</f>
        <v/>
      </c>
      <c r="AA82" s="10" t="str">
        <f>IF(A82="","",IF(OR(S82="",T82=""),"Нет данных",IF(AND(S82&gt;0,T82&lt;INT(Продажи!$D$4)),S82,0)))</f>
        <v/>
      </c>
      <c r="AB82" s="6" t="str">
        <f t="shared" si="10"/>
        <v/>
      </c>
      <c r="AC82" s="6">
        <f t="shared" si="11"/>
        <v>0</v>
      </c>
      <c r="AD82" s="9"/>
    </row>
    <row r="83" spans="1:30" ht="25" customHeight="1">
      <c r="A83" s="5"/>
      <c r="B83" s="5"/>
      <c r="C83" s="5"/>
      <c r="D83" s="5"/>
      <c r="E83" s="5"/>
      <c r="F83" s="5"/>
      <c r="G83" s="7"/>
      <c r="H83" s="7"/>
      <c r="I83" s="5"/>
      <c r="J83" s="5"/>
      <c r="K83" s="5"/>
      <c r="L83" s="5"/>
      <c r="M83" s="5"/>
      <c r="N83" s="5"/>
      <c r="O83" s="5"/>
      <c r="P83" s="5"/>
      <c r="Q83" s="5"/>
      <c r="R83" s="5"/>
      <c r="S83" s="9"/>
      <c r="T83" s="8"/>
      <c r="U83" s="5"/>
      <c r="V83" s="6" t="str">
        <f t="shared" si="8"/>
        <v/>
      </c>
      <c r="W83" s="6" t="str">
        <f t="shared" si="9"/>
        <v/>
      </c>
      <c r="X83" s="6">
        <f>IF(AND(A83&lt;&gt;"",V83&lt;&gt;"Закрыто",OR(Продажи!$I$4="Все",D83=Продажи!$I$4),OR(Продажи!$O$4="Все",E83=Продажи!$O$4)),1,0)</f>
        <v>0</v>
      </c>
      <c r="Y83" s="6" t="str">
        <f>IF(A83="","",IF(AND(ISNUMBER(H83),H83&lt;Продажи!$D$4,W83&lt;&gt;"",V83&lt;&gt;"Закрыто"),1,0))</f>
        <v/>
      </c>
      <c r="Z83" s="6" t="str">
        <f>IF(A83="","",IF(V83="Закрыто",0,IF(COUNTIFS(Действия!$B$7:$B$106,A83,Действия!$N$7:$N$106,1,Действия!$D$7:$D$106,"Продажи")=0,1,0)))</f>
        <v/>
      </c>
      <c r="AA83" s="10" t="str">
        <f>IF(A83="","",IF(OR(S83="",T83=""),"Нет данных",IF(AND(S83&gt;0,T83&lt;INT(Продажи!$D$4)),S83,0)))</f>
        <v/>
      </c>
      <c r="AB83" s="6" t="str">
        <f t="shared" si="10"/>
        <v/>
      </c>
      <c r="AC83" s="6">
        <f t="shared" si="11"/>
        <v>0</v>
      </c>
      <c r="AD83" s="9"/>
    </row>
    <row r="84" spans="1:30" ht="25" customHeight="1">
      <c r="A84" s="5"/>
      <c r="B84" s="5"/>
      <c r="C84" s="5"/>
      <c r="D84" s="5"/>
      <c r="E84" s="5"/>
      <c r="F84" s="5"/>
      <c r="G84" s="7"/>
      <c r="H84" s="7"/>
      <c r="I84" s="5"/>
      <c r="J84" s="5"/>
      <c r="K84" s="5"/>
      <c r="L84" s="5"/>
      <c r="M84" s="5"/>
      <c r="N84" s="5"/>
      <c r="O84" s="5"/>
      <c r="P84" s="5"/>
      <c r="Q84" s="5"/>
      <c r="R84" s="5"/>
      <c r="S84" s="9"/>
      <c r="T84" s="8"/>
      <c r="U84" s="5"/>
      <c r="V84" s="6" t="str">
        <f t="shared" si="8"/>
        <v/>
      </c>
      <c r="W84" s="6" t="str">
        <f t="shared" si="9"/>
        <v/>
      </c>
      <c r="X84" s="6">
        <f>IF(AND(A84&lt;&gt;"",V84&lt;&gt;"Закрыто",OR(Продажи!$I$4="Все",D84=Продажи!$I$4),OR(Продажи!$O$4="Все",E84=Продажи!$O$4)),1,0)</f>
        <v>0</v>
      </c>
      <c r="Y84" s="6" t="str">
        <f>IF(A84="","",IF(AND(ISNUMBER(H84),H84&lt;Продажи!$D$4,W84&lt;&gt;"",V84&lt;&gt;"Закрыто"),1,0))</f>
        <v/>
      </c>
      <c r="Z84" s="6" t="str">
        <f>IF(A84="","",IF(V84="Закрыто",0,IF(COUNTIFS(Действия!$B$7:$B$106,A84,Действия!$N$7:$N$106,1,Действия!$D$7:$D$106,"Продажи")=0,1,0)))</f>
        <v/>
      </c>
      <c r="AA84" s="10" t="str">
        <f>IF(A84="","",IF(OR(S84="",T84=""),"Нет данных",IF(AND(S84&gt;0,T84&lt;INT(Продажи!$D$4)),S84,0)))</f>
        <v/>
      </c>
      <c r="AB84" s="6" t="str">
        <f t="shared" si="10"/>
        <v/>
      </c>
      <c r="AC84" s="6">
        <f t="shared" si="11"/>
        <v>0</v>
      </c>
      <c r="AD84" s="9"/>
    </row>
    <row r="85" spans="1:30" ht="25" customHeight="1">
      <c r="A85" s="5"/>
      <c r="B85" s="5"/>
      <c r="C85" s="5"/>
      <c r="D85" s="5"/>
      <c r="E85" s="5"/>
      <c r="F85" s="5"/>
      <c r="G85" s="7"/>
      <c r="H85" s="7"/>
      <c r="I85" s="5"/>
      <c r="J85" s="5"/>
      <c r="K85" s="5"/>
      <c r="L85" s="5"/>
      <c r="M85" s="5"/>
      <c r="N85" s="5"/>
      <c r="O85" s="5"/>
      <c r="P85" s="5"/>
      <c r="Q85" s="5"/>
      <c r="R85" s="5"/>
      <c r="S85" s="9"/>
      <c r="T85" s="8"/>
      <c r="U85" s="5"/>
      <c r="V85" s="6" t="str">
        <f t="shared" si="8"/>
        <v/>
      </c>
      <c r="W85" s="6" t="str">
        <f t="shared" si="9"/>
        <v/>
      </c>
      <c r="X85" s="6">
        <f>IF(AND(A85&lt;&gt;"",V85&lt;&gt;"Закрыто",OR(Продажи!$I$4="Все",D85=Продажи!$I$4),OR(Продажи!$O$4="Все",E85=Продажи!$O$4)),1,0)</f>
        <v>0</v>
      </c>
      <c r="Y85" s="6" t="str">
        <f>IF(A85="","",IF(AND(ISNUMBER(H85),H85&lt;Продажи!$D$4,W85&lt;&gt;"",V85&lt;&gt;"Закрыто"),1,0))</f>
        <v/>
      </c>
      <c r="Z85" s="6" t="str">
        <f>IF(A85="","",IF(V85="Закрыто",0,IF(COUNTIFS(Действия!$B$7:$B$106,A85,Действия!$N$7:$N$106,1,Действия!$D$7:$D$106,"Продажи")=0,1,0)))</f>
        <v/>
      </c>
      <c r="AA85" s="10" t="str">
        <f>IF(A85="","",IF(OR(S85="",T85=""),"Нет данных",IF(AND(S85&gt;0,T85&lt;INT(Продажи!$D$4)),S85,0)))</f>
        <v/>
      </c>
      <c r="AB85" s="6" t="str">
        <f t="shared" si="10"/>
        <v/>
      </c>
      <c r="AC85" s="6">
        <f t="shared" si="11"/>
        <v>0</v>
      </c>
      <c r="AD85" s="9"/>
    </row>
    <row r="86" spans="1:30" ht="25" customHeight="1">
      <c r="A86" s="5"/>
      <c r="B86" s="5"/>
      <c r="C86" s="5"/>
      <c r="D86" s="5"/>
      <c r="E86" s="5"/>
      <c r="F86" s="5"/>
      <c r="G86" s="7"/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9"/>
      <c r="T86" s="8"/>
      <c r="U86" s="5"/>
      <c r="V86" s="6" t="str">
        <f t="shared" si="8"/>
        <v/>
      </c>
      <c r="W86" s="6" t="str">
        <f t="shared" si="9"/>
        <v/>
      </c>
      <c r="X86" s="6">
        <f>IF(AND(A86&lt;&gt;"",V86&lt;&gt;"Закрыто",OR(Продажи!$I$4="Все",D86=Продажи!$I$4),OR(Продажи!$O$4="Все",E86=Продажи!$O$4)),1,0)</f>
        <v>0</v>
      </c>
      <c r="Y86" s="6" t="str">
        <f>IF(A86="","",IF(AND(ISNUMBER(H86),H86&lt;Продажи!$D$4,W86&lt;&gt;"",V86&lt;&gt;"Закрыто"),1,0))</f>
        <v/>
      </c>
      <c r="Z86" s="6" t="str">
        <f>IF(A86="","",IF(V86="Закрыто",0,IF(COUNTIFS(Действия!$B$7:$B$106,A86,Действия!$N$7:$N$106,1,Действия!$D$7:$D$106,"Продажи")=0,1,0)))</f>
        <v/>
      </c>
      <c r="AA86" s="10" t="str">
        <f>IF(A86="","",IF(OR(S86="",T86=""),"Нет данных",IF(AND(S86&gt;0,T86&lt;INT(Продажи!$D$4)),S86,0)))</f>
        <v/>
      </c>
      <c r="AB86" s="6" t="str">
        <f t="shared" si="10"/>
        <v/>
      </c>
      <c r="AC86" s="6">
        <f t="shared" si="11"/>
        <v>0</v>
      </c>
      <c r="AD86" s="9"/>
    </row>
    <row r="87" spans="1:30" ht="25" customHeight="1">
      <c r="A87" s="5"/>
      <c r="B87" s="5"/>
      <c r="C87" s="5"/>
      <c r="D87" s="5"/>
      <c r="E87" s="5"/>
      <c r="F87" s="5"/>
      <c r="G87" s="7"/>
      <c r="H87" s="7"/>
      <c r="I87" s="5"/>
      <c r="J87" s="5"/>
      <c r="K87" s="5"/>
      <c r="L87" s="5"/>
      <c r="M87" s="5"/>
      <c r="N87" s="5"/>
      <c r="O87" s="5"/>
      <c r="P87" s="5"/>
      <c r="Q87" s="5"/>
      <c r="R87" s="5"/>
      <c r="S87" s="9"/>
      <c r="T87" s="8"/>
      <c r="U87" s="5"/>
      <c r="V87" s="6" t="str">
        <f t="shared" si="8"/>
        <v/>
      </c>
      <c r="W87" s="6" t="str">
        <f t="shared" si="9"/>
        <v/>
      </c>
      <c r="X87" s="6">
        <f>IF(AND(A87&lt;&gt;"",V87&lt;&gt;"Закрыто",OR(Продажи!$I$4="Все",D87=Продажи!$I$4),OR(Продажи!$O$4="Все",E87=Продажи!$O$4)),1,0)</f>
        <v>0</v>
      </c>
      <c r="Y87" s="6" t="str">
        <f>IF(A87="","",IF(AND(ISNUMBER(H87),H87&lt;Продажи!$D$4,W87&lt;&gt;"",V87&lt;&gt;"Закрыто"),1,0))</f>
        <v/>
      </c>
      <c r="Z87" s="6" t="str">
        <f>IF(A87="","",IF(V87="Закрыто",0,IF(COUNTIFS(Действия!$B$7:$B$106,A87,Действия!$N$7:$N$106,1,Действия!$D$7:$D$106,"Продажи")=0,1,0)))</f>
        <v/>
      </c>
      <c r="AA87" s="10" t="str">
        <f>IF(A87="","",IF(OR(S87="",T87=""),"Нет данных",IF(AND(S87&gt;0,T87&lt;INT(Продажи!$D$4)),S87,0)))</f>
        <v/>
      </c>
      <c r="AB87" s="6" t="str">
        <f t="shared" si="10"/>
        <v/>
      </c>
      <c r="AC87" s="6">
        <f t="shared" si="11"/>
        <v>0</v>
      </c>
      <c r="AD87" s="9"/>
    </row>
    <row r="88" spans="1:30" ht="25" customHeight="1">
      <c r="A88" s="5"/>
      <c r="B88" s="5"/>
      <c r="C88" s="5"/>
      <c r="D88" s="5"/>
      <c r="E88" s="5"/>
      <c r="F88" s="5"/>
      <c r="G88" s="7"/>
      <c r="H88" s="7"/>
      <c r="I88" s="5"/>
      <c r="J88" s="5"/>
      <c r="K88" s="5"/>
      <c r="L88" s="5"/>
      <c r="M88" s="5"/>
      <c r="N88" s="5"/>
      <c r="O88" s="5"/>
      <c r="P88" s="5"/>
      <c r="Q88" s="5"/>
      <c r="R88" s="5"/>
      <c r="S88" s="9"/>
      <c r="T88" s="8"/>
      <c r="U88" s="5"/>
      <c r="V88" s="6" t="str">
        <f t="shared" si="8"/>
        <v/>
      </c>
      <c r="W88" s="6" t="str">
        <f t="shared" si="9"/>
        <v/>
      </c>
      <c r="X88" s="6">
        <f>IF(AND(A88&lt;&gt;"",V88&lt;&gt;"Закрыто",OR(Продажи!$I$4="Все",D88=Продажи!$I$4),OR(Продажи!$O$4="Все",E88=Продажи!$O$4)),1,0)</f>
        <v>0</v>
      </c>
      <c r="Y88" s="6" t="str">
        <f>IF(A88="","",IF(AND(ISNUMBER(H88),H88&lt;Продажи!$D$4,W88&lt;&gt;"",V88&lt;&gt;"Закрыто"),1,0))</f>
        <v/>
      </c>
      <c r="Z88" s="6" t="str">
        <f>IF(A88="","",IF(V88="Закрыто",0,IF(COUNTIFS(Действия!$B$7:$B$106,A88,Действия!$N$7:$N$106,1,Действия!$D$7:$D$106,"Продажи")=0,1,0)))</f>
        <v/>
      </c>
      <c r="AA88" s="10" t="str">
        <f>IF(A88="","",IF(OR(S88="",T88=""),"Нет данных",IF(AND(S88&gt;0,T88&lt;INT(Продажи!$D$4)),S88,0)))</f>
        <v/>
      </c>
      <c r="AB88" s="6" t="str">
        <f t="shared" si="10"/>
        <v/>
      </c>
      <c r="AC88" s="6">
        <f t="shared" si="11"/>
        <v>0</v>
      </c>
      <c r="AD88" s="9"/>
    </row>
    <row r="89" spans="1:30" ht="25" customHeight="1">
      <c r="A89" s="5"/>
      <c r="B89" s="5"/>
      <c r="C89" s="5"/>
      <c r="D89" s="5"/>
      <c r="E89" s="5"/>
      <c r="F89" s="5"/>
      <c r="G89" s="7"/>
      <c r="H89" s="7"/>
      <c r="I89" s="5"/>
      <c r="J89" s="5"/>
      <c r="K89" s="5"/>
      <c r="L89" s="5"/>
      <c r="M89" s="5"/>
      <c r="N89" s="5"/>
      <c r="O89" s="5"/>
      <c r="P89" s="5"/>
      <c r="Q89" s="5"/>
      <c r="R89" s="5"/>
      <c r="S89" s="9"/>
      <c r="T89" s="8"/>
      <c r="U89" s="5"/>
      <c r="V89" s="6" t="str">
        <f t="shared" si="8"/>
        <v/>
      </c>
      <c r="W89" s="6" t="str">
        <f t="shared" si="9"/>
        <v/>
      </c>
      <c r="X89" s="6">
        <f>IF(AND(A89&lt;&gt;"",V89&lt;&gt;"Закрыто",OR(Продажи!$I$4="Все",D89=Продажи!$I$4),OR(Продажи!$O$4="Все",E89=Продажи!$O$4)),1,0)</f>
        <v>0</v>
      </c>
      <c r="Y89" s="6" t="str">
        <f>IF(A89="","",IF(AND(ISNUMBER(H89),H89&lt;Продажи!$D$4,W89&lt;&gt;"",V89&lt;&gt;"Закрыто"),1,0))</f>
        <v/>
      </c>
      <c r="Z89" s="6" t="str">
        <f>IF(A89="","",IF(V89="Закрыто",0,IF(COUNTIFS(Действия!$B$7:$B$106,A89,Действия!$N$7:$N$106,1,Действия!$D$7:$D$106,"Продажи")=0,1,0)))</f>
        <v/>
      </c>
      <c r="AA89" s="10" t="str">
        <f>IF(A89="","",IF(OR(S89="",T89=""),"Нет данных",IF(AND(S89&gt;0,T89&lt;INT(Продажи!$D$4)),S89,0)))</f>
        <v/>
      </c>
      <c r="AB89" s="6" t="str">
        <f t="shared" si="10"/>
        <v/>
      </c>
      <c r="AC89" s="6">
        <f t="shared" si="11"/>
        <v>0</v>
      </c>
      <c r="AD89" s="9"/>
    </row>
    <row r="90" spans="1:30" ht="25" customHeight="1">
      <c r="A90" s="5"/>
      <c r="B90" s="5"/>
      <c r="C90" s="5"/>
      <c r="D90" s="5"/>
      <c r="E90" s="5"/>
      <c r="F90" s="5"/>
      <c r="G90" s="7"/>
      <c r="H90" s="7"/>
      <c r="I90" s="5"/>
      <c r="J90" s="5"/>
      <c r="K90" s="5"/>
      <c r="L90" s="5"/>
      <c r="M90" s="5"/>
      <c r="N90" s="5"/>
      <c r="O90" s="5"/>
      <c r="P90" s="5"/>
      <c r="Q90" s="5"/>
      <c r="R90" s="5"/>
      <c r="S90" s="9"/>
      <c r="T90" s="8"/>
      <c r="U90" s="5"/>
      <c r="V90" s="6" t="str">
        <f t="shared" si="8"/>
        <v/>
      </c>
      <c r="W90" s="6" t="str">
        <f t="shared" si="9"/>
        <v/>
      </c>
      <c r="X90" s="6">
        <f>IF(AND(A90&lt;&gt;"",V90&lt;&gt;"Закрыто",OR(Продажи!$I$4="Все",D90=Продажи!$I$4),OR(Продажи!$O$4="Все",E90=Продажи!$O$4)),1,0)</f>
        <v>0</v>
      </c>
      <c r="Y90" s="6" t="str">
        <f>IF(A90="","",IF(AND(ISNUMBER(H90),H90&lt;Продажи!$D$4,W90&lt;&gt;"",V90&lt;&gt;"Закрыто"),1,0))</f>
        <v/>
      </c>
      <c r="Z90" s="6" t="str">
        <f>IF(A90="","",IF(V90="Закрыто",0,IF(COUNTIFS(Действия!$B$7:$B$106,A90,Действия!$N$7:$N$106,1,Действия!$D$7:$D$106,"Продажи")=0,1,0)))</f>
        <v/>
      </c>
      <c r="AA90" s="10" t="str">
        <f>IF(A90="","",IF(OR(S90="",T90=""),"Нет данных",IF(AND(S90&gt;0,T90&lt;INT(Продажи!$D$4)),S90,0)))</f>
        <v/>
      </c>
      <c r="AB90" s="6" t="str">
        <f t="shared" si="10"/>
        <v/>
      </c>
      <c r="AC90" s="6">
        <f t="shared" si="11"/>
        <v>0</v>
      </c>
      <c r="AD90" s="9"/>
    </row>
    <row r="91" spans="1:30" ht="25" customHeight="1">
      <c r="A91" s="5"/>
      <c r="B91" s="5"/>
      <c r="C91" s="5"/>
      <c r="D91" s="5"/>
      <c r="E91" s="5"/>
      <c r="F91" s="5"/>
      <c r="G91" s="7"/>
      <c r="H91" s="7"/>
      <c r="I91" s="5"/>
      <c r="J91" s="5"/>
      <c r="K91" s="5"/>
      <c r="L91" s="5"/>
      <c r="M91" s="5"/>
      <c r="N91" s="5"/>
      <c r="O91" s="5"/>
      <c r="P91" s="5"/>
      <c r="Q91" s="5"/>
      <c r="R91" s="5"/>
      <c r="S91" s="9"/>
      <c r="T91" s="8"/>
      <c r="U91" s="5"/>
      <c r="V91" s="6" t="str">
        <f t="shared" si="8"/>
        <v/>
      </c>
      <c r="W91" s="6" t="str">
        <f t="shared" si="9"/>
        <v/>
      </c>
      <c r="X91" s="6">
        <f>IF(AND(A91&lt;&gt;"",V91&lt;&gt;"Закрыто",OR(Продажи!$I$4="Все",D91=Продажи!$I$4),OR(Продажи!$O$4="Все",E91=Продажи!$O$4)),1,0)</f>
        <v>0</v>
      </c>
      <c r="Y91" s="6" t="str">
        <f>IF(A91="","",IF(AND(ISNUMBER(H91),H91&lt;Продажи!$D$4,W91&lt;&gt;"",V91&lt;&gt;"Закрыто"),1,0))</f>
        <v/>
      </c>
      <c r="Z91" s="6" t="str">
        <f>IF(A91="","",IF(V91="Закрыто",0,IF(COUNTIFS(Действия!$B$7:$B$106,A91,Действия!$N$7:$N$106,1,Действия!$D$7:$D$106,"Продажи")=0,1,0)))</f>
        <v/>
      </c>
      <c r="AA91" s="10" t="str">
        <f>IF(A91="","",IF(OR(S91="",T91=""),"Нет данных",IF(AND(S91&gt;0,T91&lt;INT(Продажи!$D$4)),S91,0)))</f>
        <v/>
      </c>
      <c r="AB91" s="6" t="str">
        <f t="shared" si="10"/>
        <v/>
      </c>
      <c r="AC91" s="6">
        <f t="shared" si="11"/>
        <v>0</v>
      </c>
      <c r="AD91" s="9"/>
    </row>
    <row r="92" spans="1:30" ht="25" customHeight="1">
      <c r="A92" s="5"/>
      <c r="B92" s="5"/>
      <c r="C92" s="5"/>
      <c r="D92" s="5"/>
      <c r="E92" s="5"/>
      <c r="F92" s="5"/>
      <c r="G92" s="7"/>
      <c r="H92" s="7"/>
      <c r="I92" s="5"/>
      <c r="J92" s="5"/>
      <c r="K92" s="5"/>
      <c r="L92" s="5"/>
      <c r="M92" s="5"/>
      <c r="N92" s="5"/>
      <c r="O92" s="5"/>
      <c r="P92" s="5"/>
      <c r="Q92" s="5"/>
      <c r="R92" s="5"/>
      <c r="S92" s="9"/>
      <c r="T92" s="8"/>
      <c r="U92" s="5"/>
      <c r="V92" s="6" t="str">
        <f t="shared" si="8"/>
        <v/>
      </c>
      <c r="W92" s="6" t="str">
        <f t="shared" si="9"/>
        <v/>
      </c>
      <c r="X92" s="6">
        <f>IF(AND(A92&lt;&gt;"",V92&lt;&gt;"Закрыто",OR(Продажи!$I$4="Все",D92=Продажи!$I$4),OR(Продажи!$O$4="Все",E92=Продажи!$O$4)),1,0)</f>
        <v>0</v>
      </c>
      <c r="Y92" s="6" t="str">
        <f>IF(A92="","",IF(AND(ISNUMBER(H92),H92&lt;Продажи!$D$4,W92&lt;&gt;"",V92&lt;&gt;"Закрыто"),1,0))</f>
        <v/>
      </c>
      <c r="Z92" s="6" t="str">
        <f>IF(A92="","",IF(V92="Закрыто",0,IF(COUNTIFS(Действия!$B$7:$B$106,A92,Действия!$N$7:$N$106,1,Действия!$D$7:$D$106,"Продажи")=0,1,0)))</f>
        <v/>
      </c>
      <c r="AA92" s="10" t="str">
        <f>IF(A92="","",IF(OR(S92="",T92=""),"Нет данных",IF(AND(S92&gt;0,T92&lt;INT(Продажи!$D$4)),S92,0)))</f>
        <v/>
      </c>
      <c r="AB92" s="6" t="str">
        <f t="shared" si="10"/>
        <v/>
      </c>
      <c r="AC92" s="6">
        <f t="shared" si="11"/>
        <v>0</v>
      </c>
      <c r="AD92" s="9"/>
    </row>
    <row r="93" spans="1:30" ht="25" customHeight="1">
      <c r="A93" s="5"/>
      <c r="B93" s="5"/>
      <c r="C93" s="5"/>
      <c r="D93" s="5"/>
      <c r="E93" s="5"/>
      <c r="F93" s="5"/>
      <c r="G93" s="7"/>
      <c r="H93" s="7"/>
      <c r="I93" s="5"/>
      <c r="J93" s="5"/>
      <c r="K93" s="5"/>
      <c r="L93" s="5"/>
      <c r="M93" s="5"/>
      <c r="N93" s="5"/>
      <c r="O93" s="5"/>
      <c r="P93" s="5"/>
      <c r="Q93" s="5"/>
      <c r="R93" s="5"/>
      <c r="S93" s="9"/>
      <c r="T93" s="8"/>
      <c r="U93" s="5"/>
      <c r="V93" s="6" t="str">
        <f t="shared" si="8"/>
        <v/>
      </c>
      <c r="W93" s="6" t="str">
        <f t="shared" si="9"/>
        <v/>
      </c>
      <c r="X93" s="6">
        <f>IF(AND(A93&lt;&gt;"",V93&lt;&gt;"Закрыто",OR(Продажи!$I$4="Все",D93=Продажи!$I$4),OR(Продажи!$O$4="Все",E93=Продажи!$O$4)),1,0)</f>
        <v>0</v>
      </c>
      <c r="Y93" s="6" t="str">
        <f>IF(A93="","",IF(AND(ISNUMBER(H93),H93&lt;Продажи!$D$4,W93&lt;&gt;"",V93&lt;&gt;"Закрыто"),1,0))</f>
        <v/>
      </c>
      <c r="Z93" s="6" t="str">
        <f>IF(A93="","",IF(V93="Закрыто",0,IF(COUNTIFS(Действия!$B$7:$B$106,A93,Действия!$N$7:$N$106,1,Действия!$D$7:$D$106,"Продажи")=0,1,0)))</f>
        <v/>
      </c>
      <c r="AA93" s="10" t="str">
        <f>IF(A93="","",IF(OR(S93="",T93=""),"Нет данных",IF(AND(S93&gt;0,T93&lt;INT(Продажи!$D$4)),S93,0)))</f>
        <v/>
      </c>
      <c r="AB93" s="6" t="str">
        <f t="shared" si="10"/>
        <v/>
      </c>
      <c r="AC93" s="6">
        <f t="shared" si="11"/>
        <v>0</v>
      </c>
      <c r="AD93" s="9"/>
    </row>
    <row r="94" spans="1:30" ht="25" customHeight="1">
      <c r="A94" s="5"/>
      <c r="B94" s="5"/>
      <c r="C94" s="5"/>
      <c r="D94" s="5"/>
      <c r="E94" s="5"/>
      <c r="F94" s="5"/>
      <c r="G94" s="7"/>
      <c r="H94" s="7"/>
      <c r="I94" s="5"/>
      <c r="J94" s="5"/>
      <c r="K94" s="5"/>
      <c r="L94" s="5"/>
      <c r="M94" s="5"/>
      <c r="N94" s="5"/>
      <c r="O94" s="5"/>
      <c r="P94" s="5"/>
      <c r="Q94" s="5"/>
      <c r="R94" s="5"/>
      <c r="S94" s="9"/>
      <c r="T94" s="8"/>
      <c r="U94" s="5"/>
      <c r="V94" s="6" t="str">
        <f t="shared" si="8"/>
        <v/>
      </c>
      <c r="W94" s="6" t="str">
        <f t="shared" si="9"/>
        <v/>
      </c>
      <c r="X94" s="6">
        <f>IF(AND(A94&lt;&gt;"",V94&lt;&gt;"Закрыто",OR(Продажи!$I$4="Все",D94=Продажи!$I$4),OR(Продажи!$O$4="Все",E94=Продажи!$O$4)),1,0)</f>
        <v>0</v>
      </c>
      <c r="Y94" s="6" t="str">
        <f>IF(A94="","",IF(AND(ISNUMBER(H94),H94&lt;Продажи!$D$4,W94&lt;&gt;"",V94&lt;&gt;"Закрыто"),1,0))</f>
        <v/>
      </c>
      <c r="Z94" s="6" t="str">
        <f>IF(A94="","",IF(V94="Закрыто",0,IF(COUNTIFS(Действия!$B$7:$B$106,A94,Действия!$N$7:$N$106,1,Действия!$D$7:$D$106,"Продажи")=0,1,0)))</f>
        <v/>
      </c>
      <c r="AA94" s="10" t="str">
        <f>IF(A94="","",IF(OR(S94="",T94=""),"Нет данных",IF(AND(S94&gt;0,T94&lt;INT(Продажи!$D$4)),S94,0)))</f>
        <v/>
      </c>
      <c r="AB94" s="6" t="str">
        <f t="shared" si="10"/>
        <v/>
      </c>
      <c r="AC94" s="6">
        <f t="shared" si="11"/>
        <v>0</v>
      </c>
      <c r="AD94" s="9"/>
    </row>
    <row r="95" spans="1:30" ht="25" customHeight="1">
      <c r="A95" s="5"/>
      <c r="B95" s="5"/>
      <c r="C95" s="5"/>
      <c r="D95" s="5"/>
      <c r="E95" s="5"/>
      <c r="F95" s="5"/>
      <c r="G95" s="7"/>
      <c r="H95" s="7"/>
      <c r="I95" s="5"/>
      <c r="J95" s="5"/>
      <c r="K95" s="5"/>
      <c r="L95" s="5"/>
      <c r="M95" s="5"/>
      <c r="N95" s="5"/>
      <c r="O95" s="5"/>
      <c r="P95" s="5"/>
      <c r="Q95" s="5"/>
      <c r="R95" s="5"/>
      <c r="S95" s="9"/>
      <c r="T95" s="8"/>
      <c r="U95" s="5"/>
      <c r="V95" s="6" t="str">
        <f t="shared" si="8"/>
        <v/>
      </c>
      <c r="W95" s="6" t="str">
        <f t="shared" si="9"/>
        <v/>
      </c>
      <c r="X95" s="6">
        <f>IF(AND(A95&lt;&gt;"",V95&lt;&gt;"Закрыто",OR(Продажи!$I$4="Все",D95=Продажи!$I$4),OR(Продажи!$O$4="Все",E95=Продажи!$O$4)),1,0)</f>
        <v>0</v>
      </c>
      <c r="Y95" s="6" t="str">
        <f>IF(A95="","",IF(AND(ISNUMBER(H95),H95&lt;Продажи!$D$4,W95&lt;&gt;"",V95&lt;&gt;"Закрыто"),1,0))</f>
        <v/>
      </c>
      <c r="Z95" s="6" t="str">
        <f>IF(A95="","",IF(V95="Закрыто",0,IF(COUNTIFS(Действия!$B$7:$B$106,A95,Действия!$N$7:$N$106,1,Действия!$D$7:$D$106,"Продажи")=0,1,0)))</f>
        <v/>
      </c>
      <c r="AA95" s="10" t="str">
        <f>IF(A95="","",IF(OR(S95="",T95=""),"Нет данных",IF(AND(S95&gt;0,T95&lt;INT(Продажи!$D$4)),S95,0)))</f>
        <v/>
      </c>
      <c r="AB95" s="6" t="str">
        <f t="shared" si="10"/>
        <v/>
      </c>
      <c r="AC95" s="6">
        <f t="shared" si="11"/>
        <v>0</v>
      </c>
      <c r="AD95" s="9"/>
    </row>
    <row r="96" spans="1:30" ht="25" customHeight="1">
      <c r="A96" s="5"/>
      <c r="B96" s="5"/>
      <c r="C96" s="5"/>
      <c r="D96" s="5"/>
      <c r="E96" s="5"/>
      <c r="F96" s="5"/>
      <c r="G96" s="7"/>
      <c r="H96" s="7"/>
      <c r="I96" s="5"/>
      <c r="J96" s="5"/>
      <c r="K96" s="5"/>
      <c r="L96" s="5"/>
      <c r="M96" s="5"/>
      <c r="N96" s="5"/>
      <c r="O96" s="5"/>
      <c r="P96" s="5"/>
      <c r="Q96" s="5"/>
      <c r="R96" s="5"/>
      <c r="S96" s="9"/>
      <c r="T96" s="8"/>
      <c r="U96" s="5"/>
      <c r="V96" s="6" t="str">
        <f t="shared" si="8"/>
        <v/>
      </c>
      <c r="W96" s="6" t="str">
        <f t="shared" si="9"/>
        <v/>
      </c>
      <c r="X96" s="6">
        <f>IF(AND(A96&lt;&gt;"",V96&lt;&gt;"Закрыто",OR(Продажи!$I$4="Все",D96=Продажи!$I$4),OR(Продажи!$O$4="Все",E96=Продажи!$O$4)),1,0)</f>
        <v>0</v>
      </c>
      <c r="Y96" s="6" t="str">
        <f>IF(A96="","",IF(AND(ISNUMBER(H96),H96&lt;Продажи!$D$4,W96&lt;&gt;"",V96&lt;&gt;"Закрыто"),1,0))</f>
        <v/>
      </c>
      <c r="Z96" s="6" t="str">
        <f>IF(A96="","",IF(V96="Закрыто",0,IF(COUNTIFS(Действия!$B$7:$B$106,A96,Действия!$N$7:$N$106,1,Действия!$D$7:$D$106,"Продажи")=0,1,0)))</f>
        <v/>
      </c>
      <c r="AA96" s="10" t="str">
        <f>IF(A96="","",IF(OR(S96="",T96=""),"Нет данных",IF(AND(S96&gt;0,T96&lt;INT(Продажи!$D$4)),S96,0)))</f>
        <v/>
      </c>
      <c r="AB96" s="6" t="str">
        <f t="shared" si="10"/>
        <v/>
      </c>
      <c r="AC96" s="6">
        <f t="shared" si="11"/>
        <v>0</v>
      </c>
      <c r="AD96" s="9"/>
    </row>
    <row r="97" spans="1:30" ht="25" customHeight="1">
      <c r="A97" s="5"/>
      <c r="B97" s="5"/>
      <c r="C97" s="5"/>
      <c r="D97" s="5"/>
      <c r="E97" s="5"/>
      <c r="F97" s="5"/>
      <c r="G97" s="7"/>
      <c r="H97" s="7"/>
      <c r="I97" s="5"/>
      <c r="J97" s="5"/>
      <c r="K97" s="5"/>
      <c r="L97" s="5"/>
      <c r="M97" s="5"/>
      <c r="N97" s="5"/>
      <c r="O97" s="5"/>
      <c r="P97" s="5"/>
      <c r="Q97" s="5"/>
      <c r="R97" s="5"/>
      <c r="S97" s="9"/>
      <c r="T97" s="8"/>
      <c r="U97" s="5"/>
      <c r="V97" s="6" t="str">
        <f t="shared" si="8"/>
        <v/>
      </c>
      <c r="W97" s="6" t="str">
        <f t="shared" si="9"/>
        <v/>
      </c>
      <c r="X97" s="6">
        <f>IF(AND(A97&lt;&gt;"",V97&lt;&gt;"Закрыто",OR(Продажи!$I$4="Все",D97=Продажи!$I$4),OR(Продажи!$O$4="Все",E97=Продажи!$O$4)),1,0)</f>
        <v>0</v>
      </c>
      <c r="Y97" s="6" t="str">
        <f>IF(A97="","",IF(AND(ISNUMBER(H97),H97&lt;Продажи!$D$4,W97&lt;&gt;"",V97&lt;&gt;"Закрыто"),1,0))</f>
        <v/>
      </c>
      <c r="Z97" s="6" t="str">
        <f>IF(A97="","",IF(V97="Закрыто",0,IF(COUNTIFS(Действия!$B$7:$B$106,A97,Действия!$N$7:$N$106,1,Действия!$D$7:$D$106,"Продажи")=0,1,0)))</f>
        <v/>
      </c>
      <c r="AA97" s="10" t="str">
        <f>IF(A97="","",IF(OR(S97="",T97=""),"Нет данных",IF(AND(S97&gt;0,T97&lt;INT(Продажи!$D$4)),S97,0)))</f>
        <v/>
      </c>
      <c r="AB97" s="6" t="str">
        <f t="shared" si="10"/>
        <v/>
      </c>
      <c r="AC97" s="6">
        <f t="shared" si="11"/>
        <v>0</v>
      </c>
      <c r="AD97" s="9"/>
    </row>
    <row r="98" spans="1:30" ht="25" customHeight="1">
      <c r="A98" s="5"/>
      <c r="B98" s="5"/>
      <c r="C98" s="5"/>
      <c r="D98" s="5"/>
      <c r="E98" s="5"/>
      <c r="F98" s="5"/>
      <c r="G98" s="7"/>
      <c r="H98" s="7"/>
      <c r="I98" s="5"/>
      <c r="J98" s="5"/>
      <c r="K98" s="5"/>
      <c r="L98" s="5"/>
      <c r="M98" s="5"/>
      <c r="N98" s="5"/>
      <c r="O98" s="5"/>
      <c r="P98" s="5"/>
      <c r="Q98" s="5"/>
      <c r="R98" s="5"/>
      <c r="S98" s="9"/>
      <c r="T98" s="8"/>
      <c r="U98" s="5"/>
      <c r="V98" s="6" t="str">
        <f t="shared" si="8"/>
        <v/>
      </c>
      <c r="W98" s="6" t="str">
        <f t="shared" si="9"/>
        <v/>
      </c>
      <c r="X98" s="6">
        <f>IF(AND(A98&lt;&gt;"",V98&lt;&gt;"Закрыто",OR(Продажи!$I$4="Все",D98=Продажи!$I$4),OR(Продажи!$O$4="Все",E98=Продажи!$O$4)),1,0)</f>
        <v>0</v>
      </c>
      <c r="Y98" s="6" t="str">
        <f>IF(A98="","",IF(AND(ISNUMBER(H98),H98&lt;Продажи!$D$4,W98&lt;&gt;"",V98&lt;&gt;"Закрыто"),1,0))</f>
        <v/>
      </c>
      <c r="Z98" s="6" t="str">
        <f>IF(A98="","",IF(V98="Закрыто",0,IF(COUNTIFS(Действия!$B$7:$B$106,A98,Действия!$N$7:$N$106,1,Действия!$D$7:$D$106,"Продажи")=0,1,0)))</f>
        <v/>
      </c>
      <c r="AA98" s="10" t="str">
        <f>IF(A98="","",IF(OR(S98="",T98=""),"Нет данных",IF(AND(S98&gt;0,T98&lt;INT(Продажи!$D$4)),S98,0)))</f>
        <v/>
      </c>
      <c r="AB98" s="6" t="str">
        <f t="shared" si="10"/>
        <v/>
      </c>
      <c r="AC98" s="6">
        <f t="shared" si="11"/>
        <v>0</v>
      </c>
      <c r="AD98" s="9"/>
    </row>
    <row r="99" spans="1:30" ht="25" customHeight="1">
      <c r="A99" s="5"/>
      <c r="B99" s="5"/>
      <c r="C99" s="5"/>
      <c r="D99" s="5"/>
      <c r="E99" s="5"/>
      <c r="F99" s="5"/>
      <c r="G99" s="7"/>
      <c r="H99" s="7"/>
      <c r="I99" s="5"/>
      <c r="J99" s="5"/>
      <c r="K99" s="5"/>
      <c r="L99" s="5"/>
      <c r="M99" s="5"/>
      <c r="N99" s="5"/>
      <c r="O99" s="5"/>
      <c r="P99" s="5"/>
      <c r="Q99" s="5"/>
      <c r="R99" s="5"/>
      <c r="S99" s="9"/>
      <c r="T99" s="8"/>
      <c r="U99" s="5"/>
      <c r="V99" s="6" t="str">
        <f t="shared" si="8"/>
        <v/>
      </c>
      <c r="W99" s="6" t="str">
        <f t="shared" si="9"/>
        <v/>
      </c>
      <c r="X99" s="6">
        <f>IF(AND(A99&lt;&gt;"",V99&lt;&gt;"Закрыто",OR(Продажи!$I$4="Все",D99=Продажи!$I$4),OR(Продажи!$O$4="Все",E99=Продажи!$O$4)),1,0)</f>
        <v>0</v>
      </c>
      <c r="Y99" s="6" t="str">
        <f>IF(A99="","",IF(AND(ISNUMBER(H99),H99&lt;Продажи!$D$4,W99&lt;&gt;"",V99&lt;&gt;"Закрыто"),1,0))</f>
        <v/>
      </c>
      <c r="Z99" s="6" t="str">
        <f>IF(A99="","",IF(V99="Закрыто",0,IF(COUNTIFS(Действия!$B$7:$B$106,A99,Действия!$N$7:$N$106,1,Действия!$D$7:$D$106,"Продажи")=0,1,0)))</f>
        <v/>
      </c>
      <c r="AA99" s="10" t="str">
        <f>IF(A99="","",IF(OR(S99="",T99=""),"Нет данных",IF(AND(S99&gt;0,T99&lt;INT(Продажи!$D$4)),S99,0)))</f>
        <v/>
      </c>
      <c r="AB99" s="6" t="str">
        <f t="shared" si="10"/>
        <v/>
      </c>
      <c r="AC99" s="6">
        <f t="shared" si="11"/>
        <v>0</v>
      </c>
      <c r="AD99" s="9"/>
    </row>
    <row r="100" spans="1:30" ht="25" customHeight="1">
      <c r="A100" s="5"/>
      <c r="B100" s="5"/>
      <c r="C100" s="5"/>
      <c r="D100" s="5"/>
      <c r="E100" s="5"/>
      <c r="F100" s="5"/>
      <c r="G100" s="7"/>
      <c r="H100" s="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9"/>
      <c r="T100" s="8"/>
      <c r="U100" s="5"/>
      <c r="V100" s="6" t="str">
        <f t="shared" si="8"/>
        <v/>
      </c>
      <c r="W100" s="6" t="str">
        <f t="shared" si="9"/>
        <v/>
      </c>
      <c r="X100" s="6">
        <f>IF(AND(A100&lt;&gt;"",V100&lt;&gt;"Закрыто",OR(Продажи!$I$4="Все",D100=Продажи!$I$4),OR(Продажи!$O$4="Все",E100=Продажи!$O$4)),1,0)</f>
        <v>0</v>
      </c>
      <c r="Y100" s="6" t="str">
        <f>IF(A100="","",IF(AND(ISNUMBER(H100),H100&lt;Продажи!$D$4,W100&lt;&gt;"",V100&lt;&gt;"Закрыто"),1,0))</f>
        <v/>
      </c>
      <c r="Z100" s="6" t="str">
        <f>IF(A100="","",IF(V100="Закрыто",0,IF(COUNTIFS(Действия!$B$7:$B$106,A100,Действия!$N$7:$N$106,1,Действия!$D$7:$D$106,"Продажи")=0,1,0)))</f>
        <v/>
      </c>
      <c r="AA100" s="10" t="str">
        <f>IF(A100="","",IF(OR(S100="",T100=""),"Нет данных",IF(AND(S100&gt;0,T100&lt;INT(Продажи!$D$4)),S100,0)))</f>
        <v/>
      </c>
      <c r="AB100" s="6" t="str">
        <f t="shared" si="10"/>
        <v/>
      </c>
      <c r="AC100" s="6">
        <f t="shared" si="11"/>
        <v>0</v>
      </c>
      <c r="AD100" s="9"/>
    </row>
    <row r="101" spans="1:30" ht="25" customHeight="1">
      <c r="A101" s="5"/>
      <c r="B101" s="5"/>
      <c r="C101" s="5"/>
      <c r="D101" s="5"/>
      <c r="E101" s="5"/>
      <c r="F101" s="5"/>
      <c r="G101" s="7"/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9"/>
      <c r="T101" s="8"/>
      <c r="U101" s="5"/>
      <c r="V101" s="6" t="str">
        <f t="shared" si="8"/>
        <v/>
      </c>
      <c r="W101" s="6" t="str">
        <f t="shared" si="9"/>
        <v/>
      </c>
      <c r="X101" s="6">
        <f>IF(AND(A101&lt;&gt;"",V101&lt;&gt;"Закрыто",OR(Продажи!$I$4="Все",D101=Продажи!$I$4),OR(Продажи!$O$4="Все",E101=Продажи!$O$4)),1,0)</f>
        <v>0</v>
      </c>
      <c r="Y101" s="6" t="str">
        <f>IF(A101="","",IF(AND(ISNUMBER(H101),H101&lt;Продажи!$D$4,W101&lt;&gt;"",V101&lt;&gt;"Закрыто"),1,0))</f>
        <v/>
      </c>
      <c r="Z101" s="6" t="str">
        <f>IF(A101="","",IF(V101="Закрыто",0,IF(COUNTIFS(Действия!$B$7:$B$106,A101,Действия!$N$7:$N$106,1,Действия!$D$7:$D$106,"Продажи")=0,1,0)))</f>
        <v/>
      </c>
      <c r="AA101" s="10" t="str">
        <f>IF(A101="","",IF(OR(S101="",T101=""),"Нет данных",IF(AND(S101&gt;0,T101&lt;INT(Продажи!$D$4)),S101,0)))</f>
        <v/>
      </c>
      <c r="AB101" s="6" t="str">
        <f t="shared" si="10"/>
        <v/>
      </c>
      <c r="AC101" s="6">
        <f t="shared" si="11"/>
        <v>0</v>
      </c>
      <c r="AD101" s="9"/>
    </row>
    <row r="102" spans="1:30" ht="25" customHeight="1">
      <c r="A102" s="5"/>
      <c r="B102" s="5"/>
      <c r="C102" s="5"/>
      <c r="D102" s="5"/>
      <c r="E102" s="5"/>
      <c r="F102" s="5"/>
      <c r="G102" s="7"/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9"/>
      <c r="T102" s="8"/>
      <c r="U102" s="5"/>
      <c r="V102" s="6" t="str">
        <f t="shared" si="8"/>
        <v/>
      </c>
      <c r="W102" s="6" t="str">
        <f t="shared" si="9"/>
        <v/>
      </c>
      <c r="X102" s="6">
        <f>IF(AND(A102&lt;&gt;"",V102&lt;&gt;"Закрыто",OR(Продажи!$I$4="Все",D102=Продажи!$I$4),OR(Продажи!$O$4="Все",E102=Продажи!$O$4)),1,0)</f>
        <v>0</v>
      </c>
      <c r="Y102" s="6" t="str">
        <f>IF(A102="","",IF(AND(ISNUMBER(H102),H102&lt;Продажи!$D$4,W102&lt;&gt;"",V102&lt;&gt;"Закрыто"),1,0))</f>
        <v/>
      </c>
      <c r="Z102" s="6" t="str">
        <f>IF(A102="","",IF(V102="Закрыто",0,IF(COUNTIFS(Действия!$B$7:$B$106,A102,Действия!$N$7:$N$106,1,Действия!$D$7:$D$106,"Продажи")=0,1,0)))</f>
        <v/>
      </c>
      <c r="AA102" s="10" t="str">
        <f>IF(A102="","",IF(OR(S102="",T102=""),"Нет данных",IF(AND(S102&gt;0,T102&lt;INT(Продажи!$D$4)),S102,0)))</f>
        <v/>
      </c>
      <c r="AB102" s="6" t="str">
        <f t="shared" si="10"/>
        <v/>
      </c>
      <c r="AC102" s="6">
        <f t="shared" si="11"/>
        <v>0</v>
      </c>
      <c r="AD102" s="9"/>
    </row>
    <row r="103" spans="1:30" ht="25" customHeight="1">
      <c r="A103" s="5"/>
      <c r="B103" s="5"/>
      <c r="C103" s="5"/>
      <c r="D103" s="5"/>
      <c r="E103" s="5"/>
      <c r="F103" s="5"/>
      <c r="G103" s="7"/>
      <c r="H103" s="7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9"/>
      <c r="T103" s="8"/>
      <c r="U103" s="5"/>
      <c r="V103" s="6" t="str">
        <f t="shared" si="8"/>
        <v/>
      </c>
      <c r="W103" s="6" t="str">
        <f t="shared" ref="W103:W134" si="12">IF(A103="","",IF(V103="Закрыто","",IF(OR(F103="Расчёт",F103="Решение об участии"),IF(COUNTIF(I103:M103,"Готово")+COUNTIF(I103:M103,"Не требуется")&lt;5,IF(OR(I103="",I103="Нет"),"ТЗ; ","")&amp;IF(OR(J103="",J103="Нет"),"КП завода; ","")&amp;IF(OR(K103="",K103="Нет"),"логистика; ","")&amp;IF(OR(L103="",L103="Нет"),"допрасходы; ","")&amp;IF(OR(M103="",M103="Нет"),"цена продажи; ",""),IF(COUNTIF(I103:M103,"Не требуется")=5,"Проверить применимость расчёта",IF(AND(N103="Готово",O103&lt;&gt;""),"","Подтверждение калькуляции"))),IF(F103="Передача в исполнение",IF(AND(P103="Принято",O103&lt;&gt;""),"","Приём заказа смежниками"),IF(F103="Приёмка и оплата",IF(Q103&lt;&gt;"Принято","Подтверждение приёмки; ","")&amp;IF(S103="","Остаток долга не загружен",IF(S103&gt;0,"Оплата клиента","")),IF(AND(N103="Готово",O103&lt;&gt;""),"",V103))))))</f>
        <v/>
      </c>
      <c r="X103" s="6">
        <f>IF(AND(A103&lt;&gt;"",V103&lt;&gt;"Закрыто",OR(Продажи!$I$4="Все",D103=Продажи!$I$4),OR(Продажи!$O$4="Все",E103=Продажи!$O$4)),1,0)</f>
        <v>0</v>
      </c>
      <c r="Y103" s="6" t="str">
        <f>IF(A103="","",IF(AND(ISNUMBER(H103),H103&lt;Продажи!$D$4,W103&lt;&gt;"",V103&lt;&gt;"Закрыто"),1,0))</f>
        <v/>
      </c>
      <c r="Z103" s="6" t="str">
        <f>IF(A103="","",IF(V103="Закрыто",0,IF(COUNTIFS(Действия!$B$7:$B$106,A103,Действия!$N$7:$N$106,1,Действия!$D$7:$D$106,"Продажи")=0,1,0)))</f>
        <v/>
      </c>
      <c r="AA103" s="10" t="str">
        <f>IF(A103="","",IF(OR(S103="",T103=""),"Нет данных",IF(AND(S103&gt;0,T103&lt;INT(Продажи!$D$4)),S103,0)))</f>
        <v/>
      </c>
      <c r="AB103" s="6" t="str">
        <f t="shared" si="10"/>
        <v/>
      </c>
      <c r="AC103" s="6">
        <f t="shared" si="11"/>
        <v>0</v>
      </c>
      <c r="AD103" s="9"/>
    </row>
    <row r="104" spans="1:30" ht="25" customHeight="1">
      <c r="A104" s="5"/>
      <c r="B104" s="5"/>
      <c r="C104" s="5"/>
      <c r="D104" s="5"/>
      <c r="E104" s="5"/>
      <c r="F104" s="5"/>
      <c r="G104" s="7"/>
      <c r="H104" s="7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9"/>
      <c r="T104" s="8"/>
      <c r="U104" s="5"/>
      <c r="V104" s="6" t="str">
        <f t="shared" si="8"/>
        <v/>
      </c>
      <c r="W104" s="6" t="str">
        <f t="shared" si="12"/>
        <v/>
      </c>
      <c r="X104" s="6">
        <f>IF(AND(A104&lt;&gt;"",V104&lt;&gt;"Закрыто",OR(Продажи!$I$4="Все",D104=Продажи!$I$4),OR(Продажи!$O$4="Все",E104=Продажи!$O$4)),1,0)</f>
        <v>0</v>
      </c>
      <c r="Y104" s="6" t="str">
        <f>IF(A104="","",IF(AND(ISNUMBER(H104),H104&lt;Продажи!$D$4,W104&lt;&gt;"",V104&lt;&gt;"Закрыто"),1,0))</f>
        <v/>
      </c>
      <c r="Z104" s="6" t="str">
        <f>IF(A104="","",IF(V104="Закрыто",0,IF(COUNTIFS(Действия!$B$7:$B$106,A104,Действия!$N$7:$N$106,1,Действия!$D$7:$D$106,"Продажи")=0,1,0)))</f>
        <v/>
      </c>
      <c r="AA104" s="10" t="str">
        <f>IF(A104="","",IF(OR(S104="",T104=""),"Нет данных",IF(AND(S104&gt;0,T104&lt;INT(Продажи!$D$4)),S104,0)))</f>
        <v/>
      </c>
      <c r="AB104" s="6" t="str">
        <f t="shared" si="10"/>
        <v/>
      </c>
      <c r="AC104" s="6">
        <f t="shared" si="11"/>
        <v>0</v>
      </c>
      <c r="AD104" s="9"/>
    </row>
    <row r="105" spans="1:30" ht="25" customHeight="1">
      <c r="A105" s="5"/>
      <c r="B105" s="5"/>
      <c r="C105" s="5"/>
      <c r="D105" s="5"/>
      <c r="E105" s="5"/>
      <c r="F105" s="5"/>
      <c r="G105" s="7"/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9"/>
      <c r="T105" s="8"/>
      <c r="U105" s="5"/>
      <c r="V105" s="6" t="str">
        <f t="shared" si="8"/>
        <v/>
      </c>
      <c r="W105" s="6" t="str">
        <f t="shared" si="12"/>
        <v/>
      </c>
      <c r="X105" s="6">
        <f>IF(AND(A105&lt;&gt;"",V105&lt;&gt;"Закрыто",OR(Продажи!$I$4="Все",D105=Продажи!$I$4),OR(Продажи!$O$4="Все",E105=Продажи!$O$4)),1,0)</f>
        <v>0</v>
      </c>
      <c r="Y105" s="6" t="str">
        <f>IF(A105="","",IF(AND(ISNUMBER(H105),H105&lt;Продажи!$D$4,W105&lt;&gt;"",V105&lt;&gt;"Закрыто"),1,0))</f>
        <v/>
      </c>
      <c r="Z105" s="6" t="str">
        <f>IF(A105="","",IF(V105="Закрыто",0,IF(COUNTIFS(Действия!$B$7:$B$106,A105,Действия!$N$7:$N$106,1,Действия!$D$7:$D$106,"Продажи")=0,1,0)))</f>
        <v/>
      </c>
      <c r="AA105" s="10" t="str">
        <f>IF(A105="","",IF(OR(S105="",T105=""),"Нет данных",IF(AND(S105&gt;0,T105&lt;INT(Продажи!$D$4)),S105,0)))</f>
        <v/>
      </c>
      <c r="AB105" s="6" t="str">
        <f t="shared" si="10"/>
        <v/>
      </c>
      <c r="AC105" s="6">
        <f t="shared" si="11"/>
        <v>0</v>
      </c>
      <c r="AD105" s="9"/>
    </row>
    <row r="106" spans="1:30" ht="25" customHeight="1">
      <c r="A106" s="5"/>
      <c r="B106" s="5"/>
      <c r="C106" s="5"/>
      <c r="D106" s="5"/>
      <c r="E106" s="5"/>
      <c r="F106" s="5"/>
      <c r="G106" s="7"/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9"/>
      <c r="T106" s="8"/>
      <c r="U106" s="5"/>
      <c r="V106" s="6" t="str">
        <f t="shared" si="8"/>
        <v/>
      </c>
      <c r="W106" s="6" t="str">
        <f t="shared" si="12"/>
        <v/>
      </c>
      <c r="X106" s="6">
        <f>IF(AND(A106&lt;&gt;"",V106&lt;&gt;"Закрыто",OR(Продажи!$I$4="Все",D106=Продажи!$I$4),OR(Продажи!$O$4="Все",E106=Продажи!$O$4)),1,0)</f>
        <v>0</v>
      </c>
      <c r="Y106" s="6" t="str">
        <f>IF(A106="","",IF(AND(ISNUMBER(H106),H106&lt;Продажи!$D$4,W106&lt;&gt;"",V106&lt;&gt;"Закрыто"),1,0))</f>
        <v/>
      </c>
      <c r="Z106" s="6" t="str">
        <f>IF(A106="","",IF(V106="Закрыто",0,IF(COUNTIFS(Действия!$B$7:$B$106,A106,Действия!$N$7:$N$106,1,Действия!$D$7:$D$106,"Продажи")=0,1,0)))</f>
        <v/>
      </c>
      <c r="AA106" s="10" t="str">
        <f>IF(A106="","",IF(OR(S106="",T106=""),"Нет данных",IF(AND(S106&gt;0,T106&lt;INT(Продажи!$D$4)),S106,0)))</f>
        <v/>
      </c>
      <c r="AB106" s="6" t="str">
        <f t="shared" si="10"/>
        <v/>
      </c>
      <c r="AC106" s="6">
        <f t="shared" si="11"/>
        <v>0</v>
      </c>
      <c r="AD106" s="9"/>
    </row>
    <row r="107" spans="1:30" ht="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25" customHeight="1">
      <c r="A110" s="3" t="s">
        <v>51</v>
      </c>
      <c r="B110" s="3" t="s">
        <v>130</v>
      </c>
      <c r="C110" s="3" t="s">
        <v>131</v>
      </c>
      <c r="D110" s="3" t="s">
        <v>132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90" customHeight="1">
      <c r="A111" s="11" t="s">
        <v>22</v>
      </c>
      <c r="B111" s="11" t="s">
        <v>133</v>
      </c>
      <c r="C111" s="11" t="s">
        <v>22</v>
      </c>
      <c r="D111" s="11" t="s">
        <v>134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90" customHeight="1">
      <c r="A112" s="11" t="s">
        <v>89</v>
      </c>
      <c r="B112" s="11" t="s">
        <v>135</v>
      </c>
      <c r="C112" s="11" t="s">
        <v>24</v>
      </c>
      <c r="D112" s="11" t="s">
        <v>136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90" customHeight="1">
      <c r="A113" s="11" t="s">
        <v>137</v>
      </c>
      <c r="B113" s="11" t="s">
        <v>138</v>
      </c>
      <c r="C113" s="11" t="s">
        <v>24</v>
      </c>
      <c r="D113" s="11" t="s">
        <v>139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90" customHeight="1">
      <c r="A114" s="11" t="s">
        <v>92</v>
      </c>
      <c r="B114" s="11" t="s">
        <v>140</v>
      </c>
      <c r="C114" s="11" t="s">
        <v>26</v>
      </c>
      <c r="D114" s="11" t="s">
        <v>141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90" customHeight="1">
      <c r="A115" s="11" t="s">
        <v>97</v>
      </c>
      <c r="B115" s="11" t="s">
        <v>142</v>
      </c>
      <c r="C115" s="11" t="s">
        <v>26</v>
      </c>
      <c r="D115" s="11" t="s">
        <v>143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90" customHeight="1">
      <c r="A116" s="11" t="s">
        <v>100</v>
      </c>
      <c r="B116" s="11" t="s">
        <v>144</v>
      </c>
      <c r="C116" s="11" t="s">
        <v>28</v>
      </c>
      <c r="D116" s="11" t="s">
        <v>145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90" customHeight="1">
      <c r="A117" s="11" t="s">
        <v>115</v>
      </c>
      <c r="B117" s="11" t="s">
        <v>146</v>
      </c>
      <c r="C117" s="11" t="s">
        <v>28</v>
      </c>
      <c r="D117" s="11" t="s">
        <v>147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90" customHeight="1">
      <c r="A118" s="11" t="s">
        <v>105</v>
      </c>
      <c r="B118" s="11" t="s">
        <v>148</v>
      </c>
      <c r="C118" s="11" t="s">
        <v>30</v>
      </c>
      <c r="D118" s="11" t="s">
        <v>149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90" customHeight="1">
      <c r="A119" s="11" t="s">
        <v>150</v>
      </c>
      <c r="B119" s="11" t="s">
        <v>151</v>
      </c>
      <c r="C119" s="11" t="s">
        <v>30</v>
      </c>
      <c r="D119" s="11" t="s">
        <v>152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90" customHeight="1">
      <c r="A120" s="11" t="s">
        <v>109</v>
      </c>
      <c r="B120" s="11" t="s">
        <v>153</v>
      </c>
      <c r="C120" s="11" t="s">
        <v>30</v>
      </c>
      <c r="D120" s="11" t="s">
        <v>154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90" customHeight="1">
      <c r="A121" s="11" t="s">
        <v>130</v>
      </c>
      <c r="B121" s="11" t="s">
        <v>155</v>
      </c>
      <c r="C121" s="11" t="s">
        <v>32</v>
      </c>
      <c r="D121" s="11" t="s">
        <v>156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90" customHeight="1">
      <c r="A122" s="11" t="s">
        <v>112</v>
      </c>
      <c r="B122" s="11" t="s">
        <v>157</v>
      </c>
      <c r="C122" s="11" t="s">
        <v>32</v>
      </c>
      <c r="D122" s="11" t="s">
        <v>158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90" customHeight="1">
      <c r="A123" s="11" t="s">
        <v>119</v>
      </c>
      <c r="B123" s="11" t="s">
        <v>159</v>
      </c>
      <c r="C123" s="11" t="s">
        <v>33</v>
      </c>
      <c r="D123" s="11" t="s">
        <v>160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90" customHeight="1">
      <c r="A124" s="11" t="s">
        <v>38</v>
      </c>
      <c r="B124" s="11" t="s">
        <v>161</v>
      </c>
      <c r="C124" s="11" t="s">
        <v>33</v>
      </c>
      <c r="D124" s="11" t="s">
        <v>162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90" customHeight="1">
      <c r="A125" s="11" t="s">
        <v>128</v>
      </c>
      <c r="B125" s="11" t="s">
        <v>163</v>
      </c>
      <c r="C125" s="11" t="s">
        <v>35</v>
      </c>
      <c r="D125" s="11" t="s">
        <v>164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90" customHeight="1">
      <c r="A126" s="11" t="s">
        <v>165</v>
      </c>
      <c r="B126" s="11" t="s">
        <v>166</v>
      </c>
      <c r="C126" s="11" t="s">
        <v>166</v>
      </c>
      <c r="D126" s="11" t="s">
        <v>167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90" customHeight="1">
      <c r="A127" s="11" t="s">
        <v>168</v>
      </c>
      <c r="B127" s="11" t="s">
        <v>166</v>
      </c>
      <c r="C127" s="11" t="s">
        <v>166</v>
      </c>
      <c r="D127" s="11" t="s">
        <v>169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25" customHeight="1">
      <c r="A129" s="17" t="s">
        <v>170</v>
      </c>
      <c r="B129" s="17" t="s">
        <v>170</v>
      </c>
      <c r="C129" s="17" t="s">
        <v>170</v>
      </c>
      <c r="D129" s="17" t="s">
        <v>170</v>
      </c>
      <c r="E129" s="17" t="s">
        <v>170</v>
      </c>
      <c r="F129" s="17" t="s">
        <v>170</v>
      </c>
      <c r="G129" s="17" t="s">
        <v>170</v>
      </c>
      <c r="H129" s="17" t="s">
        <v>170</v>
      </c>
      <c r="I129" s="17" t="s">
        <v>170</v>
      </c>
      <c r="J129" s="17" t="s">
        <v>170</v>
      </c>
      <c r="K129" s="17" t="s">
        <v>170</v>
      </c>
      <c r="L129" s="17" t="s">
        <v>170</v>
      </c>
      <c r="M129" s="17" t="s">
        <v>170</v>
      </c>
      <c r="N129" s="17" t="s">
        <v>170</v>
      </c>
      <c r="O129" s="17" t="s">
        <v>170</v>
      </c>
      <c r="P129" s="17" t="s">
        <v>170</v>
      </c>
      <c r="Q129" s="17" t="s">
        <v>170</v>
      </c>
      <c r="R129" s="17" t="s">
        <v>170</v>
      </c>
      <c r="S129" s="17" t="s">
        <v>170</v>
      </c>
      <c r="T129" s="17" t="s">
        <v>170</v>
      </c>
      <c r="U129" s="17" t="s">
        <v>170</v>
      </c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25" customHeight="1">
      <c r="A130" s="17" t="s">
        <v>171</v>
      </c>
      <c r="B130" s="17" t="s">
        <v>171</v>
      </c>
      <c r="C130" s="17" t="s">
        <v>171</v>
      </c>
      <c r="D130" s="17" t="s">
        <v>171</v>
      </c>
      <c r="E130" s="17" t="s">
        <v>171</v>
      </c>
      <c r="F130" s="17" t="s">
        <v>171</v>
      </c>
      <c r="G130" s="17" t="s">
        <v>171</v>
      </c>
      <c r="H130" s="17" t="s">
        <v>171</v>
      </c>
      <c r="I130" s="17" t="s">
        <v>171</v>
      </c>
      <c r="J130" s="17" t="s">
        <v>171</v>
      </c>
      <c r="K130" s="17" t="s">
        <v>171</v>
      </c>
      <c r="L130" s="17" t="s">
        <v>171</v>
      </c>
      <c r="M130" s="17" t="s">
        <v>171</v>
      </c>
      <c r="N130" s="17" t="s">
        <v>171</v>
      </c>
      <c r="O130" s="17" t="s">
        <v>171</v>
      </c>
      <c r="P130" s="17" t="s">
        <v>171</v>
      </c>
      <c r="Q130" s="17" t="s">
        <v>171</v>
      </c>
      <c r="R130" s="17" t="s">
        <v>171</v>
      </c>
      <c r="S130" s="17" t="s">
        <v>171</v>
      </c>
      <c r="T130" s="17" t="s">
        <v>171</v>
      </c>
      <c r="U130" s="17" t="s">
        <v>171</v>
      </c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25" customHeight="1">
      <c r="A131" s="17" t="s">
        <v>172</v>
      </c>
      <c r="B131" s="17" t="s">
        <v>172</v>
      </c>
      <c r="C131" s="17" t="s">
        <v>172</v>
      </c>
      <c r="D131" s="17" t="s">
        <v>172</v>
      </c>
      <c r="E131" s="17" t="s">
        <v>172</v>
      </c>
      <c r="F131" s="17" t="s">
        <v>172</v>
      </c>
      <c r="G131" s="17" t="s">
        <v>172</v>
      </c>
      <c r="H131" s="17" t="s">
        <v>172</v>
      </c>
      <c r="I131" s="17" t="s">
        <v>172</v>
      </c>
      <c r="J131" s="17" t="s">
        <v>172</v>
      </c>
      <c r="K131" s="17" t="s">
        <v>172</v>
      </c>
      <c r="L131" s="17" t="s">
        <v>172</v>
      </c>
      <c r="M131" s="17" t="s">
        <v>172</v>
      </c>
      <c r="N131" s="17" t="s">
        <v>172</v>
      </c>
      <c r="O131" s="17" t="s">
        <v>172</v>
      </c>
      <c r="P131" s="17" t="s">
        <v>172</v>
      </c>
      <c r="Q131" s="17" t="s">
        <v>172</v>
      </c>
      <c r="R131" s="17" t="s">
        <v>172</v>
      </c>
      <c r="S131" s="17" t="s">
        <v>172</v>
      </c>
      <c r="T131" s="17" t="s">
        <v>172</v>
      </c>
      <c r="U131" s="17" t="s">
        <v>172</v>
      </c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25" customHeight="1">
      <c r="A132" s="17" t="s">
        <v>173</v>
      </c>
      <c r="B132" s="17" t="s">
        <v>173</v>
      </c>
      <c r="C132" s="17" t="s">
        <v>173</v>
      </c>
      <c r="D132" s="17" t="s">
        <v>173</v>
      </c>
      <c r="E132" s="17" t="s">
        <v>173</v>
      </c>
      <c r="F132" s="17" t="s">
        <v>173</v>
      </c>
      <c r="G132" s="17" t="s">
        <v>173</v>
      </c>
      <c r="H132" s="17" t="s">
        <v>173</v>
      </c>
      <c r="I132" s="17" t="s">
        <v>173</v>
      </c>
      <c r="J132" s="17" t="s">
        <v>173</v>
      </c>
      <c r="K132" s="17" t="s">
        <v>173</v>
      </c>
      <c r="L132" s="17" t="s">
        <v>173</v>
      </c>
      <c r="M132" s="17" t="s">
        <v>173</v>
      </c>
      <c r="N132" s="17" t="s">
        <v>173</v>
      </c>
      <c r="O132" s="17" t="s">
        <v>173</v>
      </c>
      <c r="P132" s="17" t="s">
        <v>173</v>
      </c>
      <c r="Q132" s="17" t="s">
        <v>173</v>
      </c>
      <c r="R132" s="17" t="s">
        <v>173</v>
      </c>
      <c r="S132" s="17" t="s">
        <v>173</v>
      </c>
      <c r="T132" s="17" t="s">
        <v>173</v>
      </c>
      <c r="U132" s="17" t="s">
        <v>173</v>
      </c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25" customHeight="1">
      <c r="A133" s="17" t="s">
        <v>174</v>
      </c>
      <c r="B133" s="17" t="s">
        <v>174</v>
      </c>
      <c r="C133" s="17" t="s">
        <v>174</v>
      </c>
      <c r="D133" s="17" t="s">
        <v>174</v>
      </c>
      <c r="E133" s="17" t="s">
        <v>174</v>
      </c>
      <c r="F133" s="17" t="s">
        <v>174</v>
      </c>
      <c r="G133" s="17" t="s">
        <v>174</v>
      </c>
      <c r="H133" s="17" t="s">
        <v>174</v>
      </c>
      <c r="I133" s="17" t="s">
        <v>174</v>
      </c>
      <c r="J133" s="17" t="s">
        <v>174</v>
      </c>
      <c r="K133" s="17" t="s">
        <v>174</v>
      </c>
      <c r="L133" s="17" t="s">
        <v>174</v>
      </c>
      <c r="M133" s="17" t="s">
        <v>174</v>
      </c>
      <c r="N133" s="17" t="s">
        <v>174</v>
      </c>
      <c r="O133" s="17" t="s">
        <v>174</v>
      </c>
      <c r="P133" s="17" t="s">
        <v>174</v>
      </c>
      <c r="Q133" s="17" t="s">
        <v>174</v>
      </c>
      <c r="R133" s="17" t="s">
        <v>174</v>
      </c>
      <c r="S133" s="17" t="s">
        <v>174</v>
      </c>
      <c r="T133" s="17" t="s">
        <v>174</v>
      </c>
      <c r="U133" s="17" t="s">
        <v>174</v>
      </c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5" customHeight="1">
      <c r="A134" s="17" t="s">
        <v>175</v>
      </c>
      <c r="B134" s="17" t="s">
        <v>175</v>
      </c>
      <c r="C134" s="17" t="s">
        <v>175</v>
      </c>
      <c r="D134" s="17" t="s">
        <v>175</v>
      </c>
      <c r="E134" s="17" t="s">
        <v>175</v>
      </c>
      <c r="F134" s="17" t="s">
        <v>175</v>
      </c>
      <c r="G134" s="17" t="s">
        <v>175</v>
      </c>
      <c r="H134" s="17" t="s">
        <v>175</v>
      </c>
      <c r="I134" s="17" t="s">
        <v>175</v>
      </c>
      <c r="J134" s="17" t="s">
        <v>175</v>
      </c>
      <c r="K134" s="17" t="s">
        <v>175</v>
      </c>
      <c r="L134" s="17" t="s">
        <v>175</v>
      </c>
      <c r="M134" s="17" t="s">
        <v>175</v>
      </c>
      <c r="N134" s="17" t="s">
        <v>175</v>
      </c>
      <c r="O134" s="17" t="s">
        <v>175</v>
      </c>
      <c r="P134" s="17" t="s">
        <v>175</v>
      </c>
      <c r="Q134" s="17" t="s">
        <v>175</v>
      </c>
      <c r="R134" s="17" t="s">
        <v>175</v>
      </c>
      <c r="S134" s="17" t="s">
        <v>175</v>
      </c>
      <c r="T134" s="17" t="s">
        <v>175</v>
      </c>
      <c r="U134" s="17" t="s">
        <v>175</v>
      </c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25" customHeight="1">
      <c r="A135" s="17" t="s">
        <v>176</v>
      </c>
      <c r="B135" s="17" t="s">
        <v>176</v>
      </c>
      <c r="C135" s="17" t="s">
        <v>176</v>
      </c>
      <c r="D135" s="17" t="s">
        <v>176</v>
      </c>
      <c r="E135" s="17" t="s">
        <v>176</v>
      </c>
      <c r="F135" s="17" t="s">
        <v>176</v>
      </c>
      <c r="G135" s="17" t="s">
        <v>176</v>
      </c>
      <c r="H135" s="17" t="s">
        <v>176</v>
      </c>
      <c r="I135" s="17" t="s">
        <v>176</v>
      </c>
      <c r="J135" s="17" t="s">
        <v>176</v>
      </c>
      <c r="K135" s="17" t="s">
        <v>176</v>
      </c>
      <c r="L135" s="17" t="s">
        <v>176</v>
      </c>
      <c r="M135" s="17" t="s">
        <v>176</v>
      </c>
      <c r="N135" s="17" t="s">
        <v>176</v>
      </c>
      <c r="O135" s="17" t="s">
        <v>176</v>
      </c>
      <c r="P135" s="17" t="s">
        <v>176</v>
      </c>
      <c r="Q135" s="17" t="s">
        <v>176</v>
      </c>
      <c r="R135" s="17" t="s">
        <v>176</v>
      </c>
      <c r="S135" s="17" t="s">
        <v>176</v>
      </c>
      <c r="T135" s="17" t="s">
        <v>176</v>
      </c>
      <c r="U135" s="17" t="s">
        <v>176</v>
      </c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25" customHeight="1">
      <c r="A137" s="1" t="s">
        <v>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25" customHeight="1">
      <c r="A138" s="2" t="s">
        <v>75</v>
      </c>
      <c r="B138" s="1"/>
      <c r="C138" s="17" t="s">
        <v>177</v>
      </c>
      <c r="D138" s="17" t="s">
        <v>177</v>
      </c>
      <c r="E138" s="17" t="s">
        <v>177</v>
      </c>
      <c r="F138" s="17" t="s">
        <v>177</v>
      </c>
      <c r="G138" s="17" t="s">
        <v>177</v>
      </c>
      <c r="H138" s="17" t="s">
        <v>177</v>
      </c>
      <c r="I138" s="17" t="s">
        <v>177</v>
      </c>
      <c r="J138" s="17" t="s">
        <v>177</v>
      </c>
      <c r="K138" s="17" t="s">
        <v>177</v>
      </c>
      <c r="L138" s="17" t="s">
        <v>177</v>
      </c>
      <c r="M138" s="17" t="s">
        <v>177</v>
      </c>
      <c r="N138" s="17" t="s">
        <v>177</v>
      </c>
      <c r="O138" s="17" t="s">
        <v>177</v>
      </c>
      <c r="P138" s="17" t="s">
        <v>177</v>
      </c>
      <c r="Q138" s="17" t="s">
        <v>177</v>
      </c>
      <c r="R138" s="17" t="s">
        <v>177</v>
      </c>
      <c r="S138" s="17" t="s">
        <v>177</v>
      </c>
      <c r="T138" s="17" t="s">
        <v>177</v>
      </c>
      <c r="U138" s="17" t="s">
        <v>177</v>
      </c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25" customHeight="1">
      <c r="A139" s="2" t="s">
        <v>81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25" customHeight="1">
      <c r="A140" s="2" t="s">
        <v>95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</sheetData>
  <mergeCells count="11">
    <mergeCell ref="C138:U138"/>
    <mergeCell ref="A131:U131"/>
    <mergeCell ref="A132:U132"/>
    <mergeCell ref="A133:U133"/>
    <mergeCell ref="A134:U134"/>
    <mergeCell ref="A135:U135"/>
    <mergeCell ref="A2:U2"/>
    <mergeCell ref="A3:U3"/>
    <mergeCell ref="A4:U4"/>
    <mergeCell ref="A129:U129"/>
    <mergeCell ref="A130:U130"/>
  </mergeCells>
  <conditionalFormatting sqref="AA7:AA106">
    <cfRule type="cellIs" dxfId="1" priority="1" operator="greaterThan">
      <formula>0</formula>
    </cfRule>
  </conditionalFormatting>
  <dataValidations count="7">
    <dataValidation type="list" sqref="B7:B106" xr:uid="{00000000-0002-0000-0100-000000000000}">
      <formula1>"Лид,Сделка,Исполнение"</formula1>
    </dataValidation>
    <dataValidation type="list" sqref="E7:E106" xr:uid="{00000000-0002-0000-0100-000001000000}">
      <formula1>"Прямые,Тендеры"</formula1>
    </dataValidation>
    <dataValidation type="list" sqref="F7:F106" xr:uid="{00000000-0002-0000-0100-000002000000}">
      <formula1>"Лиды,Запрос,Проверка закупки,Расчёт,Решение об участии,КП,Подготовка заявки,Переговоры,Подача,Дозапрос,Результат,Договор,Передача в исполнение,Исполнение,Приёмка и оплата,Закрыто успешно,Закрыто без результата"</formula1>
    </dataValidation>
    <dataValidation type="list" sqref="I7:M106" xr:uid="{00000000-0002-0000-0100-000003000000}">
      <formula1>"Готово,Нет,Не требуется"</formula1>
    </dataValidation>
    <dataValidation type="list" sqref="N7:N106" xr:uid="{00000000-0002-0000-0100-000004000000}">
      <formula1>"Готово,Нет"</formula1>
    </dataValidation>
    <dataValidation type="list" sqref="P7:Q106" xr:uid="{00000000-0002-0000-0100-000005000000}">
      <formula1>"Принято,Не принято,Не требуется"</formula1>
    </dataValidation>
    <dataValidation type="list" sqref="D7:D106" xr:uid="{00000000-0002-0000-0100-000006000000}">
      <formula1>$A$138:$A$140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03C5C"/>
  </sheetPr>
  <dimension ref="A1:Y11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4"/>
  <cols>
    <col min="1" max="2" width="18" customWidth="1"/>
    <col min="3" max="3" width="38" customWidth="1"/>
    <col min="4" max="6" width="24" customWidth="1"/>
    <col min="7" max="9" width="18" customWidth="1"/>
    <col min="10" max="10" width="40" customWidth="1"/>
    <col min="11" max="21" width="18" customWidth="1"/>
    <col min="22" max="23" width="36" customWidth="1"/>
  </cols>
  <sheetData>
    <row r="1" spans="1:25" ht="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5" ht="25" customHeight="1">
      <c r="A2" s="30" t="s">
        <v>178</v>
      </c>
      <c r="B2" s="30" t="s">
        <v>178</v>
      </c>
      <c r="C2" s="30" t="s">
        <v>178</v>
      </c>
      <c r="D2" s="30" t="s">
        <v>178</v>
      </c>
      <c r="E2" s="30" t="s">
        <v>178</v>
      </c>
      <c r="F2" s="30" t="s">
        <v>178</v>
      </c>
      <c r="G2" s="30" t="s">
        <v>178</v>
      </c>
      <c r="H2" s="30" t="s">
        <v>178</v>
      </c>
      <c r="I2" s="30" t="s">
        <v>178</v>
      </c>
      <c r="J2" s="30" t="s">
        <v>178</v>
      </c>
      <c r="K2" s="30" t="s">
        <v>178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5" ht="25" customHeight="1">
      <c r="A3" s="17" t="s">
        <v>179</v>
      </c>
      <c r="B3" s="17" t="s">
        <v>179</v>
      </c>
      <c r="C3" s="17" t="s">
        <v>179</v>
      </c>
      <c r="D3" s="17" t="s">
        <v>179</v>
      </c>
      <c r="E3" s="17" t="s">
        <v>179</v>
      </c>
      <c r="F3" s="17" t="s">
        <v>179</v>
      </c>
      <c r="G3" s="17" t="s">
        <v>179</v>
      </c>
      <c r="H3" s="17" t="s">
        <v>179</v>
      </c>
      <c r="I3" s="17" t="s">
        <v>179</v>
      </c>
      <c r="J3" s="17" t="s">
        <v>179</v>
      </c>
      <c r="K3" s="17" t="s">
        <v>179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5" ht="25" customHeight="1">
      <c r="A4" s="17" t="s">
        <v>180</v>
      </c>
      <c r="B4" s="17" t="s">
        <v>180</v>
      </c>
      <c r="C4" s="17" t="s">
        <v>180</v>
      </c>
      <c r="D4" s="17" t="s">
        <v>180</v>
      </c>
      <c r="E4" s="17" t="s">
        <v>180</v>
      </c>
      <c r="F4" s="17" t="s">
        <v>180</v>
      </c>
      <c r="G4" s="17" t="s">
        <v>180</v>
      </c>
      <c r="H4" s="17" t="s">
        <v>180</v>
      </c>
      <c r="I4" s="17" t="s">
        <v>180</v>
      </c>
      <c r="J4" s="17" t="s">
        <v>180</v>
      </c>
      <c r="K4" s="17" t="s">
        <v>180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5" ht="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5" ht="64" customHeight="1">
      <c r="A6" s="3" t="s">
        <v>181</v>
      </c>
      <c r="B6" s="3" t="s">
        <v>182</v>
      </c>
      <c r="C6" s="3" t="s">
        <v>183</v>
      </c>
      <c r="D6" s="3" t="s">
        <v>184</v>
      </c>
      <c r="E6" s="3" t="s">
        <v>185</v>
      </c>
      <c r="F6" s="3" t="s">
        <v>14</v>
      </c>
      <c r="G6" s="3" t="s">
        <v>186</v>
      </c>
      <c r="H6" s="3" t="s">
        <v>187</v>
      </c>
      <c r="I6" s="3" t="s">
        <v>188</v>
      </c>
      <c r="J6" s="3" t="s">
        <v>189</v>
      </c>
      <c r="K6" s="3" t="s">
        <v>190</v>
      </c>
      <c r="L6" s="3" t="s">
        <v>191</v>
      </c>
      <c r="M6" s="3" t="s">
        <v>50</v>
      </c>
      <c r="N6" s="3" t="s">
        <v>192</v>
      </c>
      <c r="O6" s="3" t="s">
        <v>193</v>
      </c>
      <c r="P6" s="3" t="s">
        <v>194</v>
      </c>
      <c r="Q6" s="3" t="s">
        <v>195</v>
      </c>
      <c r="R6" s="3" t="s">
        <v>9</v>
      </c>
      <c r="S6" s="3" t="s">
        <v>66</v>
      </c>
      <c r="T6" s="3" t="s">
        <v>196</v>
      </c>
      <c r="U6" s="3" t="s">
        <v>197</v>
      </c>
      <c r="V6" s="3" t="s">
        <v>198</v>
      </c>
      <c r="W6" s="3" t="s">
        <v>49</v>
      </c>
      <c r="X6" s="13" t="s">
        <v>199</v>
      </c>
      <c r="Y6" s="13" t="s">
        <v>200</v>
      </c>
    </row>
    <row r="7" spans="1:25" ht="48" customHeight="1">
      <c r="A7" s="5" t="s">
        <v>201</v>
      </c>
      <c r="B7" s="5" t="s">
        <v>72</v>
      </c>
      <c r="C7" s="5" t="s">
        <v>202</v>
      </c>
      <c r="D7" s="5" t="s">
        <v>5</v>
      </c>
      <c r="E7" s="5" t="s">
        <v>75</v>
      </c>
      <c r="F7" s="7">
        <v>46321.458333333336</v>
      </c>
      <c r="G7" s="5" t="s">
        <v>203</v>
      </c>
      <c r="H7" s="5" t="s">
        <v>204</v>
      </c>
      <c r="I7" s="5" t="s">
        <v>78</v>
      </c>
      <c r="J7" s="5"/>
      <c r="K7" s="5"/>
      <c r="L7" s="6" t="str">
        <f>IF(A7="","",IFERROR(INDEX(Реестр!$D$7:$D$106,MATCH(B7,Реестр!$A$7:$A$106,0)),"Нет связи"))</f>
        <v>Менеджер 1</v>
      </c>
      <c r="M7" s="6" t="str">
        <f>IF(A7="","",IFERROR(INDEX(Реестр!$E$7:$E$106,MATCH(B7,Реестр!$A$7:$A$106,0)),"Нет связи"))</f>
        <v>Прямые</v>
      </c>
      <c r="N7" s="6">
        <f>IF(AND(A7&lt;&gt;"",H7&lt;&gt;"Закрыто",L7&lt;&gt;"Нет связи"),IF(INDEX(Реестр!$V$7:$V$106,MATCH(B7,Реестр!$A$7:$A$106,0))="Закрыто",0,1),0)</f>
        <v>1</v>
      </c>
      <c r="O7" s="12">
        <f>IF(N7=0,0,IF(F7="","Нет срока",MAX(0,(Продажи!$D$4-F7)*24)))</f>
        <v>0</v>
      </c>
      <c r="P7" s="6">
        <f>IF(AND(N7=1,ISNUMBER(F7),F7&lt;=Продажи!$D$4+2,OR(G7="Подача",G7="Дозапрос",G7="Обеспечение",G7="Обязательство клиенту")),1,0)</f>
        <v>0</v>
      </c>
      <c r="Q7" s="6">
        <f t="shared" ref="Q7:Q38" si="0">IF(AND(N7=1,D7="Продажи",ISNUMBER(O7),O7&gt;0),1,0)</f>
        <v>0</v>
      </c>
      <c r="R7" s="6">
        <f t="shared" ref="R7:R38" si="1">IF(AND(N7=1,H7="Ожидание",D7&lt;&gt;"Продажи"),1,0)</f>
        <v>0</v>
      </c>
      <c r="S7" s="6">
        <f>IF(AND(N7=1,OR(Продажи!$I$4="Все",L7=Продажи!$I$4),OR(Продажи!$O$4="Все",M7=Продажи!$O$4)),1,0)</f>
        <v>1</v>
      </c>
      <c r="T7" s="6">
        <f>IF(S7=0,0,IF(P7=1,1,IF(AND(ISNUMBER(O7),O7&gt;0),2,IF(AND(ISNUMBER(F7),INT(F7)=INT(Продажи!$D$4)),3,IF(OR(I7="Да",F7=""),4,0)))))</f>
        <v>3</v>
      </c>
      <c r="U7" s="6">
        <f>IF(T7=0,"",COUNTIFS($T$7:$T$106,"&gt;0",$T$7:$T$106,"&lt;"&amp;T7)+COUNTIFS($T$7:$T$106,T7,$Y$7:$Y$106,"&lt;"&amp;Y7)+COUNTIFS($T$7:T7,T7,$Y$7:Y7,Y7))</f>
        <v>11</v>
      </c>
      <c r="V7" s="6" t="str">
        <f>IF(A7="","",IFERROR(INDEX(Реестр!$W$7:$W$106,MATCH(B7,Реестр!$A$7:$A$106,0)),"Нет связи"))</f>
        <v>Контакт и подтверждённая потребность</v>
      </c>
      <c r="W7" s="6" t="str">
        <f>IF(A7="","",IFERROR(INDEX(Реестр!$C$7:$C$106,MATCH(B7,Реестр!$A$7:$A$106,0)),"Нет связи"))</f>
        <v>Компания А</v>
      </c>
      <c r="X7" s="14" t="str">
        <f>IF(AND(S7=1,I7="Да"),COUNTIFS($S$7:$S$106,1,$I$7:$I$106,"Да",$Y$7:$Y$106,"&lt;"&amp;Y7)+COUNTIFS($S$7:S7,1,$I$7:I7,"Да",$Y$7:Y7,Y7),"")</f>
        <v/>
      </c>
      <c r="Y7" s="14">
        <f t="shared" ref="Y7:Y38" si="2">IF(N7=1,IF(ISNUMBER(F7),F7,2958465),"")</f>
        <v>46321.458333333336</v>
      </c>
    </row>
    <row r="8" spans="1:25" ht="48" customHeight="1">
      <c r="A8" s="5" t="s">
        <v>205</v>
      </c>
      <c r="B8" s="5" t="s">
        <v>79</v>
      </c>
      <c r="C8" s="5" t="s">
        <v>206</v>
      </c>
      <c r="D8" s="5" t="s">
        <v>5</v>
      </c>
      <c r="E8" s="5" t="s">
        <v>81</v>
      </c>
      <c r="F8" s="7">
        <v>46320.666666666664</v>
      </c>
      <c r="G8" s="5" t="s">
        <v>203</v>
      </c>
      <c r="H8" s="5" t="s">
        <v>204</v>
      </c>
      <c r="I8" s="5" t="s">
        <v>78</v>
      </c>
      <c r="J8" s="5"/>
      <c r="K8" s="5"/>
      <c r="L8" s="6" t="str">
        <f>IF(A8="","",IFERROR(INDEX(Реестр!$D$7:$D$106,MATCH(B8,Реестр!$A$7:$A$106,0)),"Нет связи"))</f>
        <v>Менеджер 2</v>
      </c>
      <c r="M8" s="6" t="str">
        <f>IF(A8="","",IFERROR(INDEX(Реестр!$E$7:$E$106,MATCH(B8,Реестр!$A$7:$A$106,0)),"Нет связи"))</f>
        <v>Прямые</v>
      </c>
      <c r="N8" s="6">
        <f>IF(AND(A8&lt;&gt;"",H8&lt;&gt;"Закрыто",L8&lt;&gt;"Нет связи"),IF(INDEX(Реестр!$V$7:$V$106,MATCH(B8,Реестр!$A$7:$A$106,0))="Закрыто",0,1),0)</f>
        <v>1</v>
      </c>
      <c r="O8" s="12">
        <f>IF(N8=0,0,IF(F8="","Нет срока",MAX(0,(Продажи!$D$4-F8)*24)))</f>
        <v>17.000000000058208</v>
      </c>
      <c r="P8" s="6">
        <f>IF(AND(N8=1,ISNUMBER(F8),F8&lt;=Продажи!$D$4+2,OR(G8="Подача",G8="Дозапрос",G8="Обеспечение",G8="Обязательство клиенту")),1,0)</f>
        <v>0</v>
      </c>
      <c r="Q8" s="6">
        <f t="shared" si="0"/>
        <v>1</v>
      </c>
      <c r="R8" s="6">
        <f t="shared" si="1"/>
        <v>0</v>
      </c>
      <c r="S8" s="6">
        <f>IF(AND(N8=1,OR(Продажи!$I$4="Все",L8=Продажи!$I$4),OR(Продажи!$O$4="Все",M8=Продажи!$O$4)),1,0)</f>
        <v>1</v>
      </c>
      <c r="T8" s="6">
        <f>IF(S8=0,0,IF(P8=1,1,IF(AND(ISNUMBER(O8),O8&gt;0),2,IF(AND(ISNUMBER(F8),INT(F8)=INT(Продажи!$D$4)),3,IF(OR(I8="Да",F8=""),4,0)))))</f>
        <v>2</v>
      </c>
      <c r="U8" s="6">
        <f>IF(T8=0,"",COUNTIFS($T$7:$T$106,"&gt;0",$T$7:$T$106,"&lt;"&amp;T8)+COUNTIFS($T$7:$T$106,T8,$Y$7:$Y$106,"&lt;"&amp;Y8)+COUNTIFS($T$7:T8,T8,$Y$7:Y8,Y8))</f>
        <v>8</v>
      </c>
      <c r="V8" s="6" t="str">
        <f>IF(A8="","",IFERROR(INDEX(Реестр!$W$7:$W$106,MATCH(B8,Реестр!$A$7:$A$106,0)),"Нет связи"))</f>
        <v>Контакт и подтверждённая потребность</v>
      </c>
      <c r="W8" s="6" t="str">
        <f>IF(A8="","",IFERROR(INDEX(Реестр!$C$7:$C$106,MATCH(B8,Реестр!$A$7:$A$106,0)),"Нет связи"))</f>
        <v>Компания Б</v>
      </c>
      <c r="X8" s="14" t="str">
        <f>IF(AND(S8=1,I8="Да"),COUNTIFS($S$7:$S$106,1,$I$7:$I$106,"Да",$Y$7:$Y$106,"&lt;"&amp;Y8)+COUNTIFS($S$7:S8,1,$I$7:I8,"Да",$Y$7:Y8,Y8),"")</f>
        <v/>
      </c>
      <c r="Y8" s="14">
        <f t="shared" si="2"/>
        <v>46320.666666666664</v>
      </c>
    </row>
    <row r="9" spans="1:25" ht="48" customHeight="1">
      <c r="A9" s="5" t="s">
        <v>207</v>
      </c>
      <c r="B9" s="5" t="s">
        <v>82</v>
      </c>
      <c r="C9" s="5" t="s">
        <v>208</v>
      </c>
      <c r="D9" s="5" t="s">
        <v>5</v>
      </c>
      <c r="E9" s="5" t="s">
        <v>75</v>
      </c>
      <c r="F9" s="7">
        <v>46322.5</v>
      </c>
      <c r="G9" s="5" t="s">
        <v>209</v>
      </c>
      <c r="H9" s="5" t="s">
        <v>204</v>
      </c>
      <c r="I9" s="5" t="s">
        <v>78</v>
      </c>
      <c r="J9" s="5"/>
      <c r="K9" s="5"/>
      <c r="L9" s="6" t="str">
        <f>IF(A9="","",IFERROR(INDEX(Реестр!$D$7:$D$106,MATCH(B9,Реестр!$A$7:$A$106,0)),"Нет связи"))</f>
        <v>Менеджер 1</v>
      </c>
      <c r="M9" s="6" t="str">
        <f>IF(A9="","",IFERROR(INDEX(Реестр!$E$7:$E$106,MATCH(B9,Реестр!$A$7:$A$106,0)),"Нет связи"))</f>
        <v>Прямые</v>
      </c>
      <c r="N9" s="6">
        <f>IF(AND(A9&lt;&gt;"",H9&lt;&gt;"Закрыто",L9&lt;&gt;"Нет связи"),IF(INDEX(Реестр!$V$7:$V$106,MATCH(B9,Реестр!$A$7:$A$106,0))="Закрыто",0,1),0)</f>
        <v>1</v>
      </c>
      <c r="O9" s="12">
        <f>IF(N9=0,0,IF(F9="","Нет срока",MAX(0,(Продажи!$D$4-F9)*24)))</f>
        <v>0</v>
      </c>
      <c r="P9" s="6">
        <f>IF(AND(N9=1,ISNUMBER(F9),F9&lt;=Продажи!$D$4+2,OR(G9="Подача",G9="Дозапрос",G9="Обеспечение",G9="Обязательство клиенту")),1,0)</f>
        <v>0</v>
      </c>
      <c r="Q9" s="6">
        <f t="shared" si="0"/>
        <v>0</v>
      </c>
      <c r="R9" s="6">
        <f t="shared" si="1"/>
        <v>0</v>
      </c>
      <c r="S9" s="6">
        <f>IF(AND(N9=1,OR(Продажи!$I$4="Все",L9=Продажи!$I$4),OR(Продажи!$O$4="Все",M9=Продажи!$O$4)),1,0)</f>
        <v>1</v>
      </c>
      <c r="T9" s="6">
        <f>IF(S9=0,0,IF(P9=1,1,IF(AND(ISNUMBER(O9),O9&gt;0),2,IF(AND(ISNUMBER(F9),INT(F9)=INT(Продажи!$D$4)),3,IF(OR(I9="Да",F9=""),4,0)))))</f>
        <v>0</v>
      </c>
      <c r="U9" s="6" t="str">
        <f>IF(T9=0,"",COUNTIFS($T$7:$T$106,"&gt;0",$T$7:$T$106,"&lt;"&amp;T9)+COUNTIFS($T$7:$T$106,T9,$Y$7:$Y$106,"&lt;"&amp;Y9)+COUNTIFS($T$7:T9,T9,$Y$7:Y9,Y9))</f>
        <v/>
      </c>
      <c r="V9" s="6" t="str">
        <f>IF(A9="","",IFERROR(INDEX(Реестр!$W$7:$W$106,MATCH(B9,Реестр!$A$7:$A$106,0)),"Нет связи"))</f>
        <v/>
      </c>
      <c r="W9" s="6" t="str">
        <f>IF(A9="","",IFERROR(INDEX(Реестр!$C$7:$C$106,MATCH(B9,Реестр!$A$7:$A$106,0)),"Нет связи"))</f>
        <v>Компания В</v>
      </c>
      <c r="X9" s="14" t="str">
        <f>IF(AND(S9=1,I9="Да"),COUNTIFS($S$7:$S$106,1,$I$7:$I$106,"Да",$Y$7:$Y$106,"&lt;"&amp;Y9)+COUNTIFS($S$7:S9,1,$I$7:I9,"Да",$Y$7:Y9,Y9),"")</f>
        <v/>
      </c>
      <c r="Y9" s="14">
        <f t="shared" si="2"/>
        <v>46322.5</v>
      </c>
    </row>
    <row r="10" spans="1:25" ht="48" customHeight="1">
      <c r="A10" s="5" t="s">
        <v>210</v>
      </c>
      <c r="B10" s="5" t="s">
        <v>86</v>
      </c>
      <c r="C10" s="5" t="s">
        <v>211</v>
      </c>
      <c r="D10" s="5" t="s">
        <v>212</v>
      </c>
      <c r="E10" s="5" t="s">
        <v>213</v>
      </c>
      <c r="F10" s="7">
        <v>46320.708333333336</v>
      </c>
      <c r="G10" s="5" t="s">
        <v>214</v>
      </c>
      <c r="H10" s="5" t="s">
        <v>215</v>
      </c>
      <c r="I10" s="5" t="s">
        <v>78</v>
      </c>
      <c r="J10" s="5"/>
      <c r="K10" s="5"/>
      <c r="L10" s="6" t="str">
        <f>IF(A10="","",IFERROR(INDEX(Реестр!$D$7:$D$106,MATCH(B10,Реестр!$A$7:$A$106,0)),"Нет связи"))</f>
        <v>Менеджер 1</v>
      </c>
      <c r="M10" s="6" t="str">
        <f>IF(A10="","",IFERROR(INDEX(Реестр!$E$7:$E$106,MATCH(B10,Реестр!$A$7:$A$106,0)),"Нет связи"))</f>
        <v>Прямые</v>
      </c>
      <c r="N10" s="6">
        <f>IF(AND(A10&lt;&gt;"",H10&lt;&gt;"Закрыто",L10&lt;&gt;"Нет связи"),IF(INDEX(Реестр!$V$7:$V$106,MATCH(B10,Реестр!$A$7:$A$106,0))="Закрыто",0,1),0)</f>
        <v>1</v>
      </c>
      <c r="O10" s="12">
        <f>IF(N10=0,0,IF(F10="","Нет срока",MAX(0,(Продажи!$D$4-F10)*24)))</f>
        <v>15.999999999941792</v>
      </c>
      <c r="P10" s="6">
        <f>IF(AND(N10=1,ISNUMBER(F10),F10&lt;=Продажи!$D$4+2,OR(G10="Подача",G10="Дозапрос",G10="Обеспечение",G10="Обязательство клиенту")),1,0)</f>
        <v>0</v>
      </c>
      <c r="Q10" s="6">
        <f t="shared" si="0"/>
        <v>0</v>
      </c>
      <c r="R10" s="6">
        <f t="shared" si="1"/>
        <v>1</v>
      </c>
      <c r="S10" s="6">
        <f>IF(AND(N10=1,OR(Продажи!$I$4="Все",L10=Продажи!$I$4),OR(Продажи!$O$4="Все",M10=Продажи!$O$4)),1,0)</f>
        <v>1</v>
      </c>
      <c r="T10" s="6">
        <f>IF(S10=0,0,IF(P10=1,1,IF(AND(ISNUMBER(O10),O10&gt;0),2,IF(AND(ISNUMBER(F10),INT(F10)=INT(Продажи!$D$4)),3,IF(OR(I10="Да",F10=""),4,0)))))</f>
        <v>2</v>
      </c>
      <c r="U10" s="6">
        <f>IF(T10=0,"",COUNTIFS($T$7:$T$106,"&gt;0",$T$7:$T$106,"&lt;"&amp;T10)+COUNTIFS($T$7:$T$106,T10,$Y$7:$Y$106,"&lt;"&amp;Y10)+COUNTIFS($T$7:T10,T10,$Y$7:Y10,Y10))</f>
        <v>9</v>
      </c>
      <c r="V10" s="6" t="str">
        <f>IF(A10="","",IFERROR(INDEX(Реестр!$W$7:$W$106,MATCH(B10,Реестр!$A$7:$A$106,0)),"Нет связи"))</f>
        <v>Ведомость требований клиента</v>
      </c>
      <c r="W10" s="6" t="str">
        <f>IF(A10="","",IFERROR(INDEX(Реестр!$C$7:$C$106,MATCH(B10,Реестр!$A$7:$A$106,0)),"Нет связи"))</f>
        <v>Компания Г</v>
      </c>
      <c r="X10" s="14" t="str">
        <f>IF(AND(S10=1,I10="Да"),COUNTIFS($S$7:$S$106,1,$I$7:$I$106,"Да",$Y$7:$Y$106,"&lt;"&amp;Y10)+COUNTIFS($S$7:S10,1,$I$7:I10,"Да",$Y$7:Y10,Y10),"")</f>
        <v/>
      </c>
      <c r="Y10" s="14">
        <f t="shared" si="2"/>
        <v>46320.708333333336</v>
      </c>
    </row>
    <row r="11" spans="1:25" ht="48" customHeight="1">
      <c r="A11" s="5" t="s">
        <v>216</v>
      </c>
      <c r="B11" s="5" t="s">
        <v>86</v>
      </c>
      <c r="C11" s="5" t="s">
        <v>217</v>
      </c>
      <c r="D11" s="5" t="s">
        <v>5</v>
      </c>
      <c r="E11" s="5" t="s">
        <v>75</v>
      </c>
      <c r="F11" s="7">
        <v>46321.416666666664</v>
      </c>
      <c r="G11" s="5" t="s">
        <v>203</v>
      </c>
      <c r="H11" s="5" t="s">
        <v>204</v>
      </c>
      <c r="I11" s="5" t="s">
        <v>78</v>
      </c>
      <c r="J11" s="5"/>
      <c r="K11" s="5"/>
      <c r="L11" s="6" t="str">
        <f>IF(A11="","",IFERROR(INDEX(Реестр!$D$7:$D$106,MATCH(B11,Реестр!$A$7:$A$106,0)),"Нет связи"))</f>
        <v>Менеджер 1</v>
      </c>
      <c r="M11" s="6" t="str">
        <f>IF(A11="","",IFERROR(INDEX(Реестр!$E$7:$E$106,MATCH(B11,Реестр!$A$7:$A$106,0)),"Нет связи"))</f>
        <v>Прямые</v>
      </c>
      <c r="N11" s="6">
        <f>IF(AND(A11&lt;&gt;"",H11&lt;&gt;"Закрыто",L11&lt;&gt;"Нет связи"),IF(INDEX(Реестр!$V$7:$V$106,MATCH(B11,Реестр!$A$7:$A$106,0))="Закрыто",0,1),0)</f>
        <v>1</v>
      </c>
      <c r="O11" s="12">
        <f>IF(N11=0,0,IF(F11="","Нет срока",MAX(0,(Продажи!$D$4-F11)*24)))</f>
        <v>0</v>
      </c>
      <c r="P11" s="6">
        <f>IF(AND(N11=1,ISNUMBER(F11),F11&lt;=Продажи!$D$4+2,OR(G11="Подача",G11="Дозапрос",G11="Обеспечение",G11="Обязательство клиенту")),1,0)</f>
        <v>0</v>
      </c>
      <c r="Q11" s="6">
        <f t="shared" si="0"/>
        <v>0</v>
      </c>
      <c r="R11" s="6">
        <f t="shared" si="1"/>
        <v>0</v>
      </c>
      <c r="S11" s="6">
        <f>IF(AND(N11=1,OR(Продажи!$I$4="Все",L11=Продажи!$I$4),OR(Продажи!$O$4="Все",M11=Продажи!$O$4)),1,0)</f>
        <v>1</v>
      </c>
      <c r="T11" s="6">
        <f>IF(S11=0,0,IF(P11=1,1,IF(AND(ISNUMBER(O11),O11&gt;0),2,IF(AND(ISNUMBER(F11),INT(F11)=INT(Продажи!$D$4)),3,IF(OR(I11="Да",F11=""),4,0)))))</f>
        <v>3</v>
      </c>
      <c r="U11" s="6">
        <f>IF(T11=0,"",COUNTIFS($T$7:$T$106,"&gt;0",$T$7:$T$106,"&lt;"&amp;T11)+COUNTIFS($T$7:$T$106,T11,$Y$7:$Y$106,"&lt;"&amp;Y11)+COUNTIFS($T$7:T11,T11,$Y$7:Y11,Y11))</f>
        <v>10</v>
      </c>
      <c r="V11" s="6" t="str">
        <f>IF(A11="","",IFERROR(INDEX(Реестр!$W$7:$W$106,MATCH(B11,Реестр!$A$7:$A$106,0)),"Нет связи"))</f>
        <v>Ведомость требований клиента</v>
      </c>
      <c r="W11" s="6" t="str">
        <f>IF(A11="","",IFERROR(INDEX(Реестр!$C$7:$C$106,MATCH(B11,Реестр!$A$7:$A$106,0)),"Нет связи"))</f>
        <v>Компания Г</v>
      </c>
      <c r="X11" s="14" t="str">
        <f>IF(AND(S11=1,I11="Да"),COUNTIFS($S$7:$S$106,1,$I$7:$I$106,"Да",$Y$7:$Y$106,"&lt;"&amp;Y11)+COUNTIFS($S$7:S11,1,$I$7:I11,"Да",$Y$7:Y11,Y11),"")</f>
        <v/>
      </c>
      <c r="Y11" s="14">
        <f t="shared" si="2"/>
        <v>46321.416666666664</v>
      </c>
    </row>
    <row r="12" spans="1:25" ht="48" customHeight="1">
      <c r="A12" s="5" t="s">
        <v>218</v>
      </c>
      <c r="B12" s="5" t="s">
        <v>90</v>
      </c>
      <c r="C12" s="5" t="s">
        <v>219</v>
      </c>
      <c r="D12" s="5" t="s">
        <v>220</v>
      </c>
      <c r="E12" s="5" t="s">
        <v>221</v>
      </c>
      <c r="F12" s="7">
        <v>46319.666666666664</v>
      </c>
      <c r="G12" s="5" t="s">
        <v>92</v>
      </c>
      <c r="H12" s="5" t="s">
        <v>215</v>
      </c>
      <c r="I12" s="5" t="s">
        <v>222</v>
      </c>
      <c r="J12" s="5" t="s">
        <v>223</v>
      </c>
      <c r="K12" s="5"/>
      <c r="L12" s="6" t="str">
        <f>IF(A12="","",IFERROR(INDEX(Реестр!$D$7:$D$106,MATCH(B12,Реестр!$A$7:$A$106,0)),"Нет связи"))</f>
        <v>Менеджер 2</v>
      </c>
      <c r="M12" s="6" t="str">
        <f>IF(A12="","",IFERROR(INDEX(Реестр!$E$7:$E$106,MATCH(B12,Реестр!$A$7:$A$106,0)),"Нет связи"))</f>
        <v>Прямые</v>
      </c>
      <c r="N12" s="6">
        <f>IF(AND(A12&lt;&gt;"",H12&lt;&gt;"Закрыто",L12&lt;&gt;"Нет связи"),IF(INDEX(Реестр!$V$7:$V$106,MATCH(B12,Реестр!$A$7:$A$106,0))="Закрыто",0,1),0)</f>
        <v>1</v>
      </c>
      <c r="O12" s="12">
        <f>IF(N12=0,0,IF(F12="","Нет срока",MAX(0,(Продажи!$D$4-F12)*24)))</f>
        <v>41.000000000058208</v>
      </c>
      <c r="P12" s="6">
        <f>IF(AND(N12=1,ISNUMBER(F12),F12&lt;=Продажи!$D$4+2,OR(G12="Подача",G12="Дозапрос",G12="Обеспечение",G12="Обязательство клиенту")),1,0)</f>
        <v>0</v>
      </c>
      <c r="Q12" s="6">
        <f t="shared" si="0"/>
        <v>0</v>
      </c>
      <c r="R12" s="6">
        <f t="shared" si="1"/>
        <v>1</v>
      </c>
      <c r="S12" s="6">
        <f>IF(AND(N12=1,OR(Продажи!$I$4="Все",L12=Продажи!$I$4),OR(Продажи!$O$4="Все",M12=Продажи!$O$4)),1,0)</f>
        <v>1</v>
      </c>
      <c r="T12" s="6">
        <f>IF(S12=0,0,IF(P12=1,1,IF(AND(ISNUMBER(O12),O12&gt;0),2,IF(AND(ISNUMBER(F12),INT(F12)=INT(Продажи!$D$4)),3,IF(OR(I12="Да",F12=""),4,0)))))</f>
        <v>2</v>
      </c>
      <c r="U12" s="6">
        <f>IF(T12=0,"",COUNTIFS($T$7:$T$106,"&gt;0",$T$7:$T$106,"&lt;"&amp;T12)+COUNTIFS($T$7:$T$106,T12,$Y$7:$Y$106,"&lt;"&amp;Y12)+COUNTIFS($T$7:T12,T12,$Y$7:Y12,Y12))</f>
        <v>5</v>
      </c>
      <c r="V12" s="6" t="str">
        <f>IF(A12="","",IFERROR(INDEX(Реестр!$W$7:$W$106,MATCH(B12,Реестр!$A$7:$A$106,0)),"Нет связи"))</f>
        <v xml:space="preserve">КП завода; цена продажи; </v>
      </c>
      <c r="W12" s="6" t="str">
        <f>IF(A12="","",IFERROR(INDEX(Реестр!$C$7:$C$106,MATCH(B12,Реестр!$A$7:$A$106,0)),"Нет связи"))</f>
        <v>Компания Д</v>
      </c>
      <c r="X12" s="14">
        <f>IF(AND(S12=1,I12="Да"),COUNTIFS($S$7:$S$106,1,$I$7:$I$106,"Да",$Y$7:$Y$106,"&lt;"&amp;Y12)+COUNTIFS($S$7:S12,1,$I$7:I12,"Да",$Y$7:Y12,Y12),"")</f>
        <v>1</v>
      </c>
      <c r="Y12" s="14">
        <f t="shared" si="2"/>
        <v>46319.666666666664</v>
      </c>
    </row>
    <row r="13" spans="1:25" ht="48" customHeight="1">
      <c r="A13" s="5" t="s">
        <v>224</v>
      </c>
      <c r="B13" s="5" t="s">
        <v>93</v>
      </c>
      <c r="C13" s="5" t="s">
        <v>225</v>
      </c>
      <c r="D13" s="5" t="s">
        <v>226</v>
      </c>
      <c r="E13" s="5" t="s">
        <v>227</v>
      </c>
      <c r="F13" s="7">
        <v>46321.5</v>
      </c>
      <c r="G13" s="5" t="s">
        <v>92</v>
      </c>
      <c r="H13" s="5" t="s">
        <v>215</v>
      </c>
      <c r="I13" s="5" t="s">
        <v>78</v>
      </c>
      <c r="J13" s="5"/>
      <c r="K13" s="5"/>
      <c r="L13" s="6" t="str">
        <f>IF(A13="","",IFERROR(INDEX(Реестр!$D$7:$D$106,MATCH(B13,Реестр!$A$7:$A$106,0)),"Нет связи"))</f>
        <v>Тендерный специалист</v>
      </c>
      <c r="M13" s="6" t="str">
        <f>IF(A13="","",IFERROR(INDEX(Реестр!$E$7:$E$106,MATCH(B13,Реестр!$A$7:$A$106,0)),"Нет связи"))</f>
        <v>Тендеры</v>
      </c>
      <c r="N13" s="6">
        <f>IF(AND(A13&lt;&gt;"",H13&lt;&gt;"Закрыто",L13&lt;&gt;"Нет связи"),IF(INDEX(Реестр!$V$7:$V$106,MATCH(B13,Реестр!$A$7:$A$106,0))="Закрыто",0,1),0)</f>
        <v>1</v>
      </c>
      <c r="O13" s="12">
        <f>IF(N13=0,0,IF(F13="","Нет срока",MAX(0,(Продажи!$D$4-F13)*24)))</f>
        <v>0</v>
      </c>
      <c r="P13" s="6">
        <f>IF(AND(N13=1,ISNUMBER(F13),F13&lt;=Продажи!$D$4+2,OR(G13="Подача",G13="Дозапрос",G13="Обеспечение",G13="Обязательство клиенту")),1,0)</f>
        <v>0</v>
      </c>
      <c r="Q13" s="6">
        <f t="shared" si="0"/>
        <v>0</v>
      </c>
      <c r="R13" s="6">
        <f t="shared" si="1"/>
        <v>1</v>
      </c>
      <c r="S13" s="6">
        <f>IF(AND(N13=1,OR(Продажи!$I$4="Все",L13=Продажи!$I$4),OR(Продажи!$O$4="Все",M13=Продажи!$O$4)),1,0)</f>
        <v>1</v>
      </c>
      <c r="T13" s="6">
        <f>IF(S13=0,0,IF(P13=1,1,IF(AND(ISNUMBER(O13),O13&gt;0),2,IF(AND(ISNUMBER(F13),INT(F13)=INT(Продажи!$D$4)),3,IF(OR(I13="Да",F13=""),4,0)))))</f>
        <v>3</v>
      </c>
      <c r="U13" s="6">
        <f>IF(T13=0,"",COUNTIFS($T$7:$T$106,"&gt;0",$T$7:$T$106,"&lt;"&amp;T13)+COUNTIFS($T$7:$T$106,T13,$Y$7:$Y$106,"&lt;"&amp;Y13)+COUNTIFS($T$7:T13,T13,$Y$7:Y13,Y13))</f>
        <v>12</v>
      </c>
      <c r="V13" s="6" t="str">
        <f>IF(A13="","",IFERROR(INDEX(Реестр!$W$7:$W$106,MATCH(B13,Реестр!$A$7:$A$106,0)),"Нет связи"))</f>
        <v xml:space="preserve">логистика; цена продажи; </v>
      </c>
      <c r="W13" s="6" t="str">
        <f>IF(A13="","",IFERROR(INDEX(Реестр!$C$7:$C$106,MATCH(B13,Реестр!$A$7:$A$106,0)),"Нет связи"))</f>
        <v>Компания Е</v>
      </c>
      <c r="X13" s="14" t="str">
        <f>IF(AND(S13=1,I13="Да"),COUNTIFS($S$7:$S$106,1,$I$7:$I$106,"Да",$Y$7:$Y$106,"&lt;"&amp;Y13)+COUNTIFS($S$7:S13,1,$I$7:I13,"Да",$Y$7:Y13,Y13),"")</f>
        <v/>
      </c>
      <c r="Y13" s="14">
        <f t="shared" si="2"/>
        <v>46321.5</v>
      </c>
    </row>
    <row r="14" spans="1:25" ht="48" customHeight="1">
      <c r="A14" s="5" t="s">
        <v>228</v>
      </c>
      <c r="B14" s="5" t="s">
        <v>93</v>
      </c>
      <c r="C14" s="5" t="s">
        <v>229</v>
      </c>
      <c r="D14" s="5" t="s">
        <v>5</v>
      </c>
      <c r="E14" s="5" t="s">
        <v>95</v>
      </c>
      <c r="F14" s="7">
        <v>46321.583333333336</v>
      </c>
      <c r="G14" s="5" t="s">
        <v>230</v>
      </c>
      <c r="H14" s="5" t="s">
        <v>204</v>
      </c>
      <c r="I14" s="5" t="s">
        <v>222</v>
      </c>
      <c r="J14" s="5" t="s">
        <v>231</v>
      </c>
      <c r="K14" s="5"/>
      <c r="L14" s="6" t="str">
        <f>IF(A14="","",IFERROR(INDEX(Реестр!$D$7:$D$106,MATCH(B14,Реестр!$A$7:$A$106,0)),"Нет связи"))</f>
        <v>Тендерный специалист</v>
      </c>
      <c r="M14" s="6" t="str">
        <f>IF(A14="","",IFERROR(INDEX(Реестр!$E$7:$E$106,MATCH(B14,Реестр!$A$7:$A$106,0)),"Нет связи"))</f>
        <v>Тендеры</v>
      </c>
      <c r="N14" s="6">
        <f>IF(AND(A14&lt;&gt;"",H14&lt;&gt;"Закрыто",L14&lt;&gt;"Нет связи"),IF(INDEX(Реестр!$V$7:$V$106,MATCH(B14,Реестр!$A$7:$A$106,0))="Закрыто",0,1),0)</f>
        <v>1</v>
      </c>
      <c r="O14" s="12">
        <f>IF(N14=0,0,IF(F14="","Нет срока",MAX(0,(Продажи!$D$4-F14)*24)))</f>
        <v>0</v>
      </c>
      <c r="P14" s="6">
        <f>IF(AND(N14=1,ISNUMBER(F14),F14&lt;=Продажи!$D$4+2,OR(G14="Подача",G14="Дозапрос",G14="Обеспечение",G14="Обязательство клиенту")),1,0)</f>
        <v>0</v>
      </c>
      <c r="Q14" s="6">
        <f t="shared" si="0"/>
        <v>0</v>
      </c>
      <c r="R14" s="6">
        <f t="shared" si="1"/>
        <v>0</v>
      </c>
      <c r="S14" s="6">
        <f>IF(AND(N14=1,OR(Продажи!$I$4="Все",L14=Продажи!$I$4),OR(Продажи!$O$4="Все",M14=Продажи!$O$4)),1,0)</f>
        <v>1</v>
      </c>
      <c r="T14" s="6">
        <f>IF(S14=0,0,IF(P14=1,1,IF(AND(ISNUMBER(O14),O14&gt;0),2,IF(AND(ISNUMBER(F14),INT(F14)=INT(Продажи!$D$4)),3,IF(OR(I14="Да",F14=""),4,0)))))</f>
        <v>3</v>
      </c>
      <c r="U14" s="6">
        <f>IF(T14=0,"",COUNTIFS($T$7:$T$106,"&gt;0",$T$7:$T$106,"&lt;"&amp;T14)+COUNTIFS($T$7:$T$106,T14,$Y$7:$Y$106,"&lt;"&amp;Y14)+COUNTIFS($T$7:T14,T14,$Y$7:Y14,Y14))</f>
        <v>14</v>
      </c>
      <c r="V14" s="6" t="str">
        <f>IF(A14="","",IFERROR(INDEX(Реестр!$W$7:$W$106,MATCH(B14,Реестр!$A$7:$A$106,0)),"Нет связи"))</f>
        <v xml:space="preserve">логистика; цена продажи; </v>
      </c>
      <c r="W14" s="6" t="str">
        <f>IF(A14="","",IFERROR(INDEX(Реестр!$C$7:$C$106,MATCH(B14,Реестр!$A$7:$A$106,0)),"Нет связи"))</f>
        <v>Компания Е</v>
      </c>
      <c r="X14" s="14">
        <f>IF(AND(S14=1,I14="Да"),COUNTIFS($S$7:$S$106,1,$I$7:$I$106,"Да",$Y$7:$Y$106,"&lt;"&amp;Y14)+COUNTIFS($S$7:S14,1,$I$7:I14,"Да",$Y$7:Y14,Y14),"")</f>
        <v>4</v>
      </c>
      <c r="Y14" s="14">
        <f t="shared" si="2"/>
        <v>46321.583333333336</v>
      </c>
    </row>
    <row r="15" spans="1:25" ht="48" customHeight="1">
      <c r="A15" s="5" t="s">
        <v>232</v>
      </c>
      <c r="B15" s="5" t="s">
        <v>98</v>
      </c>
      <c r="C15" s="5" t="s">
        <v>233</v>
      </c>
      <c r="D15" s="5" t="s">
        <v>5</v>
      </c>
      <c r="E15" s="5" t="s">
        <v>75</v>
      </c>
      <c r="F15" s="7">
        <v>46321.625</v>
      </c>
      <c r="G15" s="5" t="s">
        <v>203</v>
      </c>
      <c r="H15" s="5" t="s">
        <v>204</v>
      </c>
      <c r="I15" s="5" t="s">
        <v>78</v>
      </c>
      <c r="J15" s="5"/>
      <c r="K15" s="5"/>
      <c r="L15" s="6" t="str">
        <f>IF(A15="","",IFERROR(INDEX(Реестр!$D$7:$D$106,MATCH(B15,Реестр!$A$7:$A$106,0)),"Нет связи"))</f>
        <v>Менеджер 1</v>
      </c>
      <c r="M15" s="6" t="str">
        <f>IF(A15="","",IFERROR(INDEX(Реестр!$E$7:$E$106,MATCH(B15,Реестр!$A$7:$A$106,0)),"Нет связи"))</f>
        <v>Прямые</v>
      </c>
      <c r="N15" s="6">
        <f>IF(AND(A15&lt;&gt;"",H15&lt;&gt;"Закрыто",L15&lt;&gt;"Нет связи"),IF(INDEX(Реестр!$V$7:$V$106,MATCH(B15,Реестр!$A$7:$A$106,0))="Закрыто",0,1),0)</f>
        <v>1</v>
      </c>
      <c r="O15" s="12">
        <f>IF(N15=0,0,IF(F15="","Нет срока",MAX(0,(Продажи!$D$4-F15)*24)))</f>
        <v>0</v>
      </c>
      <c r="P15" s="6">
        <f>IF(AND(N15=1,ISNUMBER(F15),F15&lt;=Продажи!$D$4+2,OR(G15="Подача",G15="Дозапрос",G15="Обеспечение",G15="Обязательство клиенту")),1,0)</f>
        <v>0</v>
      </c>
      <c r="Q15" s="6">
        <f t="shared" si="0"/>
        <v>0</v>
      </c>
      <c r="R15" s="6">
        <f t="shared" si="1"/>
        <v>0</v>
      </c>
      <c r="S15" s="6">
        <f>IF(AND(N15=1,OR(Продажи!$I$4="Все",L15=Продажи!$I$4),OR(Продажи!$O$4="Все",M15=Продажи!$O$4)),1,0)</f>
        <v>1</v>
      </c>
      <c r="T15" s="6">
        <f>IF(S15=0,0,IF(P15=1,1,IF(AND(ISNUMBER(O15),O15&gt;0),2,IF(AND(ISNUMBER(F15),INT(F15)=INT(Продажи!$D$4)),3,IF(OR(I15="Да",F15=""),4,0)))))</f>
        <v>3</v>
      </c>
      <c r="U15" s="6">
        <f>IF(T15=0,"",COUNTIFS($T$7:$T$106,"&gt;0",$T$7:$T$106,"&lt;"&amp;T15)+COUNTIFS($T$7:$T$106,T15,$Y$7:$Y$106,"&lt;"&amp;Y15)+COUNTIFS($T$7:T15,T15,$Y$7:Y15,Y15))</f>
        <v>15</v>
      </c>
      <c r="V15" s="6" t="str">
        <f>IF(A15="","",IFERROR(INDEX(Реестр!$W$7:$W$106,MATCH(B15,Реестр!$A$7:$A$106,0)),"Нет связи"))</f>
        <v>Ответ клиента на предложение</v>
      </c>
      <c r="W15" s="6" t="str">
        <f>IF(A15="","",IFERROR(INDEX(Реестр!$C$7:$C$106,MATCH(B15,Реестр!$A$7:$A$106,0)),"Нет связи"))</f>
        <v>Компания Ж</v>
      </c>
      <c r="X15" s="14" t="str">
        <f>IF(AND(S15=1,I15="Да"),COUNTIFS($S$7:$S$106,1,$I$7:$I$106,"Да",$Y$7:$Y$106,"&lt;"&amp;Y15)+COUNTIFS($S$7:S15,1,$I$7:I15,"Да",$Y$7:Y15,Y15),"")</f>
        <v/>
      </c>
      <c r="Y15" s="14">
        <f t="shared" si="2"/>
        <v>46321.625</v>
      </c>
    </row>
    <row r="16" spans="1:25" ht="48" customHeight="1">
      <c r="A16" s="5" t="s">
        <v>234</v>
      </c>
      <c r="B16" s="5" t="s">
        <v>103</v>
      </c>
      <c r="C16" s="5" t="s">
        <v>235</v>
      </c>
      <c r="D16" s="5" t="s">
        <v>5</v>
      </c>
      <c r="E16" s="5" t="s">
        <v>75</v>
      </c>
      <c r="F16" s="7">
        <v>46322.5</v>
      </c>
      <c r="G16" s="5" t="s">
        <v>230</v>
      </c>
      <c r="H16" s="5" t="s">
        <v>204</v>
      </c>
      <c r="I16" s="5" t="s">
        <v>78</v>
      </c>
      <c r="J16" s="5"/>
      <c r="K16" s="5"/>
      <c r="L16" s="6" t="str">
        <f>IF(A16="","",IFERROR(INDEX(Реестр!$D$7:$D$106,MATCH(B16,Реестр!$A$7:$A$106,0)),"Нет связи"))</f>
        <v>Менеджер 1</v>
      </c>
      <c r="M16" s="6" t="str">
        <f>IF(A16="","",IFERROR(INDEX(Реестр!$E$7:$E$106,MATCH(B16,Реестр!$A$7:$A$106,0)),"Нет связи"))</f>
        <v>Прямые</v>
      </c>
      <c r="N16" s="6">
        <f>IF(AND(A16&lt;&gt;"",H16&lt;&gt;"Закрыто",L16&lt;&gt;"Нет связи"),IF(INDEX(Реестр!$V$7:$V$106,MATCH(B16,Реестр!$A$7:$A$106,0))="Закрыто",0,1),0)</f>
        <v>1</v>
      </c>
      <c r="O16" s="12">
        <f>IF(N16=0,0,IF(F16="","Нет срока",MAX(0,(Продажи!$D$4-F16)*24)))</f>
        <v>0</v>
      </c>
      <c r="P16" s="6">
        <f>IF(AND(N16=1,ISNUMBER(F16),F16&lt;=Продажи!$D$4+2,OR(G16="Подача",G16="Дозапрос",G16="Обеспечение",G16="Обязательство клиенту")),1,0)</f>
        <v>0</v>
      </c>
      <c r="Q16" s="6">
        <f t="shared" si="0"/>
        <v>0</v>
      </c>
      <c r="R16" s="6">
        <f t="shared" si="1"/>
        <v>0</v>
      </c>
      <c r="S16" s="6">
        <f>IF(AND(N16=1,OR(Продажи!$I$4="Все",L16=Продажи!$I$4),OR(Продажи!$O$4="Все",M16=Продажи!$O$4)),1,0)</f>
        <v>1</v>
      </c>
      <c r="T16" s="6">
        <f>IF(S16=0,0,IF(P16=1,1,IF(AND(ISNUMBER(O16),O16&gt;0),2,IF(AND(ISNUMBER(F16),INT(F16)=INT(Продажи!$D$4)),3,IF(OR(I16="Да",F16=""),4,0)))))</f>
        <v>0</v>
      </c>
      <c r="U16" s="6" t="str">
        <f>IF(T16=0,"",COUNTIFS($T$7:$T$106,"&gt;0",$T$7:$T$106,"&lt;"&amp;T16)+COUNTIFS($T$7:$T$106,T16,$Y$7:$Y$106,"&lt;"&amp;Y16)+COUNTIFS($T$7:T16,T16,$Y$7:Y16,Y16))</f>
        <v/>
      </c>
      <c r="V16" s="6" t="str">
        <f>IF(A16="","",IFERROR(INDEX(Реестр!$W$7:$W$106,MATCH(B16,Реестр!$A$7:$A$106,0)),"Нет связи"))</f>
        <v/>
      </c>
      <c r="W16" s="6" t="str">
        <f>IF(A16="","",IFERROR(INDEX(Реестр!$C$7:$C$106,MATCH(B16,Реестр!$A$7:$A$106,0)),"Нет связи"))</f>
        <v>Компания И</v>
      </c>
      <c r="X16" s="14" t="str">
        <f>IF(AND(S16=1,I16="Да"),COUNTIFS($S$7:$S$106,1,$I$7:$I$106,"Да",$Y$7:$Y$106,"&lt;"&amp;Y16)+COUNTIFS($S$7:S16,1,$I$7:I16,"Да",$Y$7:Y16,Y16),"")</f>
        <v/>
      </c>
      <c r="Y16" s="14">
        <f t="shared" si="2"/>
        <v>46322.5</v>
      </c>
    </row>
    <row r="17" spans="1:25" ht="48" customHeight="1">
      <c r="A17" s="5" t="s">
        <v>236</v>
      </c>
      <c r="B17" s="5" t="s">
        <v>107</v>
      </c>
      <c r="C17" s="5" t="s">
        <v>237</v>
      </c>
      <c r="D17" s="5" t="s">
        <v>5</v>
      </c>
      <c r="E17" s="5" t="s">
        <v>95</v>
      </c>
      <c r="F17" s="7">
        <v>46321.458333333336</v>
      </c>
      <c r="G17" s="5" t="s">
        <v>109</v>
      </c>
      <c r="H17" s="5" t="s">
        <v>204</v>
      </c>
      <c r="I17" s="5" t="s">
        <v>78</v>
      </c>
      <c r="J17" s="5"/>
      <c r="K17" s="5"/>
      <c r="L17" s="6" t="str">
        <f>IF(A17="","",IFERROR(INDEX(Реестр!$D$7:$D$106,MATCH(B17,Реестр!$A$7:$A$106,0)),"Нет связи"))</f>
        <v>Тендерный специалист</v>
      </c>
      <c r="M17" s="6" t="str">
        <f>IF(A17="","",IFERROR(INDEX(Реестр!$E$7:$E$106,MATCH(B17,Реестр!$A$7:$A$106,0)),"Нет связи"))</f>
        <v>Тендеры</v>
      </c>
      <c r="N17" s="6">
        <f>IF(AND(A17&lt;&gt;"",H17&lt;&gt;"Закрыто",L17&lt;&gt;"Нет связи"),IF(INDEX(Реестр!$V$7:$V$106,MATCH(B17,Реестр!$A$7:$A$106,0))="Закрыто",0,1),0)</f>
        <v>1</v>
      </c>
      <c r="O17" s="12">
        <f>IF(N17=0,0,IF(F17="","Нет срока",MAX(0,(Продажи!$D$4-F17)*24)))</f>
        <v>0</v>
      </c>
      <c r="P17" s="6">
        <f>IF(AND(N17=1,ISNUMBER(F17),F17&lt;=Продажи!$D$4+2,OR(G17="Подача",G17="Дозапрос",G17="Обеспечение",G17="Обязательство клиенту")),1,0)</f>
        <v>1</v>
      </c>
      <c r="Q17" s="6">
        <f t="shared" si="0"/>
        <v>0</v>
      </c>
      <c r="R17" s="6">
        <f t="shared" si="1"/>
        <v>0</v>
      </c>
      <c r="S17" s="6">
        <f>IF(AND(N17=1,OR(Продажи!$I$4="Все",L17=Продажи!$I$4),OR(Продажи!$O$4="Все",M17=Продажи!$O$4)),1,0)</f>
        <v>1</v>
      </c>
      <c r="T17" s="6">
        <f>IF(S17=0,0,IF(P17=1,1,IF(AND(ISNUMBER(O17),O17&gt;0),2,IF(AND(ISNUMBER(F17),INT(F17)=INT(Продажи!$D$4)),3,IF(OR(I17="Да",F17=""),4,0)))))</f>
        <v>1</v>
      </c>
      <c r="U17" s="6">
        <f>IF(T17=0,"",COUNTIFS($T$7:$T$106,"&gt;0",$T$7:$T$106,"&lt;"&amp;T17)+COUNTIFS($T$7:$T$106,T17,$Y$7:$Y$106,"&lt;"&amp;Y17)+COUNTIFS($T$7:T17,T17,$Y$7:Y17,Y17))</f>
        <v>1</v>
      </c>
      <c r="V17" s="6" t="str">
        <f>IF(A17="","",IFERROR(INDEX(Реестр!$W$7:$W$106,MATCH(B17,Реестр!$A$7:$A$106,0)),"Нет связи"))</f>
        <v>Принятый площадкой ответ</v>
      </c>
      <c r="W17" s="6" t="str">
        <f>IF(A17="","",IFERROR(INDEX(Реестр!$C$7:$C$106,MATCH(B17,Реестр!$A$7:$A$106,0)),"Нет связи"))</f>
        <v>Компания К</v>
      </c>
      <c r="X17" s="14" t="str">
        <f>IF(AND(S17=1,I17="Да"),COUNTIFS($S$7:$S$106,1,$I$7:$I$106,"Да",$Y$7:$Y$106,"&lt;"&amp;Y17)+COUNTIFS($S$7:S17,1,$I$7:I17,"Да",$Y$7:Y17,Y17),"")</f>
        <v/>
      </c>
      <c r="Y17" s="14">
        <f t="shared" si="2"/>
        <v>46321.458333333336</v>
      </c>
    </row>
    <row r="18" spans="1:25" ht="48" customHeight="1">
      <c r="A18" s="5" t="s">
        <v>238</v>
      </c>
      <c r="B18" s="5" t="s">
        <v>110</v>
      </c>
      <c r="C18" s="5" t="s">
        <v>239</v>
      </c>
      <c r="D18" s="5" t="s">
        <v>240</v>
      </c>
      <c r="E18" s="5" t="s">
        <v>240</v>
      </c>
      <c r="F18" s="7">
        <v>46320.625</v>
      </c>
      <c r="G18" s="5" t="s">
        <v>112</v>
      </c>
      <c r="H18" s="5" t="s">
        <v>215</v>
      </c>
      <c r="I18" s="5" t="s">
        <v>222</v>
      </c>
      <c r="J18" s="5" t="s">
        <v>241</v>
      </c>
      <c r="K18" s="5"/>
      <c r="L18" s="6" t="str">
        <f>IF(A18="","",IFERROR(INDEX(Реестр!$D$7:$D$106,MATCH(B18,Реестр!$A$7:$A$106,0)),"Нет связи"))</f>
        <v>Менеджер 2</v>
      </c>
      <c r="M18" s="6" t="str">
        <f>IF(A18="","",IFERROR(INDEX(Реестр!$E$7:$E$106,MATCH(B18,Реестр!$A$7:$A$106,0)),"Нет связи"))</f>
        <v>Прямые</v>
      </c>
      <c r="N18" s="6">
        <f>IF(AND(A18&lt;&gt;"",H18&lt;&gt;"Закрыто",L18&lt;&gt;"Нет связи"),IF(INDEX(Реестр!$V$7:$V$106,MATCH(B18,Реестр!$A$7:$A$106,0))="Закрыто",0,1),0)</f>
        <v>1</v>
      </c>
      <c r="O18" s="12">
        <f>IF(N18=0,0,IF(F18="","Нет срока",MAX(0,(Продажи!$D$4-F18)*24)))</f>
        <v>18</v>
      </c>
      <c r="P18" s="6">
        <f>IF(AND(N18=1,ISNUMBER(F18),F18&lt;=Продажи!$D$4+2,OR(G18="Подача",G18="Дозапрос",G18="Обеспечение",G18="Обязательство клиенту")),1,0)</f>
        <v>0</v>
      </c>
      <c r="Q18" s="6">
        <f t="shared" si="0"/>
        <v>0</v>
      </c>
      <c r="R18" s="6">
        <f t="shared" si="1"/>
        <v>1</v>
      </c>
      <c r="S18" s="6">
        <f>IF(AND(N18=1,OR(Продажи!$I$4="Все",L18=Продажи!$I$4),OR(Продажи!$O$4="Все",M18=Продажи!$O$4)),1,0)</f>
        <v>1</v>
      </c>
      <c r="T18" s="6">
        <f>IF(S18=0,0,IF(P18=1,1,IF(AND(ISNUMBER(O18),O18&gt;0),2,IF(AND(ISNUMBER(F18),INT(F18)=INT(Продажи!$D$4)),3,IF(OR(I18="Да",F18=""),4,0)))))</f>
        <v>2</v>
      </c>
      <c r="U18" s="6">
        <f>IF(T18=0,"",COUNTIFS($T$7:$T$106,"&gt;0",$T$7:$T$106,"&lt;"&amp;T18)+COUNTIFS($T$7:$T$106,T18,$Y$7:$Y$106,"&lt;"&amp;Y18)+COUNTIFS($T$7:T18,T18,$Y$7:Y18,Y18))</f>
        <v>7</v>
      </c>
      <c r="V18" s="6" t="str">
        <f>IF(A18="","",IFERROR(INDEX(Реестр!$W$7:$W$106,MATCH(B18,Реестр!$A$7:$A$106,0)),"Нет связи"))</f>
        <v>Подписанные договор и спецификация</v>
      </c>
      <c r="W18" s="6" t="str">
        <f>IF(A18="","",IFERROR(INDEX(Реестр!$C$7:$C$106,MATCH(B18,Реестр!$A$7:$A$106,0)),"Нет связи"))</f>
        <v>Компания Л</v>
      </c>
      <c r="X18" s="14">
        <f>IF(AND(S18=1,I18="Да"),COUNTIFS($S$7:$S$106,1,$I$7:$I$106,"Да",$Y$7:$Y$106,"&lt;"&amp;Y18)+COUNTIFS($S$7:S18,1,$I$7:I18,"Да",$Y$7:Y18,Y18),"")</f>
        <v>2</v>
      </c>
      <c r="Y18" s="14">
        <f t="shared" si="2"/>
        <v>46320.625</v>
      </c>
    </row>
    <row r="19" spans="1:25" ht="48" customHeight="1">
      <c r="A19" s="5" t="s">
        <v>242</v>
      </c>
      <c r="B19" s="5" t="s">
        <v>113</v>
      </c>
      <c r="C19" s="5" t="s">
        <v>243</v>
      </c>
      <c r="D19" s="5" t="s">
        <v>5</v>
      </c>
      <c r="E19" s="5" t="s">
        <v>95</v>
      </c>
      <c r="F19" s="7">
        <v>46322.5</v>
      </c>
      <c r="G19" s="5" t="s">
        <v>150</v>
      </c>
      <c r="H19" s="5" t="s">
        <v>204</v>
      </c>
      <c r="I19" s="5" t="s">
        <v>78</v>
      </c>
      <c r="J19" s="5"/>
      <c r="K19" s="5"/>
      <c r="L19" s="6" t="str">
        <f>IF(A19="","",IFERROR(INDEX(Реестр!$D$7:$D$106,MATCH(B19,Реестр!$A$7:$A$106,0)),"Нет связи"))</f>
        <v>Тендерный специалист</v>
      </c>
      <c r="M19" s="6" t="str">
        <f>IF(A19="","",IFERROR(INDEX(Реестр!$E$7:$E$106,MATCH(B19,Реестр!$A$7:$A$106,0)),"Нет связи"))</f>
        <v>Тендеры</v>
      </c>
      <c r="N19" s="6">
        <f>IF(AND(A19&lt;&gt;"",H19&lt;&gt;"Закрыто",L19&lt;&gt;"Нет связи"),IF(INDEX(Реестр!$V$7:$V$106,MATCH(B19,Реестр!$A$7:$A$106,0))="Закрыто",0,1),0)</f>
        <v>1</v>
      </c>
      <c r="O19" s="12">
        <f>IF(N19=0,0,IF(F19="","Нет срока",MAX(0,(Продажи!$D$4-F19)*24)))</f>
        <v>0</v>
      </c>
      <c r="P19" s="6">
        <f>IF(AND(N19=1,ISNUMBER(F19),F19&lt;=Продажи!$D$4+2,OR(G19="Подача",G19="Дозапрос",G19="Обеспечение",G19="Обязательство клиенту")),1,0)</f>
        <v>1</v>
      </c>
      <c r="Q19" s="6">
        <f t="shared" si="0"/>
        <v>0</v>
      </c>
      <c r="R19" s="6">
        <f t="shared" si="1"/>
        <v>0</v>
      </c>
      <c r="S19" s="6">
        <f>IF(AND(N19=1,OR(Продажи!$I$4="Все",L19=Продажи!$I$4),OR(Продажи!$O$4="Все",M19=Продажи!$O$4)),1,0)</f>
        <v>1</v>
      </c>
      <c r="T19" s="6">
        <f>IF(S19=0,0,IF(P19=1,1,IF(AND(ISNUMBER(O19),O19&gt;0),2,IF(AND(ISNUMBER(F19),INT(F19)=INT(Продажи!$D$4)),3,IF(OR(I19="Да",F19=""),4,0)))))</f>
        <v>1</v>
      </c>
      <c r="U19" s="6">
        <f>IF(T19=0,"",COUNTIFS($T$7:$T$106,"&gt;0",$T$7:$T$106,"&lt;"&amp;T19)+COUNTIFS($T$7:$T$106,T19,$Y$7:$Y$106,"&lt;"&amp;Y19)+COUNTIFS($T$7:T19,T19,$Y$7:Y19,Y19))</f>
        <v>4</v>
      </c>
      <c r="V19" s="6" t="str">
        <f>IF(A19="","",IFERROR(INDEX(Реестр!$W$7:$W$106,MATCH(B19,Реестр!$A$7:$A$106,0)),"Нет связи"))</f>
        <v/>
      </c>
      <c r="W19" s="6" t="str">
        <f>IF(A19="","",IFERROR(INDEX(Реестр!$C$7:$C$106,MATCH(B19,Реестр!$A$7:$A$106,0)),"Нет связи"))</f>
        <v>Компания М</v>
      </c>
      <c r="X19" s="14" t="str">
        <f>IF(AND(S19=1,I19="Да"),COUNTIFS($S$7:$S$106,1,$I$7:$I$106,"Да",$Y$7:$Y$106,"&lt;"&amp;Y19)+COUNTIFS($S$7:S19,1,$I$7:I19,"Да",$Y$7:Y19,Y19),"")</f>
        <v/>
      </c>
      <c r="Y19" s="14">
        <f t="shared" si="2"/>
        <v>46322.5</v>
      </c>
    </row>
    <row r="20" spans="1:25" ht="48" customHeight="1">
      <c r="A20" s="5" t="s">
        <v>244</v>
      </c>
      <c r="B20" s="5" t="s">
        <v>113</v>
      </c>
      <c r="C20" s="5" t="s">
        <v>245</v>
      </c>
      <c r="D20" s="5" t="s">
        <v>246</v>
      </c>
      <c r="E20" s="5" t="s">
        <v>247</v>
      </c>
      <c r="F20" s="7">
        <v>46321.666666666664</v>
      </c>
      <c r="G20" s="5" t="s">
        <v>248</v>
      </c>
      <c r="H20" s="5" t="s">
        <v>215</v>
      </c>
      <c r="I20" s="5" t="s">
        <v>78</v>
      </c>
      <c r="J20" s="5"/>
      <c r="K20" s="5"/>
      <c r="L20" s="6" t="str">
        <f>IF(A20="","",IFERROR(INDEX(Реестр!$D$7:$D$106,MATCH(B20,Реестр!$A$7:$A$106,0)),"Нет связи"))</f>
        <v>Тендерный специалист</v>
      </c>
      <c r="M20" s="6" t="str">
        <f>IF(A20="","",IFERROR(INDEX(Реестр!$E$7:$E$106,MATCH(B20,Реестр!$A$7:$A$106,0)),"Нет связи"))</f>
        <v>Тендеры</v>
      </c>
      <c r="N20" s="6">
        <f>IF(AND(A20&lt;&gt;"",H20&lt;&gt;"Закрыто",L20&lt;&gt;"Нет связи"),IF(INDEX(Реестр!$V$7:$V$106,MATCH(B20,Реестр!$A$7:$A$106,0))="Закрыто",0,1),0)</f>
        <v>1</v>
      </c>
      <c r="O20" s="12">
        <f>IF(N20=0,0,IF(F20="","Нет срока",MAX(0,(Продажи!$D$4-F20)*24)))</f>
        <v>0</v>
      </c>
      <c r="P20" s="6">
        <f>IF(AND(N20=1,ISNUMBER(F20),F20&lt;=Продажи!$D$4+2,OR(G20="Подача",G20="Дозапрос",G20="Обеспечение",G20="Обязательство клиенту")),1,0)</f>
        <v>1</v>
      </c>
      <c r="Q20" s="6">
        <f t="shared" si="0"/>
        <v>0</v>
      </c>
      <c r="R20" s="6">
        <f t="shared" si="1"/>
        <v>1</v>
      </c>
      <c r="S20" s="6">
        <f>IF(AND(N20=1,OR(Продажи!$I$4="Все",L20=Продажи!$I$4),OR(Продажи!$O$4="Все",M20=Продажи!$O$4)),1,0)</f>
        <v>1</v>
      </c>
      <c r="T20" s="6">
        <f>IF(S20=0,0,IF(P20=1,1,IF(AND(ISNUMBER(O20),O20&gt;0),2,IF(AND(ISNUMBER(F20),INT(F20)=INT(Продажи!$D$4)),3,IF(OR(I20="Да",F20=""),4,0)))))</f>
        <v>1</v>
      </c>
      <c r="U20" s="6">
        <f>IF(T20=0,"",COUNTIFS($T$7:$T$106,"&gt;0",$T$7:$T$106,"&lt;"&amp;T20)+COUNTIFS($T$7:$T$106,T20,$Y$7:$Y$106,"&lt;"&amp;Y20)+COUNTIFS($T$7:T20,T20,$Y$7:Y20,Y20))</f>
        <v>3</v>
      </c>
      <c r="V20" s="6" t="str">
        <f>IF(A20="","",IFERROR(INDEX(Реестр!$W$7:$W$106,MATCH(B20,Реестр!$A$7:$A$106,0)),"Нет связи"))</f>
        <v/>
      </c>
      <c r="W20" s="6" t="str">
        <f>IF(A20="","",IFERROR(INDEX(Реестр!$C$7:$C$106,MATCH(B20,Реестр!$A$7:$A$106,0)),"Нет связи"))</f>
        <v>Компания М</v>
      </c>
      <c r="X20" s="14" t="str">
        <f>IF(AND(S20=1,I20="Да"),COUNTIFS($S$7:$S$106,1,$I$7:$I$106,"Да",$Y$7:$Y$106,"&lt;"&amp;Y20)+COUNTIFS($S$7:S20,1,$I$7:I20,"Да",$Y$7:Y20,Y20),"")</f>
        <v/>
      </c>
      <c r="Y20" s="14">
        <f t="shared" si="2"/>
        <v>46321.666666666664</v>
      </c>
    </row>
    <row r="21" spans="1:25" ht="48" customHeight="1">
      <c r="A21" s="5" t="s">
        <v>249</v>
      </c>
      <c r="B21" s="5" t="s">
        <v>117</v>
      </c>
      <c r="C21" s="5" t="s">
        <v>250</v>
      </c>
      <c r="D21" s="5" t="s">
        <v>220</v>
      </c>
      <c r="E21" s="5" t="s">
        <v>221</v>
      </c>
      <c r="F21" s="7">
        <v>46321.5</v>
      </c>
      <c r="G21" s="5" t="s">
        <v>251</v>
      </c>
      <c r="H21" s="5" t="s">
        <v>215</v>
      </c>
      <c r="I21" s="5" t="s">
        <v>78</v>
      </c>
      <c r="J21" s="5"/>
      <c r="K21" s="5"/>
      <c r="L21" s="6" t="str">
        <f>IF(A21="","",IFERROR(INDEX(Реестр!$D$7:$D$106,MATCH(B21,Реестр!$A$7:$A$106,0)),"Нет связи"))</f>
        <v>Менеджер 1</v>
      </c>
      <c r="M21" s="6" t="str">
        <f>IF(A21="","",IFERROR(INDEX(Реестр!$E$7:$E$106,MATCH(B21,Реестр!$A$7:$A$106,0)),"Нет связи"))</f>
        <v>Прямые</v>
      </c>
      <c r="N21" s="6">
        <f>IF(AND(A21&lt;&gt;"",H21&lt;&gt;"Закрыто",L21&lt;&gt;"Нет связи"),IF(INDEX(Реестр!$V$7:$V$106,MATCH(B21,Реестр!$A$7:$A$106,0))="Закрыто",0,1),0)</f>
        <v>1</v>
      </c>
      <c r="O21" s="12">
        <f>IF(N21=0,0,IF(F21="","Нет срока",MAX(0,(Продажи!$D$4-F21)*24)))</f>
        <v>0</v>
      </c>
      <c r="P21" s="6">
        <f>IF(AND(N21=1,ISNUMBER(F21),F21&lt;=Продажи!$D$4+2,OR(G21="Подача",G21="Дозапрос",G21="Обеспечение",G21="Обязательство клиенту")),1,0)</f>
        <v>0</v>
      </c>
      <c r="Q21" s="6">
        <f t="shared" si="0"/>
        <v>0</v>
      </c>
      <c r="R21" s="6">
        <f t="shared" si="1"/>
        <v>1</v>
      </c>
      <c r="S21" s="6">
        <f>IF(AND(N21=1,OR(Продажи!$I$4="Все",L21=Продажи!$I$4),OR(Продажи!$O$4="Все",M21=Продажи!$O$4)),1,0)</f>
        <v>1</v>
      </c>
      <c r="T21" s="6">
        <f>IF(S21=0,0,IF(P21=1,1,IF(AND(ISNUMBER(O21),O21&gt;0),2,IF(AND(ISNUMBER(F21),INT(F21)=INT(Продажи!$D$4)),3,IF(OR(I21="Да",F21=""),4,0)))))</f>
        <v>3</v>
      </c>
      <c r="U21" s="6">
        <f>IF(T21=0,"",COUNTIFS($T$7:$T$106,"&gt;0",$T$7:$T$106,"&lt;"&amp;T21)+COUNTIFS($T$7:$T$106,T21,$Y$7:$Y$106,"&lt;"&amp;Y21)+COUNTIFS($T$7:T21,T21,$Y$7:Y21,Y21))</f>
        <v>13</v>
      </c>
      <c r="V21" s="6" t="str">
        <f>IF(A21="","",IFERROR(INDEX(Реестр!$W$7:$W$106,MATCH(B21,Реестр!$A$7:$A$106,0)),"Нет связи"))</f>
        <v>Приём заказа смежниками</v>
      </c>
      <c r="W21" s="6" t="str">
        <f>IF(A21="","",IFERROR(INDEX(Реестр!$C$7:$C$106,MATCH(B21,Реестр!$A$7:$A$106,0)),"Нет связи"))</f>
        <v>Компания Н / опоры</v>
      </c>
      <c r="X21" s="14" t="str">
        <f>IF(AND(S21=1,I21="Да"),COUNTIFS($S$7:$S$106,1,$I$7:$I$106,"Да",$Y$7:$Y$106,"&lt;"&amp;Y21)+COUNTIFS($S$7:S21,1,$I$7:I21,"Да",$Y$7:Y21,Y21),"")</f>
        <v/>
      </c>
      <c r="Y21" s="14">
        <f t="shared" si="2"/>
        <v>46321.5</v>
      </c>
    </row>
    <row r="22" spans="1:25" ht="48" customHeight="1">
      <c r="A22" s="5" t="s">
        <v>252</v>
      </c>
      <c r="B22" s="5" t="s">
        <v>122</v>
      </c>
      <c r="C22" s="5" t="s">
        <v>253</v>
      </c>
      <c r="D22" s="5" t="s">
        <v>5</v>
      </c>
      <c r="E22" s="5" t="s">
        <v>81</v>
      </c>
      <c r="F22" s="7">
        <v>46321.541666666664</v>
      </c>
      <c r="G22" s="5" t="s">
        <v>254</v>
      </c>
      <c r="H22" s="5" t="s">
        <v>204</v>
      </c>
      <c r="I22" s="5" t="s">
        <v>222</v>
      </c>
      <c r="J22" s="5" t="s">
        <v>255</v>
      </c>
      <c r="K22" s="5"/>
      <c r="L22" s="6" t="str">
        <f>IF(A22="","",IFERROR(INDEX(Реестр!$D$7:$D$106,MATCH(B22,Реестр!$A$7:$A$106,0)),"Нет связи"))</f>
        <v>Менеджер 2</v>
      </c>
      <c r="M22" s="6" t="str">
        <f>IF(A22="","",IFERROR(INDEX(Реестр!$E$7:$E$106,MATCH(B22,Реестр!$A$7:$A$106,0)),"Нет связи"))</f>
        <v>Прямые</v>
      </c>
      <c r="N22" s="6">
        <f>IF(AND(A22&lt;&gt;"",H22&lt;&gt;"Закрыто",L22&lt;&gt;"Нет связи"),IF(INDEX(Реестр!$V$7:$V$106,MATCH(B22,Реестр!$A$7:$A$106,0))="Закрыто",0,1),0)</f>
        <v>1</v>
      </c>
      <c r="O22" s="12">
        <f>IF(N22=0,0,IF(F22="","Нет срока",MAX(0,(Продажи!$D$4-F22)*24)))</f>
        <v>0</v>
      </c>
      <c r="P22" s="6">
        <f>IF(AND(N22=1,ISNUMBER(F22),F22&lt;=Продажи!$D$4+2,OR(G22="Подача",G22="Дозапрос",G22="Обеспечение",G22="Обязательство клиенту")),1,0)</f>
        <v>1</v>
      </c>
      <c r="Q22" s="6">
        <f t="shared" si="0"/>
        <v>0</v>
      </c>
      <c r="R22" s="6">
        <f t="shared" si="1"/>
        <v>0</v>
      </c>
      <c r="S22" s="6">
        <f>IF(AND(N22=1,OR(Продажи!$I$4="Все",L22=Продажи!$I$4),OR(Продажи!$O$4="Все",M22=Продажи!$O$4)),1,0)</f>
        <v>1</v>
      </c>
      <c r="T22" s="6">
        <f>IF(S22=0,0,IF(P22=1,1,IF(AND(ISNUMBER(O22),O22&gt;0),2,IF(AND(ISNUMBER(F22),INT(F22)=INT(Продажи!$D$4)),3,IF(OR(I22="Да",F22=""),4,0)))))</f>
        <v>1</v>
      </c>
      <c r="U22" s="6">
        <f>IF(T22=0,"",COUNTIFS($T$7:$T$106,"&gt;0",$T$7:$T$106,"&lt;"&amp;T22)+COUNTIFS($T$7:$T$106,T22,$Y$7:$Y$106,"&lt;"&amp;Y22)+COUNTIFS($T$7:T22,T22,$Y$7:Y22,Y22))</f>
        <v>2</v>
      </c>
      <c r="V22" s="6" t="str">
        <f>IF(A22="","",IFERROR(INDEX(Реестр!$W$7:$W$106,MATCH(B22,Реестр!$A$7:$A$106,0)),"Нет связи"))</f>
        <v>Согласованы изменения и сроки клиента</v>
      </c>
      <c r="W22" s="6" t="str">
        <f>IF(A22="","",IFERROR(INDEX(Реестр!$C$7:$C$106,MATCH(B22,Реестр!$A$7:$A$106,0)),"Нет связи"))</f>
        <v>Компания О / металлоконструкции</v>
      </c>
      <c r="X22" s="14">
        <f>IF(AND(S22=1,I22="Да"),COUNTIFS($S$7:$S$106,1,$I$7:$I$106,"Да",$Y$7:$Y$106,"&lt;"&amp;Y22)+COUNTIFS($S$7:S22,1,$I$7:I22,"Да",$Y$7:Y22,Y22),"")</f>
        <v>3</v>
      </c>
      <c r="Y22" s="14">
        <f t="shared" si="2"/>
        <v>46321.541666666664</v>
      </c>
    </row>
    <row r="23" spans="1:25" ht="48" customHeight="1">
      <c r="A23" s="5" t="s">
        <v>256</v>
      </c>
      <c r="B23" s="5" t="s">
        <v>126</v>
      </c>
      <c r="C23" s="5" t="s">
        <v>257</v>
      </c>
      <c r="D23" s="5" t="s">
        <v>212</v>
      </c>
      <c r="E23" s="5" t="s">
        <v>213</v>
      </c>
      <c r="F23" s="7">
        <v>46322.708333333336</v>
      </c>
      <c r="G23" s="5" t="s">
        <v>258</v>
      </c>
      <c r="H23" s="5" t="s">
        <v>215</v>
      </c>
      <c r="I23" s="5" t="s">
        <v>78</v>
      </c>
      <c r="J23" s="5"/>
      <c r="K23" s="5"/>
      <c r="L23" s="6" t="str">
        <f>IF(A23="","",IFERROR(INDEX(Реестр!$D$7:$D$106,MATCH(B23,Реестр!$A$7:$A$106,0)),"Нет связи"))</f>
        <v>Тендерный специалист</v>
      </c>
      <c r="M23" s="6" t="str">
        <f>IF(A23="","",IFERROR(INDEX(Реестр!$E$7:$E$106,MATCH(B23,Реестр!$A$7:$A$106,0)),"Нет связи"))</f>
        <v>Тендеры</v>
      </c>
      <c r="N23" s="6">
        <f>IF(AND(A23&lt;&gt;"",H23&lt;&gt;"Закрыто",L23&lt;&gt;"Нет связи"),IF(INDEX(Реестр!$V$7:$V$106,MATCH(B23,Реестр!$A$7:$A$106,0))="Закрыто",0,1),0)</f>
        <v>1</v>
      </c>
      <c r="O23" s="12">
        <f>IF(N23=0,0,IF(F23="","Нет срока",MAX(0,(Продажи!$D$4-F23)*24)))</f>
        <v>0</v>
      </c>
      <c r="P23" s="6">
        <f>IF(AND(N23=1,ISNUMBER(F23),F23&lt;=Продажи!$D$4+2,OR(G23="Подача",G23="Дозапрос",G23="Обеспечение",G23="Обязательство клиенту")),1,0)</f>
        <v>0</v>
      </c>
      <c r="Q23" s="6">
        <f t="shared" si="0"/>
        <v>0</v>
      </c>
      <c r="R23" s="6">
        <f t="shared" si="1"/>
        <v>1</v>
      </c>
      <c r="S23" s="6">
        <f>IF(AND(N23=1,OR(Продажи!$I$4="Все",L23=Продажи!$I$4),OR(Продажи!$O$4="Все",M23=Продажи!$O$4)),1,0)</f>
        <v>1</v>
      </c>
      <c r="T23" s="6">
        <f>IF(S23=0,0,IF(P23=1,1,IF(AND(ISNUMBER(O23),O23&gt;0),2,IF(AND(ISNUMBER(F23),INT(F23)=INT(Продажи!$D$4)),3,IF(OR(I23="Да",F23=""),4,0)))))</f>
        <v>0</v>
      </c>
      <c r="U23" s="6" t="str">
        <f>IF(T23=0,"",COUNTIFS($T$7:$T$106,"&gt;0",$T$7:$T$106,"&lt;"&amp;T23)+COUNTIFS($T$7:$T$106,T23,$Y$7:$Y$106,"&lt;"&amp;Y23)+COUNTIFS($T$7:T23,T23,$Y$7:Y23,Y23))</f>
        <v/>
      </c>
      <c r="V23" s="6" t="str">
        <f>IF(A23="","",IFERROR(INDEX(Реестр!$W$7:$W$106,MATCH(B23,Реестр!$A$7:$A$106,0)),"Нет связи"))</f>
        <v>Подтверждение приёмки; Оплата клиента</v>
      </c>
      <c r="W23" s="6" t="str">
        <f>IF(A23="","",IFERROR(INDEX(Реестр!$C$7:$C$106,MATCH(B23,Реестр!$A$7:$A$106,0)),"Нет связи"))</f>
        <v>Компания П / покрытие</v>
      </c>
      <c r="X23" s="14" t="str">
        <f>IF(AND(S23=1,I23="Да"),COUNTIFS($S$7:$S$106,1,$I$7:$I$106,"Да",$Y$7:$Y$106,"&lt;"&amp;Y23)+COUNTIFS($S$7:S23,1,$I$7:I23,"Да",$Y$7:Y23,Y23),"")</f>
        <v/>
      </c>
      <c r="Y23" s="14">
        <f t="shared" si="2"/>
        <v>46322.708333333336</v>
      </c>
    </row>
    <row r="24" spans="1:25" ht="48" customHeight="1">
      <c r="A24" s="5" t="s">
        <v>259</v>
      </c>
      <c r="B24" s="5" t="s">
        <v>126</v>
      </c>
      <c r="C24" s="5" t="s">
        <v>260</v>
      </c>
      <c r="D24" s="5" t="s">
        <v>5</v>
      </c>
      <c r="E24" s="5" t="s">
        <v>95</v>
      </c>
      <c r="F24" s="7">
        <v>46320.583333333336</v>
      </c>
      <c r="G24" s="5" t="s">
        <v>261</v>
      </c>
      <c r="H24" s="5" t="s">
        <v>204</v>
      </c>
      <c r="I24" s="5" t="s">
        <v>78</v>
      </c>
      <c r="J24" s="5"/>
      <c r="K24" s="5"/>
      <c r="L24" s="6" t="str">
        <f>IF(A24="","",IFERROR(INDEX(Реестр!$D$7:$D$106,MATCH(B24,Реестр!$A$7:$A$106,0)),"Нет связи"))</f>
        <v>Тендерный специалист</v>
      </c>
      <c r="M24" s="6" t="str">
        <f>IF(A24="","",IFERROR(INDEX(Реестр!$E$7:$E$106,MATCH(B24,Реестр!$A$7:$A$106,0)),"Нет связи"))</f>
        <v>Тендеры</v>
      </c>
      <c r="N24" s="6">
        <f>IF(AND(A24&lt;&gt;"",H24&lt;&gt;"Закрыто",L24&lt;&gt;"Нет связи"),IF(INDEX(Реестр!$V$7:$V$106,MATCH(B24,Реестр!$A$7:$A$106,0))="Закрыто",0,1),0)</f>
        <v>1</v>
      </c>
      <c r="O24" s="12">
        <f>IF(N24=0,0,IF(F24="","Нет срока",MAX(0,(Продажи!$D$4-F24)*24)))</f>
        <v>18.999999999941792</v>
      </c>
      <c r="P24" s="6">
        <f>IF(AND(N24=1,ISNUMBER(F24),F24&lt;=Продажи!$D$4+2,OR(G24="Подача",G24="Дозапрос",G24="Обеспечение",G24="Обязательство клиенту")),1,0)</f>
        <v>0</v>
      </c>
      <c r="Q24" s="6">
        <f t="shared" si="0"/>
        <v>1</v>
      </c>
      <c r="R24" s="6">
        <f t="shared" si="1"/>
        <v>0</v>
      </c>
      <c r="S24" s="6">
        <f>IF(AND(N24=1,OR(Продажи!$I$4="Все",L24=Продажи!$I$4),OR(Продажи!$O$4="Все",M24=Продажи!$O$4)),1,0)</f>
        <v>1</v>
      </c>
      <c r="T24" s="6">
        <f>IF(S24=0,0,IF(P24=1,1,IF(AND(ISNUMBER(O24),O24&gt;0),2,IF(AND(ISNUMBER(F24),INT(F24)=INT(Продажи!$D$4)),3,IF(OR(I24="Да",F24=""),4,0)))))</f>
        <v>2</v>
      </c>
      <c r="U24" s="6">
        <f>IF(T24=0,"",COUNTIFS($T$7:$T$106,"&gt;0",$T$7:$T$106,"&lt;"&amp;T24)+COUNTIFS($T$7:$T$106,T24,$Y$7:$Y$106,"&lt;"&amp;Y24)+COUNTIFS($T$7:T24,T24,$Y$7:Y24,Y24))</f>
        <v>6</v>
      </c>
      <c r="V24" s="6" t="str">
        <f>IF(A24="","",IFERROR(INDEX(Реестр!$W$7:$W$106,MATCH(B24,Реестр!$A$7:$A$106,0)),"Нет связи"))</f>
        <v>Подтверждение приёмки; Оплата клиента</v>
      </c>
      <c r="W24" s="6" t="str">
        <f>IF(A24="","",IFERROR(INDEX(Реестр!$C$7:$C$106,MATCH(B24,Реестр!$A$7:$A$106,0)),"Нет связи"))</f>
        <v>Компания П / покрытие</v>
      </c>
      <c r="X24" s="14" t="str">
        <f>IF(AND(S24=1,I24="Да"),COUNTIFS($S$7:$S$106,1,$I$7:$I$106,"Да",$Y$7:$Y$106,"&lt;"&amp;Y24)+COUNTIFS($S$7:S24,1,$I$7:I24,"Да",$Y$7:Y24,Y24),"")</f>
        <v/>
      </c>
      <c r="Y24" s="14">
        <f t="shared" si="2"/>
        <v>46320.583333333336</v>
      </c>
    </row>
    <row r="25" spans="1:25" ht="25" customHeight="1">
      <c r="A25" s="5"/>
      <c r="B25" s="5"/>
      <c r="C25" s="5"/>
      <c r="D25" s="5"/>
      <c r="E25" s="5"/>
      <c r="F25" s="7"/>
      <c r="G25" s="5"/>
      <c r="H25" s="5"/>
      <c r="I25" s="5"/>
      <c r="J25" s="5"/>
      <c r="K25" s="5"/>
      <c r="L25" s="6" t="str">
        <f>IF(A25="","",IFERROR(INDEX(Реестр!$D$7:$D$106,MATCH(B25,Реестр!$A$7:$A$106,0)),"Нет связи"))</f>
        <v/>
      </c>
      <c r="M25" s="6" t="str">
        <f>IF(A25="","",IFERROR(INDEX(Реестр!$E$7:$E$106,MATCH(B25,Реестр!$A$7:$A$106,0)),"Нет связи"))</f>
        <v/>
      </c>
      <c r="N25" s="6">
        <f>IF(AND(A25&lt;&gt;"",H25&lt;&gt;"Закрыто",L25&lt;&gt;"Нет связи"),IF(INDEX(Реестр!$V$7:$V$106,MATCH(B25,Реестр!$A$7:$A$106,0))="Закрыто",0,1),0)</f>
        <v>0</v>
      </c>
      <c r="O25" s="12">
        <f>IF(N25=0,0,IF(F25="","Нет срока",MAX(0,(Продажи!$D$4-F25)*24)))</f>
        <v>0</v>
      </c>
      <c r="P25" s="6">
        <f>IF(AND(N25=1,ISNUMBER(F25),F25&lt;=Продажи!$D$4+2,OR(G25="Подача",G25="Дозапрос",G25="Обеспечение",G25="Обязательство клиенту")),1,0)</f>
        <v>0</v>
      </c>
      <c r="Q25" s="6">
        <f t="shared" si="0"/>
        <v>0</v>
      </c>
      <c r="R25" s="6">
        <f t="shared" si="1"/>
        <v>0</v>
      </c>
      <c r="S25" s="6">
        <f>IF(AND(N25=1,OR(Продажи!$I$4="Все",L25=Продажи!$I$4),OR(Продажи!$O$4="Все",M25=Продажи!$O$4)),1,0)</f>
        <v>0</v>
      </c>
      <c r="T25" s="6">
        <f>IF(S25=0,0,IF(P25=1,1,IF(AND(ISNUMBER(O25),O25&gt;0),2,IF(AND(ISNUMBER(F25),INT(F25)=INT(Продажи!$D$4)),3,IF(OR(I25="Да",F25=""),4,0)))))</f>
        <v>0</v>
      </c>
      <c r="U25" s="6" t="str">
        <f>IF(T25=0,"",COUNTIFS($T$7:$T$106,"&gt;0",$T$7:$T$106,"&lt;"&amp;T25)+COUNTIFS($T$7:$T$106,T25,$Y$7:$Y$106,"&lt;"&amp;Y25)+COUNTIFS($T$7:T25,T25,$Y$7:Y25,Y25))</f>
        <v/>
      </c>
      <c r="V25" s="6" t="str">
        <f>IF(A25="","",IFERROR(INDEX(Реестр!$W$7:$W$106,MATCH(B25,Реестр!$A$7:$A$106,0)),"Нет связи"))</f>
        <v/>
      </c>
      <c r="W25" s="6" t="str">
        <f>IF(A25="","",IFERROR(INDEX(Реестр!$C$7:$C$106,MATCH(B25,Реестр!$A$7:$A$106,0)),"Нет связи"))</f>
        <v/>
      </c>
      <c r="X25" s="14" t="str">
        <f>IF(AND(S25=1,I25="Да"),COUNTIFS($S$7:$S$106,1,$I$7:$I$106,"Да",$Y$7:$Y$106,"&lt;"&amp;Y25)+COUNTIFS($S$7:S25,1,$I$7:I25,"Да",$Y$7:Y25,Y25),"")</f>
        <v/>
      </c>
      <c r="Y25" s="14" t="str">
        <f t="shared" si="2"/>
        <v/>
      </c>
    </row>
    <row r="26" spans="1:25" ht="25" customHeight="1">
      <c r="A26" s="5"/>
      <c r="B26" s="5"/>
      <c r="C26" s="5"/>
      <c r="D26" s="5"/>
      <c r="E26" s="5"/>
      <c r="F26" s="7"/>
      <c r="G26" s="5"/>
      <c r="H26" s="5"/>
      <c r="I26" s="5"/>
      <c r="J26" s="5"/>
      <c r="K26" s="5"/>
      <c r="L26" s="6" t="str">
        <f>IF(A26="","",IFERROR(INDEX(Реестр!$D$7:$D$106,MATCH(B26,Реестр!$A$7:$A$106,0)),"Нет связи"))</f>
        <v/>
      </c>
      <c r="M26" s="6" t="str">
        <f>IF(A26="","",IFERROR(INDEX(Реестр!$E$7:$E$106,MATCH(B26,Реестр!$A$7:$A$106,0)),"Нет связи"))</f>
        <v/>
      </c>
      <c r="N26" s="6">
        <f>IF(AND(A26&lt;&gt;"",H26&lt;&gt;"Закрыто",L26&lt;&gt;"Нет связи"),IF(INDEX(Реестр!$V$7:$V$106,MATCH(B26,Реестр!$A$7:$A$106,0))="Закрыто",0,1),0)</f>
        <v>0</v>
      </c>
      <c r="O26" s="12">
        <f>IF(N26=0,0,IF(F26="","Нет срока",MAX(0,(Продажи!$D$4-F26)*24)))</f>
        <v>0</v>
      </c>
      <c r="P26" s="6">
        <f>IF(AND(N26=1,ISNUMBER(F26),F26&lt;=Продажи!$D$4+2,OR(G26="Подача",G26="Дозапрос",G26="Обеспечение",G26="Обязательство клиенту")),1,0)</f>
        <v>0</v>
      </c>
      <c r="Q26" s="6">
        <f t="shared" si="0"/>
        <v>0</v>
      </c>
      <c r="R26" s="6">
        <f t="shared" si="1"/>
        <v>0</v>
      </c>
      <c r="S26" s="6">
        <f>IF(AND(N26=1,OR(Продажи!$I$4="Все",L26=Продажи!$I$4),OR(Продажи!$O$4="Все",M26=Продажи!$O$4)),1,0)</f>
        <v>0</v>
      </c>
      <c r="T26" s="6">
        <f>IF(S26=0,0,IF(P26=1,1,IF(AND(ISNUMBER(O26),O26&gt;0),2,IF(AND(ISNUMBER(F26),INT(F26)=INT(Продажи!$D$4)),3,IF(OR(I26="Да",F26=""),4,0)))))</f>
        <v>0</v>
      </c>
      <c r="U26" s="6" t="str">
        <f>IF(T26=0,"",COUNTIFS($T$7:$T$106,"&gt;0",$T$7:$T$106,"&lt;"&amp;T26)+COUNTIFS($T$7:$T$106,T26,$Y$7:$Y$106,"&lt;"&amp;Y26)+COUNTIFS($T$7:T26,T26,$Y$7:Y26,Y26))</f>
        <v/>
      </c>
      <c r="V26" s="6" t="str">
        <f>IF(A26="","",IFERROR(INDEX(Реестр!$W$7:$W$106,MATCH(B26,Реестр!$A$7:$A$106,0)),"Нет связи"))</f>
        <v/>
      </c>
      <c r="W26" s="6" t="str">
        <f>IF(A26="","",IFERROR(INDEX(Реестр!$C$7:$C$106,MATCH(B26,Реестр!$A$7:$A$106,0)),"Нет связи"))</f>
        <v/>
      </c>
      <c r="X26" s="14" t="str">
        <f>IF(AND(S26=1,I26="Да"),COUNTIFS($S$7:$S$106,1,$I$7:$I$106,"Да",$Y$7:$Y$106,"&lt;"&amp;Y26)+COUNTIFS($S$7:S26,1,$I$7:I26,"Да",$Y$7:Y26,Y26),"")</f>
        <v/>
      </c>
      <c r="Y26" s="14" t="str">
        <f t="shared" si="2"/>
        <v/>
      </c>
    </row>
    <row r="27" spans="1:25" ht="25" customHeight="1">
      <c r="A27" s="5"/>
      <c r="B27" s="5"/>
      <c r="C27" s="5"/>
      <c r="D27" s="5"/>
      <c r="E27" s="5"/>
      <c r="F27" s="7"/>
      <c r="G27" s="5"/>
      <c r="H27" s="5"/>
      <c r="I27" s="5"/>
      <c r="J27" s="5"/>
      <c r="K27" s="5"/>
      <c r="L27" s="6" t="str">
        <f>IF(A27="","",IFERROR(INDEX(Реестр!$D$7:$D$106,MATCH(B27,Реестр!$A$7:$A$106,0)),"Нет связи"))</f>
        <v/>
      </c>
      <c r="M27" s="6" t="str">
        <f>IF(A27="","",IFERROR(INDEX(Реестр!$E$7:$E$106,MATCH(B27,Реестр!$A$7:$A$106,0)),"Нет связи"))</f>
        <v/>
      </c>
      <c r="N27" s="6">
        <f>IF(AND(A27&lt;&gt;"",H27&lt;&gt;"Закрыто",L27&lt;&gt;"Нет связи"),IF(INDEX(Реестр!$V$7:$V$106,MATCH(B27,Реестр!$A$7:$A$106,0))="Закрыто",0,1),0)</f>
        <v>0</v>
      </c>
      <c r="O27" s="12">
        <f>IF(N27=0,0,IF(F27="","Нет срока",MAX(0,(Продажи!$D$4-F27)*24)))</f>
        <v>0</v>
      </c>
      <c r="P27" s="6">
        <f>IF(AND(N27=1,ISNUMBER(F27),F27&lt;=Продажи!$D$4+2,OR(G27="Подача",G27="Дозапрос",G27="Обеспечение",G27="Обязательство клиенту")),1,0)</f>
        <v>0</v>
      </c>
      <c r="Q27" s="6">
        <f t="shared" si="0"/>
        <v>0</v>
      </c>
      <c r="R27" s="6">
        <f t="shared" si="1"/>
        <v>0</v>
      </c>
      <c r="S27" s="6">
        <f>IF(AND(N27=1,OR(Продажи!$I$4="Все",L27=Продажи!$I$4),OR(Продажи!$O$4="Все",M27=Продажи!$O$4)),1,0)</f>
        <v>0</v>
      </c>
      <c r="T27" s="6">
        <f>IF(S27=0,0,IF(P27=1,1,IF(AND(ISNUMBER(O27),O27&gt;0),2,IF(AND(ISNUMBER(F27),INT(F27)=INT(Продажи!$D$4)),3,IF(OR(I27="Да",F27=""),4,0)))))</f>
        <v>0</v>
      </c>
      <c r="U27" s="6" t="str">
        <f>IF(T27=0,"",COUNTIFS($T$7:$T$106,"&gt;0",$T$7:$T$106,"&lt;"&amp;T27)+COUNTIFS($T$7:$T$106,T27,$Y$7:$Y$106,"&lt;"&amp;Y27)+COUNTIFS($T$7:T27,T27,$Y$7:Y27,Y27))</f>
        <v/>
      </c>
      <c r="V27" s="6" t="str">
        <f>IF(A27="","",IFERROR(INDEX(Реестр!$W$7:$W$106,MATCH(B27,Реестр!$A$7:$A$106,0)),"Нет связи"))</f>
        <v/>
      </c>
      <c r="W27" s="6" t="str">
        <f>IF(A27="","",IFERROR(INDEX(Реестр!$C$7:$C$106,MATCH(B27,Реестр!$A$7:$A$106,0)),"Нет связи"))</f>
        <v/>
      </c>
      <c r="X27" s="14" t="str">
        <f>IF(AND(S27=1,I27="Да"),COUNTIFS($S$7:$S$106,1,$I$7:$I$106,"Да",$Y$7:$Y$106,"&lt;"&amp;Y27)+COUNTIFS($S$7:S27,1,$I$7:I27,"Да",$Y$7:Y27,Y27),"")</f>
        <v/>
      </c>
      <c r="Y27" s="14" t="str">
        <f t="shared" si="2"/>
        <v/>
      </c>
    </row>
    <row r="28" spans="1:25" ht="25" customHeight="1">
      <c r="A28" s="5"/>
      <c r="B28" s="5"/>
      <c r="C28" s="5"/>
      <c r="D28" s="5"/>
      <c r="E28" s="5"/>
      <c r="F28" s="7"/>
      <c r="G28" s="5"/>
      <c r="H28" s="5"/>
      <c r="I28" s="5"/>
      <c r="J28" s="5"/>
      <c r="K28" s="5"/>
      <c r="L28" s="6" t="str">
        <f>IF(A28="","",IFERROR(INDEX(Реестр!$D$7:$D$106,MATCH(B28,Реестр!$A$7:$A$106,0)),"Нет связи"))</f>
        <v/>
      </c>
      <c r="M28" s="6" t="str">
        <f>IF(A28="","",IFERROR(INDEX(Реестр!$E$7:$E$106,MATCH(B28,Реестр!$A$7:$A$106,0)),"Нет связи"))</f>
        <v/>
      </c>
      <c r="N28" s="6">
        <f>IF(AND(A28&lt;&gt;"",H28&lt;&gt;"Закрыто",L28&lt;&gt;"Нет связи"),IF(INDEX(Реестр!$V$7:$V$106,MATCH(B28,Реестр!$A$7:$A$106,0))="Закрыто",0,1),0)</f>
        <v>0</v>
      </c>
      <c r="O28" s="12">
        <f>IF(N28=0,0,IF(F28="","Нет срока",MAX(0,(Продажи!$D$4-F28)*24)))</f>
        <v>0</v>
      </c>
      <c r="P28" s="6">
        <f>IF(AND(N28=1,ISNUMBER(F28),F28&lt;=Продажи!$D$4+2,OR(G28="Подача",G28="Дозапрос",G28="Обеспечение",G28="Обязательство клиенту")),1,0)</f>
        <v>0</v>
      </c>
      <c r="Q28" s="6">
        <f t="shared" si="0"/>
        <v>0</v>
      </c>
      <c r="R28" s="6">
        <f t="shared" si="1"/>
        <v>0</v>
      </c>
      <c r="S28" s="6">
        <f>IF(AND(N28=1,OR(Продажи!$I$4="Все",L28=Продажи!$I$4),OR(Продажи!$O$4="Все",M28=Продажи!$O$4)),1,0)</f>
        <v>0</v>
      </c>
      <c r="T28" s="6">
        <f>IF(S28=0,0,IF(P28=1,1,IF(AND(ISNUMBER(O28),O28&gt;0),2,IF(AND(ISNUMBER(F28),INT(F28)=INT(Продажи!$D$4)),3,IF(OR(I28="Да",F28=""),4,0)))))</f>
        <v>0</v>
      </c>
      <c r="U28" s="6" t="str">
        <f>IF(T28=0,"",COUNTIFS($T$7:$T$106,"&gt;0",$T$7:$T$106,"&lt;"&amp;T28)+COUNTIFS($T$7:$T$106,T28,$Y$7:$Y$106,"&lt;"&amp;Y28)+COUNTIFS($T$7:T28,T28,$Y$7:Y28,Y28))</f>
        <v/>
      </c>
      <c r="V28" s="6" t="str">
        <f>IF(A28="","",IFERROR(INDEX(Реестр!$W$7:$W$106,MATCH(B28,Реестр!$A$7:$A$106,0)),"Нет связи"))</f>
        <v/>
      </c>
      <c r="W28" s="6" t="str">
        <f>IF(A28="","",IFERROR(INDEX(Реестр!$C$7:$C$106,MATCH(B28,Реестр!$A$7:$A$106,0)),"Нет связи"))</f>
        <v/>
      </c>
      <c r="X28" s="14" t="str">
        <f>IF(AND(S28=1,I28="Да"),COUNTIFS($S$7:$S$106,1,$I$7:$I$106,"Да",$Y$7:$Y$106,"&lt;"&amp;Y28)+COUNTIFS($S$7:S28,1,$I$7:I28,"Да",$Y$7:Y28,Y28),"")</f>
        <v/>
      </c>
      <c r="Y28" s="14" t="str">
        <f t="shared" si="2"/>
        <v/>
      </c>
    </row>
    <row r="29" spans="1:25" ht="25" customHeight="1">
      <c r="A29" s="5"/>
      <c r="B29" s="5"/>
      <c r="C29" s="5"/>
      <c r="D29" s="5"/>
      <c r="E29" s="5"/>
      <c r="F29" s="7"/>
      <c r="G29" s="5"/>
      <c r="H29" s="5"/>
      <c r="I29" s="5"/>
      <c r="J29" s="5"/>
      <c r="K29" s="5"/>
      <c r="L29" s="6" t="str">
        <f>IF(A29="","",IFERROR(INDEX(Реестр!$D$7:$D$106,MATCH(B29,Реестр!$A$7:$A$106,0)),"Нет связи"))</f>
        <v/>
      </c>
      <c r="M29" s="6" t="str">
        <f>IF(A29="","",IFERROR(INDEX(Реестр!$E$7:$E$106,MATCH(B29,Реестр!$A$7:$A$106,0)),"Нет связи"))</f>
        <v/>
      </c>
      <c r="N29" s="6">
        <f>IF(AND(A29&lt;&gt;"",H29&lt;&gt;"Закрыто",L29&lt;&gt;"Нет связи"),IF(INDEX(Реестр!$V$7:$V$106,MATCH(B29,Реестр!$A$7:$A$106,0))="Закрыто",0,1),0)</f>
        <v>0</v>
      </c>
      <c r="O29" s="12">
        <f>IF(N29=0,0,IF(F29="","Нет срока",MAX(0,(Продажи!$D$4-F29)*24)))</f>
        <v>0</v>
      </c>
      <c r="P29" s="6">
        <f>IF(AND(N29=1,ISNUMBER(F29),F29&lt;=Продажи!$D$4+2,OR(G29="Подача",G29="Дозапрос",G29="Обеспечение",G29="Обязательство клиенту")),1,0)</f>
        <v>0</v>
      </c>
      <c r="Q29" s="6">
        <f t="shared" si="0"/>
        <v>0</v>
      </c>
      <c r="R29" s="6">
        <f t="shared" si="1"/>
        <v>0</v>
      </c>
      <c r="S29" s="6">
        <f>IF(AND(N29=1,OR(Продажи!$I$4="Все",L29=Продажи!$I$4),OR(Продажи!$O$4="Все",M29=Продажи!$O$4)),1,0)</f>
        <v>0</v>
      </c>
      <c r="T29" s="6">
        <f>IF(S29=0,0,IF(P29=1,1,IF(AND(ISNUMBER(O29),O29&gt;0),2,IF(AND(ISNUMBER(F29),INT(F29)=INT(Продажи!$D$4)),3,IF(OR(I29="Да",F29=""),4,0)))))</f>
        <v>0</v>
      </c>
      <c r="U29" s="6" t="str">
        <f>IF(T29=0,"",COUNTIFS($T$7:$T$106,"&gt;0",$T$7:$T$106,"&lt;"&amp;T29)+COUNTIFS($T$7:$T$106,T29,$Y$7:$Y$106,"&lt;"&amp;Y29)+COUNTIFS($T$7:T29,T29,$Y$7:Y29,Y29))</f>
        <v/>
      </c>
      <c r="V29" s="6" t="str">
        <f>IF(A29="","",IFERROR(INDEX(Реестр!$W$7:$W$106,MATCH(B29,Реестр!$A$7:$A$106,0)),"Нет связи"))</f>
        <v/>
      </c>
      <c r="W29" s="6" t="str">
        <f>IF(A29="","",IFERROR(INDEX(Реестр!$C$7:$C$106,MATCH(B29,Реестр!$A$7:$A$106,0)),"Нет связи"))</f>
        <v/>
      </c>
      <c r="X29" s="14" t="str">
        <f>IF(AND(S29=1,I29="Да"),COUNTIFS($S$7:$S$106,1,$I$7:$I$106,"Да",$Y$7:$Y$106,"&lt;"&amp;Y29)+COUNTIFS($S$7:S29,1,$I$7:I29,"Да",$Y$7:Y29,Y29),"")</f>
        <v/>
      </c>
      <c r="Y29" s="14" t="str">
        <f t="shared" si="2"/>
        <v/>
      </c>
    </row>
    <row r="30" spans="1:25" ht="25" customHeight="1">
      <c r="A30" s="5"/>
      <c r="B30" s="5"/>
      <c r="C30" s="5"/>
      <c r="D30" s="5"/>
      <c r="E30" s="5"/>
      <c r="F30" s="7"/>
      <c r="G30" s="5"/>
      <c r="H30" s="5"/>
      <c r="I30" s="5"/>
      <c r="J30" s="5"/>
      <c r="K30" s="5"/>
      <c r="L30" s="6" t="str">
        <f>IF(A30="","",IFERROR(INDEX(Реестр!$D$7:$D$106,MATCH(B30,Реестр!$A$7:$A$106,0)),"Нет связи"))</f>
        <v/>
      </c>
      <c r="M30" s="6" t="str">
        <f>IF(A30="","",IFERROR(INDEX(Реестр!$E$7:$E$106,MATCH(B30,Реестр!$A$7:$A$106,0)),"Нет связи"))</f>
        <v/>
      </c>
      <c r="N30" s="6">
        <f>IF(AND(A30&lt;&gt;"",H30&lt;&gt;"Закрыто",L30&lt;&gt;"Нет связи"),IF(INDEX(Реестр!$V$7:$V$106,MATCH(B30,Реестр!$A$7:$A$106,0))="Закрыто",0,1),0)</f>
        <v>0</v>
      </c>
      <c r="O30" s="12">
        <f>IF(N30=0,0,IF(F30="","Нет срока",MAX(0,(Продажи!$D$4-F30)*24)))</f>
        <v>0</v>
      </c>
      <c r="P30" s="6">
        <f>IF(AND(N30=1,ISNUMBER(F30),F30&lt;=Продажи!$D$4+2,OR(G30="Подача",G30="Дозапрос",G30="Обеспечение",G30="Обязательство клиенту")),1,0)</f>
        <v>0</v>
      </c>
      <c r="Q30" s="6">
        <f t="shared" si="0"/>
        <v>0</v>
      </c>
      <c r="R30" s="6">
        <f t="shared" si="1"/>
        <v>0</v>
      </c>
      <c r="S30" s="6">
        <f>IF(AND(N30=1,OR(Продажи!$I$4="Все",L30=Продажи!$I$4),OR(Продажи!$O$4="Все",M30=Продажи!$O$4)),1,0)</f>
        <v>0</v>
      </c>
      <c r="T30" s="6">
        <f>IF(S30=0,0,IF(P30=1,1,IF(AND(ISNUMBER(O30),O30&gt;0),2,IF(AND(ISNUMBER(F30),INT(F30)=INT(Продажи!$D$4)),3,IF(OR(I30="Да",F30=""),4,0)))))</f>
        <v>0</v>
      </c>
      <c r="U30" s="6" t="str">
        <f>IF(T30=0,"",COUNTIFS($T$7:$T$106,"&gt;0",$T$7:$T$106,"&lt;"&amp;T30)+COUNTIFS($T$7:$T$106,T30,$Y$7:$Y$106,"&lt;"&amp;Y30)+COUNTIFS($T$7:T30,T30,$Y$7:Y30,Y30))</f>
        <v/>
      </c>
      <c r="V30" s="6" t="str">
        <f>IF(A30="","",IFERROR(INDEX(Реестр!$W$7:$W$106,MATCH(B30,Реестр!$A$7:$A$106,0)),"Нет связи"))</f>
        <v/>
      </c>
      <c r="W30" s="6" t="str">
        <f>IF(A30="","",IFERROR(INDEX(Реестр!$C$7:$C$106,MATCH(B30,Реестр!$A$7:$A$106,0)),"Нет связи"))</f>
        <v/>
      </c>
      <c r="X30" s="14" t="str">
        <f>IF(AND(S30=1,I30="Да"),COUNTIFS($S$7:$S$106,1,$I$7:$I$106,"Да",$Y$7:$Y$106,"&lt;"&amp;Y30)+COUNTIFS($S$7:S30,1,$I$7:I30,"Да",$Y$7:Y30,Y30),"")</f>
        <v/>
      </c>
      <c r="Y30" s="14" t="str">
        <f t="shared" si="2"/>
        <v/>
      </c>
    </row>
    <row r="31" spans="1:25" ht="25" customHeight="1">
      <c r="A31" s="5"/>
      <c r="B31" s="5"/>
      <c r="C31" s="5"/>
      <c r="D31" s="5"/>
      <c r="E31" s="5"/>
      <c r="F31" s="7"/>
      <c r="G31" s="5"/>
      <c r="H31" s="5"/>
      <c r="I31" s="5"/>
      <c r="J31" s="5"/>
      <c r="K31" s="5"/>
      <c r="L31" s="6" t="str">
        <f>IF(A31="","",IFERROR(INDEX(Реестр!$D$7:$D$106,MATCH(B31,Реестр!$A$7:$A$106,0)),"Нет связи"))</f>
        <v/>
      </c>
      <c r="M31" s="6" t="str">
        <f>IF(A31="","",IFERROR(INDEX(Реестр!$E$7:$E$106,MATCH(B31,Реестр!$A$7:$A$106,0)),"Нет связи"))</f>
        <v/>
      </c>
      <c r="N31" s="6">
        <f>IF(AND(A31&lt;&gt;"",H31&lt;&gt;"Закрыто",L31&lt;&gt;"Нет связи"),IF(INDEX(Реестр!$V$7:$V$106,MATCH(B31,Реестр!$A$7:$A$106,0))="Закрыто",0,1),0)</f>
        <v>0</v>
      </c>
      <c r="O31" s="12">
        <f>IF(N31=0,0,IF(F31="","Нет срока",MAX(0,(Продажи!$D$4-F31)*24)))</f>
        <v>0</v>
      </c>
      <c r="P31" s="6">
        <f>IF(AND(N31=1,ISNUMBER(F31),F31&lt;=Продажи!$D$4+2,OR(G31="Подача",G31="Дозапрос",G31="Обеспечение",G31="Обязательство клиенту")),1,0)</f>
        <v>0</v>
      </c>
      <c r="Q31" s="6">
        <f t="shared" si="0"/>
        <v>0</v>
      </c>
      <c r="R31" s="6">
        <f t="shared" si="1"/>
        <v>0</v>
      </c>
      <c r="S31" s="6">
        <f>IF(AND(N31=1,OR(Продажи!$I$4="Все",L31=Продажи!$I$4),OR(Продажи!$O$4="Все",M31=Продажи!$O$4)),1,0)</f>
        <v>0</v>
      </c>
      <c r="T31" s="6">
        <f>IF(S31=0,0,IF(P31=1,1,IF(AND(ISNUMBER(O31),O31&gt;0),2,IF(AND(ISNUMBER(F31),INT(F31)=INT(Продажи!$D$4)),3,IF(OR(I31="Да",F31=""),4,0)))))</f>
        <v>0</v>
      </c>
      <c r="U31" s="6" t="str">
        <f>IF(T31=0,"",COUNTIFS($T$7:$T$106,"&gt;0",$T$7:$T$106,"&lt;"&amp;T31)+COUNTIFS($T$7:$T$106,T31,$Y$7:$Y$106,"&lt;"&amp;Y31)+COUNTIFS($T$7:T31,T31,$Y$7:Y31,Y31))</f>
        <v/>
      </c>
      <c r="V31" s="6" t="str">
        <f>IF(A31="","",IFERROR(INDEX(Реестр!$W$7:$W$106,MATCH(B31,Реестр!$A$7:$A$106,0)),"Нет связи"))</f>
        <v/>
      </c>
      <c r="W31" s="6" t="str">
        <f>IF(A31="","",IFERROR(INDEX(Реестр!$C$7:$C$106,MATCH(B31,Реестр!$A$7:$A$106,0)),"Нет связи"))</f>
        <v/>
      </c>
      <c r="X31" s="14" t="str">
        <f>IF(AND(S31=1,I31="Да"),COUNTIFS($S$7:$S$106,1,$I$7:$I$106,"Да",$Y$7:$Y$106,"&lt;"&amp;Y31)+COUNTIFS($S$7:S31,1,$I$7:I31,"Да",$Y$7:Y31,Y31),"")</f>
        <v/>
      </c>
      <c r="Y31" s="14" t="str">
        <f t="shared" si="2"/>
        <v/>
      </c>
    </row>
    <row r="32" spans="1:25" ht="25" customHeight="1">
      <c r="A32" s="5"/>
      <c r="B32" s="5"/>
      <c r="C32" s="5"/>
      <c r="D32" s="5"/>
      <c r="E32" s="5"/>
      <c r="F32" s="7"/>
      <c r="G32" s="5"/>
      <c r="H32" s="5"/>
      <c r="I32" s="5"/>
      <c r="J32" s="5"/>
      <c r="K32" s="5"/>
      <c r="L32" s="6" t="str">
        <f>IF(A32="","",IFERROR(INDEX(Реестр!$D$7:$D$106,MATCH(B32,Реестр!$A$7:$A$106,0)),"Нет связи"))</f>
        <v/>
      </c>
      <c r="M32" s="6" t="str">
        <f>IF(A32="","",IFERROR(INDEX(Реестр!$E$7:$E$106,MATCH(B32,Реестр!$A$7:$A$106,0)),"Нет связи"))</f>
        <v/>
      </c>
      <c r="N32" s="6">
        <f>IF(AND(A32&lt;&gt;"",H32&lt;&gt;"Закрыто",L32&lt;&gt;"Нет связи"),IF(INDEX(Реестр!$V$7:$V$106,MATCH(B32,Реестр!$A$7:$A$106,0))="Закрыто",0,1),0)</f>
        <v>0</v>
      </c>
      <c r="O32" s="12">
        <f>IF(N32=0,0,IF(F32="","Нет срока",MAX(0,(Продажи!$D$4-F32)*24)))</f>
        <v>0</v>
      </c>
      <c r="P32" s="6">
        <f>IF(AND(N32=1,ISNUMBER(F32),F32&lt;=Продажи!$D$4+2,OR(G32="Подача",G32="Дозапрос",G32="Обеспечение",G32="Обязательство клиенту")),1,0)</f>
        <v>0</v>
      </c>
      <c r="Q32" s="6">
        <f t="shared" si="0"/>
        <v>0</v>
      </c>
      <c r="R32" s="6">
        <f t="shared" si="1"/>
        <v>0</v>
      </c>
      <c r="S32" s="6">
        <f>IF(AND(N32=1,OR(Продажи!$I$4="Все",L32=Продажи!$I$4),OR(Продажи!$O$4="Все",M32=Продажи!$O$4)),1,0)</f>
        <v>0</v>
      </c>
      <c r="T32" s="6">
        <f>IF(S32=0,0,IF(P32=1,1,IF(AND(ISNUMBER(O32),O32&gt;0),2,IF(AND(ISNUMBER(F32),INT(F32)=INT(Продажи!$D$4)),3,IF(OR(I32="Да",F32=""),4,0)))))</f>
        <v>0</v>
      </c>
      <c r="U32" s="6" t="str">
        <f>IF(T32=0,"",COUNTIFS($T$7:$T$106,"&gt;0",$T$7:$T$106,"&lt;"&amp;T32)+COUNTIFS($T$7:$T$106,T32,$Y$7:$Y$106,"&lt;"&amp;Y32)+COUNTIFS($T$7:T32,T32,$Y$7:Y32,Y32))</f>
        <v/>
      </c>
      <c r="V32" s="6" t="str">
        <f>IF(A32="","",IFERROR(INDEX(Реестр!$W$7:$W$106,MATCH(B32,Реестр!$A$7:$A$106,0)),"Нет связи"))</f>
        <v/>
      </c>
      <c r="W32" s="6" t="str">
        <f>IF(A32="","",IFERROR(INDEX(Реестр!$C$7:$C$106,MATCH(B32,Реестр!$A$7:$A$106,0)),"Нет связи"))</f>
        <v/>
      </c>
      <c r="X32" s="14" t="str">
        <f>IF(AND(S32=1,I32="Да"),COUNTIFS($S$7:$S$106,1,$I$7:$I$106,"Да",$Y$7:$Y$106,"&lt;"&amp;Y32)+COUNTIFS($S$7:S32,1,$I$7:I32,"Да",$Y$7:Y32,Y32),"")</f>
        <v/>
      </c>
      <c r="Y32" s="14" t="str">
        <f t="shared" si="2"/>
        <v/>
      </c>
    </row>
    <row r="33" spans="1:25" ht="25" customHeight="1">
      <c r="A33" s="5"/>
      <c r="B33" s="5"/>
      <c r="C33" s="5"/>
      <c r="D33" s="5"/>
      <c r="E33" s="5"/>
      <c r="F33" s="7"/>
      <c r="G33" s="5"/>
      <c r="H33" s="5"/>
      <c r="I33" s="5"/>
      <c r="J33" s="5"/>
      <c r="K33" s="5"/>
      <c r="L33" s="6" t="str">
        <f>IF(A33="","",IFERROR(INDEX(Реестр!$D$7:$D$106,MATCH(B33,Реестр!$A$7:$A$106,0)),"Нет связи"))</f>
        <v/>
      </c>
      <c r="M33" s="6" t="str">
        <f>IF(A33="","",IFERROR(INDEX(Реестр!$E$7:$E$106,MATCH(B33,Реестр!$A$7:$A$106,0)),"Нет связи"))</f>
        <v/>
      </c>
      <c r="N33" s="6">
        <f>IF(AND(A33&lt;&gt;"",H33&lt;&gt;"Закрыто",L33&lt;&gt;"Нет связи"),IF(INDEX(Реестр!$V$7:$V$106,MATCH(B33,Реестр!$A$7:$A$106,0))="Закрыто",0,1),0)</f>
        <v>0</v>
      </c>
      <c r="O33" s="12">
        <f>IF(N33=0,0,IF(F33="","Нет срока",MAX(0,(Продажи!$D$4-F33)*24)))</f>
        <v>0</v>
      </c>
      <c r="P33" s="6">
        <f>IF(AND(N33=1,ISNUMBER(F33),F33&lt;=Продажи!$D$4+2,OR(G33="Подача",G33="Дозапрос",G33="Обеспечение",G33="Обязательство клиенту")),1,0)</f>
        <v>0</v>
      </c>
      <c r="Q33" s="6">
        <f t="shared" si="0"/>
        <v>0</v>
      </c>
      <c r="R33" s="6">
        <f t="shared" si="1"/>
        <v>0</v>
      </c>
      <c r="S33" s="6">
        <f>IF(AND(N33=1,OR(Продажи!$I$4="Все",L33=Продажи!$I$4),OR(Продажи!$O$4="Все",M33=Продажи!$O$4)),1,0)</f>
        <v>0</v>
      </c>
      <c r="T33" s="6">
        <f>IF(S33=0,0,IF(P33=1,1,IF(AND(ISNUMBER(O33),O33&gt;0),2,IF(AND(ISNUMBER(F33),INT(F33)=INT(Продажи!$D$4)),3,IF(OR(I33="Да",F33=""),4,0)))))</f>
        <v>0</v>
      </c>
      <c r="U33" s="6" t="str">
        <f>IF(T33=0,"",COUNTIFS($T$7:$T$106,"&gt;0",$T$7:$T$106,"&lt;"&amp;T33)+COUNTIFS($T$7:$T$106,T33,$Y$7:$Y$106,"&lt;"&amp;Y33)+COUNTIFS($T$7:T33,T33,$Y$7:Y33,Y33))</f>
        <v/>
      </c>
      <c r="V33" s="6" t="str">
        <f>IF(A33="","",IFERROR(INDEX(Реестр!$W$7:$W$106,MATCH(B33,Реестр!$A$7:$A$106,0)),"Нет связи"))</f>
        <v/>
      </c>
      <c r="W33" s="6" t="str">
        <f>IF(A33="","",IFERROR(INDEX(Реестр!$C$7:$C$106,MATCH(B33,Реестр!$A$7:$A$106,0)),"Нет связи"))</f>
        <v/>
      </c>
      <c r="X33" s="14" t="str">
        <f>IF(AND(S33=1,I33="Да"),COUNTIFS($S$7:$S$106,1,$I$7:$I$106,"Да",$Y$7:$Y$106,"&lt;"&amp;Y33)+COUNTIFS($S$7:S33,1,$I$7:I33,"Да",$Y$7:Y33,Y33),"")</f>
        <v/>
      </c>
      <c r="Y33" s="14" t="str">
        <f t="shared" si="2"/>
        <v/>
      </c>
    </row>
    <row r="34" spans="1:25" ht="25" customHeight="1">
      <c r="A34" s="5"/>
      <c r="B34" s="5"/>
      <c r="C34" s="5"/>
      <c r="D34" s="5"/>
      <c r="E34" s="5"/>
      <c r="F34" s="7"/>
      <c r="G34" s="5"/>
      <c r="H34" s="5"/>
      <c r="I34" s="5"/>
      <c r="J34" s="5"/>
      <c r="K34" s="5"/>
      <c r="L34" s="6" t="str">
        <f>IF(A34="","",IFERROR(INDEX(Реестр!$D$7:$D$106,MATCH(B34,Реестр!$A$7:$A$106,0)),"Нет связи"))</f>
        <v/>
      </c>
      <c r="M34" s="6" t="str">
        <f>IF(A34="","",IFERROR(INDEX(Реестр!$E$7:$E$106,MATCH(B34,Реестр!$A$7:$A$106,0)),"Нет связи"))</f>
        <v/>
      </c>
      <c r="N34" s="6">
        <f>IF(AND(A34&lt;&gt;"",H34&lt;&gt;"Закрыто",L34&lt;&gt;"Нет связи"),IF(INDEX(Реестр!$V$7:$V$106,MATCH(B34,Реестр!$A$7:$A$106,0))="Закрыто",0,1),0)</f>
        <v>0</v>
      </c>
      <c r="O34" s="12">
        <f>IF(N34=0,0,IF(F34="","Нет срока",MAX(0,(Продажи!$D$4-F34)*24)))</f>
        <v>0</v>
      </c>
      <c r="P34" s="6">
        <f>IF(AND(N34=1,ISNUMBER(F34),F34&lt;=Продажи!$D$4+2,OR(G34="Подача",G34="Дозапрос",G34="Обеспечение",G34="Обязательство клиенту")),1,0)</f>
        <v>0</v>
      </c>
      <c r="Q34" s="6">
        <f t="shared" si="0"/>
        <v>0</v>
      </c>
      <c r="R34" s="6">
        <f t="shared" si="1"/>
        <v>0</v>
      </c>
      <c r="S34" s="6">
        <f>IF(AND(N34=1,OR(Продажи!$I$4="Все",L34=Продажи!$I$4),OR(Продажи!$O$4="Все",M34=Продажи!$O$4)),1,0)</f>
        <v>0</v>
      </c>
      <c r="T34" s="6">
        <f>IF(S34=0,0,IF(P34=1,1,IF(AND(ISNUMBER(O34),O34&gt;0),2,IF(AND(ISNUMBER(F34),INT(F34)=INT(Продажи!$D$4)),3,IF(OR(I34="Да",F34=""),4,0)))))</f>
        <v>0</v>
      </c>
      <c r="U34" s="6" t="str">
        <f>IF(T34=0,"",COUNTIFS($T$7:$T$106,"&gt;0",$T$7:$T$106,"&lt;"&amp;T34)+COUNTIFS($T$7:$T$106,T34,$Y$7:$Y$106,"&lt;"&amp;Y34)+COUNTIFS($T$7:T34,T34,$Y$7:Y34,Y34))</f>
        <v/>
      </c>
      <c r="V34" s="6" t="str">
        <f>IF(A34="","",IFERROR(INDEX(Реестр!$W$7:$W$106,MATCH(B34,Реестр!$A$7:$A$106,0)),"Нет связи"))</f>
        <v/>
      </c>
      <c r="W34" s="6" t="str">
        <f>IF(A34="","",IFERROR(INDEX(Реестр!$C$7:$C$106,MATCH(B34,Реестр!$A$7:$A$106,0)),"Нет связи"))</f>
        <v/>
      </c>
      <c r="X34" s="14" t="str">
        <f>IF(AND(S34=1,I34="Да"),COUNTIFS($S$7:$S$106,1,$I$7:$I$106,"Да",$Y$7:$Y$106,"&lt;"&amp;Y34)+COUNTIFS($S$7:S34,1,$I$7:I34,"Да",$Y$7:Y34,Y34),"")</f>
        <v/>
      </c>
      <c r="Y34" s="14" t="str">
        <f t="shared" si="2"/>
        <v/>
      </c>
    </row>
    <row r="35" spans="1:25" ht="25" customHeight="1">
      <c r="A35" s="5"/>
      <c r="B35" s="5"/>
      <c r="C35" s="5"/>
      <c r="D35" s="5"/>
      <c r="E35" s="5"/>
      <c r="F35" s="7"/>
      <c r="G35" s="5"/>
      <c r="H35" s="5"/>
      <c r="I35" s="5"/>
      <c r="J35" s="5"/>
      <c r="K35" s="5"/>
      <c r="L35" s="6" t="str">
        <f>IF(A35="","",IFERROR(INDEX(Реестр!$D$7:$D$106,MATCH(B35,Реестр!$A$7:$A$106,0)),"Нет связи"))</f>
        <v/>
      </c>
      <c r="M35" s="6" t="str">
        <f>IF(A35="","",IFERROR(INDEX(Реестр!$E$7:$E$106,MATCH(B35,Реестр!$A$7:$A$106,0)),"Нет связи"))</f>
        <v/>
      </c>
      <c r="N35" s="6">
        <f>IF(AND(A35&lt;&gt;"",H35&lt;&gt;"Закрыто",L35&lt;&gt;"Нет связи"),IF(INDEX(Реестр!$V$7:$V$106,MATCH(B35,Реестр!$A$7:$A$106,0))="Закрыто",0,1),0)</f>
        <v>0</v>
      </c>
      <c r="O35" s="12">
        <f>IF(N35=0,0,IF(F35="","Нет срока",MAX(0,(Продажи!$D$4-F35)*24)))</f>
        <v>0</v>
      </c>
      <c r="P35" s="6">
        <f>IF(AND(N35=1,ISNUMBER(F35),F35&lt;=Продажи!$D$4+2,OR(G35="Подача",G35="Дозапрос",G35="Обеспечение",G35="Обязательство клиенту")),1,0)</f>
        <v>0</v>
      </c>
      <c r="Q35" s="6">
        <f t="shared" si="0"/>
        <v>0</v>
      </c>
      <c r="R35" s="6">
        <f t="shared" si="1"/>
        <v>0</v>
      </c>
      <c r="S35" s="6">
        <f>IF(AND(N35=1,OR(Продажи!$I$4="Все",L35=Продажи!$I$4),OR(Продажи!$O$4="Все",M35=Продажи!$O$4)),1,0)</f>
        <v>0</v>
      </c>
      <c r="T35" s="6">
        <f>IF(S35=0,0,IF(P35=1,1,IF(AND(ISNUMBER(O35),O35&gt;0),2,IF(AND(ISNUMBER(F35),INT(F35)=INT(Продажи!$D$4)),3,IF(OR(I35="Да",F35=""),4,0)))))</f>
        <v>0</v>
      </c>
      <c r="U35" s="6" t="str">
        <f>IF(T35=0,"",COUNTIFS($T$7:$T$106,"&gt;0",$T$7:$T$106,"&lt;"&amp;T35)+COUNTIFS($T$7:$T$106,T35,$Y$7:$Y$106,"&lt;"&amp;Y35)+COUNTIFS($T$7:T35,T35,$Y$7:Y35,Y35))</f>
        <v/>
      </c>
      <c r="V35" s="6" t="str">
        <f>IF(A35="","",IFERROR(INDEX(Реестр!$W$7:$W$106,MATCH(B35,Реестр!$A$7:$A$106,0)),"Нет связи"))</f>
        <v/>
      </c>
      <c r="W35" s="6" t="str">
        <f>IF(A35="","",IFERROR(INDEX(Реестр!$C$7:$C$106,MATCH(B35,Реестр!$A$7:$A$106,0)),"Нет связи"))</f>
        <v/>
      </c>
      <c r="X35" s="14" t="str">
        <f>IF(AND(S35=1,I35="Да"),COUNTIFS($S$7:$S$106,1,$I$7:$I$106,"Да",$Y$7:$Y$106,"&lt;"&amp;Y35)+COUNTIFS($S$7:S35,1,$I$7:I35,"Да",$Y$7:Y35,Y35),"")</f>
        <v/>
      </c>
      <c r="Y35" s="14" t="str">
        <f t="shared" si="2"/>
        <v/>
      </c>
    </row>
    <row r="36" spans="1:25" ht="25" customHeight="1">
      <c r="A36" s="5"/>
      <c r="B36" s="5"/>
      <c r="C36" s="5"/>
      <c r="D36" s="5"/>
      <c r="E36" s="5"/>
      <c r="F36" s="7"/>
      <c r="G36" s="5"/>
      <c r="H36" s="5"/>
      <c r="I36" s="5"/>
      <c r="J36" s="5"/>
      <c r="K36" s="5"/>
      <c r="L36" s="6" t="str">
        <f>IF(A36="","",IFERROR(INDEX(Реестр!$D$7:$D$106,MATCH(B36,Реестр!$A$7:$A$106,0)),"Нет связи"))</f>
        <v/>
      </c>
      <c r="M36" s="6" t="str">
        <f>IF(A36="","",IFERROR(INDEX(Реестр!$E$7:$E$106,MATCH(B36,Реестр!$A$7:$A$106,0)),"Нет связи"))</f>
        <v/>
      </c>
      <c r="N36" s="6">
        <f>IF(AND(A36&lt;&gt;"",H36&lt;&gt;"Закрыто",L36&lt;&gt;"Нет связи"),IF(INDEX(Реестр!$V$7:$V$106,MATCH(B36,Реестр!$A$7:$A$106,0))="Закрыто",0,1),0)</f>
        <v>0</v>
      </c>
      <c r="O36" s="12">
        <f>IF(N36=0,0,IF(F36="","Нет срока",MAX(0,(Продажи!$D$4-F36)*24)))</f>
        <v>0</v>
      </c>
      <c r="P36" s="6">
        <f>IF(AND(N36=1,ISNUMBER(F36),F36&lt;=Продажи!$D$4+2,OR(G36="Подача",G36="Дозапрос",G36="Обеспечение",G36="Обязательство клиенту")),1,0)</f>
        <v>0</v>
      </c>
      <c r="Q36" s="6">
        <f t="shared" si="0"/>
        <v>0</v>
      </c>
      <c r="R36" s="6">
        <f t="shared" si="1"/>
        <v>0</v>
      </c>
      <c r="S36" s="6">
        <f>IF(AND(N36=1,OR(Продажи!$I$4="Все",L36=Продажи!$I$4),OR(Продажи!$O$4="Все",M36=Продажи!$O$4)),1,0)</f>
        <v>0</v>
      </c>
      <c r="T36" s="6">
        <f>IF(S36=0,0,IF(P36=1,1,IF(AND(ISNUMBER(O36),O36&gt;0),2,IF(AND(ISNUMBER(F36),INT(F36)=INT(Продажи!$D$4)),3,IF(OR(I36="Да",F36=""),4,0)))))</f>
        <v>0</v>
      </c>
      <c r="U36" s="6" t="str">
        <f>IF(T36=0,"",COUNTIFS($T$7:$T$106,"&gt;0",$T$7:$T$106,"&lt;"&amp;T36)+COUNTIFS($T$7:$T$106,T36,$Y$7:$Y$106,"&lt;"&amp;Y36)+COUNTIFS($T$7:T36,T36,$Y$7:Y36,Y36))</f>
        <v/>
      </c>
      <c r="V36" s="6" t="str">
        <f>IF(A36="","",IFERROR(INDEX(Реестр!$W$7:$W$106,MATCH(B36,Реестр!$A$7:$A$106,0)),"Нет связи"))</f>
        <v/>
      </c>
      <c r="W36" s="6" t="str">
        <f>IF(A36="","",IFERROR(INDEX(Реестр!$C$7:$C$106,MATCH(B36,Реестр!$A$7:$A$106,0)),"Нет связи"))</f>
        <v/>
      </c>
      <c r="X36" s="14" t="str">
        <f>IF(AND(S36=1,I36="Да"),COUNTIFS($S$7:$S$106,1,$I$7:$I$106,"Да",$Y$7:$Y$106,"&lt;"&amp;Y36)+COUNTIFS($S$7:S36,1,$I$7:I36,"Да",$Y$7:Y36,Y36),"")</f>
        <v/>
      </c>
      <c r="Y36" s="14" t="str">
        <f t="shared" si="2"/>
        <v/>
      </c>
    </row>
    <row r="37" spans="1:25" ht="25" customHeight="1">
      <c r="A37" s="5"/>
      <c r="B37" s="5"/>
      <c r="C37" s="5"/>
      <c r="D37" s="5"/>
      <c r="E37" s="5"/>
      <c r="F37" s="7"/>
      <c r="G37" s="5"/>
      <c r="H37" s="5"/>
      <c r="I37" s="5"/>
      <c r="J37" s="5"/>
      <c r="K37" s="5"/>
      <c r="L37" s="6" t="str">
        <f>IF(A37="","",IFERROR(INDEX(Реестр!$D$7:$D$106,MATCH(B37,Реестр!$A$7:$A$106,0)),"Нет связи"))</f>
        <v/>
      </c>
      <c r="M37" s="6" t="str">
        <f>IF(A37="","",IFERROR(INDEX(Реестр!$E$7:$E$106,MATCH(B37,Реестр!$A$7:$A$106,0)),"Нет связи"))</f>
        <v/>
      </c>
      <c r="N37" s="6">
        <f>IF(AND(A37&lt;&gt;"",H37&lt;&gt;"Закрыто",L37&lt;&gt;"Нет связи"),IF(INDEX(Реестр!$V$7:$V$106,MATCH(B37,Реестр!$A$7:$A$106,0))="Закрыто",0,1),0)</f>
        <v>0</v>
      </c>
      <c r="O37" s="12">
        <f>IF(N37=0,0,IF(F37="","Нет срока",MAX(0,(Продажи!$D$4-F37)*24)))</f>
        <v>0</v>
      </c>
      <c r="P37" s="6">
        <f>IF(AND(N37=1,ISNUMBER(F37),F37&lt;=Продажи!$D$4+2,OR(G37="Подача",G37="Дозапрос",G37="Обеспечение",G37="Обязательство клиенту")),1,0)</f>
        <v>0</v>
      </c>
      <c r="Q37" s="6">
        <f t="shared" si="0"/>
        <v>0</v>
      </c>
      <c r="R37" s="6">
        <f t="shared" si="1"/>
        <v>0</v>
      </c>
      <c r="S37" s="6">
        <f>IF(AND(N37=1,OR(Продажи!$I$4="Все",L37=Продажи!$I$4),OR(Продажи!$O$4="Все",M37=Продажи!$O$4)),1,0)</f>
        <v>0</v>
      </c>
      <c r="T37" s="6">
        <f>IF(S37=0,0,IF(P37=1,1,IF(AND(ISNUMBER(O37),O37&gt;0),2,IF(AND(ISNUMBER(F37),INT(F37)=INT(Продажи!$D$4)),3,IF(OR(I37="Да",F37=""),4,0)))))</f>
        <v>0</v>
      </c>
      <c r="U37" s="6" t="str">
        <f>IF(T37=0,"",COUNTIFS($T$7:$T$106,"&gt;0",$T$7:$T$106,"&lt;"&amp;T37)+COUNTIFS($T$7:$T$106,T37,$Y$7:$Y$106,"&lt;"&amp;Y37)+COUNTIFS($T$7:T37,T37,$Y$7:Y37,Y37))</f>
        <v/>
      </c>
      <c r="V37" s="6" t="str">
        <f>IF(A37="","",IFERROR(INDEX(Реестр!$W$7:$W$106,MATCH(B37,Реестр!$A$7:$A$106,0)),"Нет связи"))</f>
        <v/>
      </c>
      <c r="W37" s="6" t="str">
        <f>IF(A37="","",IFERROR(INDEX(Реестр!$C$7:$C$106,MATCH(B37,Реестр!$A$7:$A$106,0)),"Нет связи"))</f>
        <v/>
      </c>
      <c r="X37" s="14" t="str">
        <f>IF(AND(S37=1,I37="Да"),COUNTIFS($S$7:$S$106,1,$I$7:$I$106,"Да",$Y$7:$Y$106,"&lt;"&amp;Y37)+COUNTIFS($S$7:S37,1,$I$7:I37,"Да",$Y$7:Y37,Y37),"")</f>
        <v/>
      </c>
      <c r="Y37" s="14" t="str">
        <f t="shared" si="2"/>
        <v/>
      </c>
    </row>
    <row r="38" spans="1:25" ht="25" customHeight="1">
      <c r="A38" s="5"/>
      <c r="B38" s="5"/>
      <c r="C38" s="5"/>
      <c r="D38" s="5"/>
      <c r="E38" s="5"/>
      <c r="F38" s="7"/>
      <c r="G38" s="5"/>
      <c r="H38" s="5"/>
      <c r="I38" s="5"/>
      <c r="J38" s="5"/>
      <c r="K38" s="5"/>
      <c r="L38" s="6" t="str">
        <f>IF(A38="","",IFERROR(INDEX(Реестр!$D$7:$D$106,MATCH(B38,Реестр!$A$7:$A$106,0)),"Нет связи"))</f>
        <v/>
      </c>
      <c r="M38" s="6" t="str">
        <f>IF(A38="","",IFERROR(INDEX(Реестр!$E$7:$E$106,MATCH(B38,Реестр!$A$7:$A$106,0)),"Нет связи"))</f>
        <v/>
      </c>
      <c r="N38" s="6">
        <f>IF(AND(A38&lt;&gt;"",H38&lt;&gt;"Закрыто",L38&lt;&gt;"Нет связи"),IF(INDEX(Реестр!$V$7:$V$106,MATCH(B38,Реестр!$A$7:$A$106,0))="Закрыто",0,1),0)</f>
        <v>0</v>
      </c>
      <c r="O38" s="12">
        <f>IF(N38=0,0,IF(F38="","Нет срока",MAX(0,(Продажи!$D$4-F38)*24)))</f>
        <v>0</v>
      </c>
      <c r="P38" s="6">
        <f>IF(AND(N38=1,ISNUMBER(F38),F38&lt;=Продажи!$D$4+2,OR(G38="Подача",G38="Дозапрос",G38="Обеспечение",G38="Обязательство клиенту")),1,0)</f>
        <v>0</v>
      </c>
      <c r="Q38" s="6">
        <f t="shared" si="0"/>
        <v>0</v>
      </c>
      <c r="R38" s="6">
        <f t="shared" si="1"/>
        <v>0</v>
      </c>
      <c r="S38" s="6">
        <f>IF(AND(N38=1,OR(Продажи!$I$4="Все",L38=Продажи!$I$4),OR(Продажи!$O$4="Все",M38=Продажи!$O$4)),1,0)</f>
        <v>0</v>
      </c>
      <c r="T38" s="6">
        <f>IF(S38=0,0,IF(P38=1,1,IF(AND(ISNUMBER(O38),O38&gt;0),2,IF(AND(ISNUMBER(F38),INT(F38)=INT(Продажи!$D$4)),3,IF(OR(I38="Да",F38=""),4,0)))))</f>
        <v>0</v>
      </c>
      <c r="U38" s="6" t="str">
        <f>IF(T38=0,"",COUNTIFS($T$7:$T$106,"&gt;0",$T$7:$T$106,"&lt;"&amp;T38)+COUNTIFS($T$7:$T$106,T38,$Y$7:$Y$106,"&lt;"&amp;Y38)+COUNTIFS($T$7:T38,T38,$Y$7:Y38,Y38))</f>
        <v/>
      </c>
      <c r="V38" s="6" t="str">
        <f>IF(A38="","",IFERROR(INDEX(Реестр!$W$7:$W$106,MATCH(B38,Реестр!$A$7:$A$106,0)),"Нет связи"))</f>
        <v/>
      </c>
      <c r="W38" s="6" t="str">
        <f>IF(A38="","",IFERROR(INDEX(Реестр!$C$7:$C$106,MATCH(B38,Реестр!$A$7:$A$106,0)),"Нет связи"))</f>
        <v/>
      </c>
      <c r="X38" s="14" t="str">
        <f>IF(AND(S38=1,I38="Да"),COUNTIFS($S$7:$S$106,1,$I$7:$I$106,"Да",$Y$7:$Y$106,"&lt;"&amp;Y38)+COUNTIFS($S$7:S38,1,$I$7:I38,"Да",$Y$7:Y38,Y38),"")</f>
        <v/>
      </c>
      <c r="Y38" s="14" t="str">
        <f t="shared" si="2"/>
        <v/>
      </c>
    </row>
    <row r="39" spans="1:25" ht="25" customHeight="1">
      <c r="A39" s="5"/>
      <c r="B39" s="5"/>
      <c r="C39" s="5"/>
      <c r="D39" s="5"/>
      <c r="E39" s="5"/>
      <c r="F39" s="7"/>
      <c r="G39" s="5"/>
      <c r="H39" s="5"/>
      <c r="I39" s="5"/>
      <c r="J39" s="5"/>
      <c r="K39" s="5"/>
      <c r="L39" s="6" t="str">
        <f>IF(A39="","",IFERROR(INDEX(Реестр!$D$7:$D$106,MATCH(B39,Реестр!$A$7:$A$106,0)),"Нет связи"))</f>
        <v/>
      </c>
      <c r="M39" s="6" t="str">
        <f>IF(A39="","",IFERROR(INDEX(Реестр!$E$7:$E$106,MATCH(B39,Реестр!$A$7:$A$106,0)),"Нет связи"))</f>
        <v/>
      </c>
      <c r="N39" s="6">
        <f>IF(AND(A39&lt;&gt;"",H39&lt;&gt;"Закрыто",L39&lt;&gt;"Нет связи"),IF(INDEX(Реестр!$V$7:$V$106,MATCH(B39,Реестр!$A$7:$A$106,0))="Закрыто",0,1),0)</f>
        <v>0</v>
      </c>
      <c r="O39" s="12">
        <f>IF(N39=0,0,IF(F39="","Нет срока",MAX(0,(Продажи!$D$4-F39)*24)))</f>
        <v>0</v>
      </c>
      <c r="P39" s="6">
        <f>IF(AND(N39=1,ISNUMBER(F39),F39&lt;=Продажи!$D$4+2,OR(G39="Подача",G39="Дозапрос",G39="Обеспечение",G39="Обязательство клиенту")),1,0)</f>
        <v>0</v>
      </c>
      <c r="Q39" s="6">
        <f t="shared" ref="Q39:Q70" si="3">IF(AND(N39=1,D39="Продажи",ISNUMBER(O39),O39&gt;0),1,0)</f>
        <v>0</v>
      </c>
      <c r="R39" s="6">
        <f t="shared" ref="R39:R70" si="4">IF(AND(N39=1,H39="Ожидание",D39&lt;&gt;"Продажи"),1,0)</f>
        <v>0</v>
      </c>
      <c r="S39" s="6">
        <f>IF(AND(N39=1,OR(Продажи!$I$4="Все",L39=Продажи!$I$4),OR(Продажи!$O$4="Все",M39=Продажи!$O$4)),1,0)</f>
        <v>0</v>
      </c>
      <c r="T39" s="6">
        <f>IF(S39=0,0,IF(P39=1,1,IF(AND(ISNUMBER(O39),O39&gt;0),2,IF(AND(ISNUMBER(F39),INT(F39)=INT(Продажи!$D$4)),3,IF(OR(I39="Да",F39=""),4,0)))))</f>
        <v>0</v>
      </c>
      <c r="U39" s="6" t="str">
        <f>IF(T39=0,"",COUNTIFS($T$7:$T$106,"&gt;0",$T$7:$T$106,"&lt;"&amp;T39)+COUNTIFS($T$7:$T$106,T39,$Y$7:$Y$106,"&lt;"&amp;Y39)+COUNTIFS($T$7:T39,T39,$Y$7:Y39,Y39))</f>
        <v/>
      </c>
      <c r="V39" s="6" t="str">
        <f>IF(A39="","",IFERROR(INDEX(Реестр!$W$7:$W$106,MATCH(B39,Реестр!$A$7:$A$106,0)),"Нет связи"))</f>
        <v/>
      </c>
      <c r="W39" s="6" t="str">
        <f>IF(A39="","",IFERROR(INDEX(Реестр!$C$7:$C$106,MATCH(B39,Реестр!$A$7:$A$106,0)),"Нет связи"))</f>
        <v/>
      </c>
      <c r="X39" s="14" t="str">
        <f>IF(AND(S39=1,I39="Да"),COUNTIFS($S$7:$S$106,1,$I$7:$I$106,"Да",$Y$7:$Y$106,"&lt;"&amp;Y39)+COUNTIFS($S$7:S39,1,$I$7:I39,"Да",$Y$7:Y39,Y39),"")</f>
        <v/>
      </c>
      <c r="Y39" s="14" t="str">
        <f t="shared" ref="Y39:Y70" si="5">IF(N39=1,IF(ISNUMBER(F39),F39,2958465),"")</f>
        <v/>
      </c>
    </row>
    <row r="40" spans="1:25" ht="25" customHeight="1">
      <c r="A40" s="5"/>
      <c r="B40" s="5"/>
      <c r="C40" s="5"/>
      <c r="D40" s="5"/>
      <c r="E40" s="5"/>
      <c r="F40" s="7"/>
      <c r="G40" s="5"/>
      <c r="H40" s="5"/>
      <c r="I40" s="5"/>
      <c r="J40" s="5"/>
      <c r="K40" s="5"/>
      <c r="L40" s="6" t="str">
        <f>IF(A40="","",IFERROR(INDEX(Реестр!$D$7:$D$106,MATCH(B40,Реестр!$A$7:$A$106,0)),"Нет связи"))</f>
        <v/>
      </c>
      <c r="M40" s="6" t="str">
        <f>IF(A40="","",IFERROR(INDEX(Реестр!$E$7:$E$106,MATCH(B40,Реестр!$A$7:$A$106,0)),"Нет связи"))</f>
        <v/>
      </c>
      <c r="N40" s="6">
        <f>IF(AND(A40&lt;&gt;"",H40&lt;&gt;"Закрыто",L40&lt;&gt;"Нет связи"),IF(INDEX(Реестр!$V$7:$V$106,MATCH(B40,Реестр!$A$7:$A$106,0))="Закрыто",0,1),0)</f>
        <v>0</v>
      </c>
      <c r="O40" s="12">
        <f>IF(N40=0,0,IF(F40="","Нет срока",MAX(0,(Продажи!$D$4-F40)*24)))</f>
        <v>0</v>
      </c>
      <c r="P40" s="6">
        <f>IF(AND(N40=1,ISNUMBER(F40),F40&lt;=Продажи!$D$4+2,OR(G40="Подача",G40="Дозапрос",G40="Обеспечение",G40="Обязательство клиенту")),1,0)</f>
        <v>0</v>
      </c>
      <c r="Q40" s="6">
        <f t="shared" si="3"/>
        <v>0</v>
      </c>
      <c r="R40" s="6">
        <f t="shared" si="4"/>
        <v>0</v>
      </c>
      <c r="S40" s="6">
        <f>IF(AND(N40=1,OR(Продажи!$I$4="Все",L40=Продажи!$I$4),OR(Продажи!$O$4="Все",M40=Продажи!$O$4)),1,0)</f>
        <v>0</v>
      </c>
      <c r="T40" s="6">
        <f>IF(S40=0,0,IF(P40=1,1,IF(AND(ISNUMBER(O40),O40&gt;0),2,IF(AND(ISNUMBER(F40),INT(F40)=INT(Продажи!$D$4)),3,IF(OR(I40="Да",F40=""),4,0)))))</f>
        <v>0</v>
      </c>
      <c r="U40" s="6" t="str">
        <f>IF(T40=0,"",COUNTIFS($T$7:$T$106,"&gt;0",$T$7:$T$106,"&lt;"&amp;T40)+COUNTIFS($T$7:$T$106,T40,$Y$7:$Y$106,"&lt;"&amp;Y40)+COUNTIFS($T$7:T40,T40,$Y$7:Y40,Y40))</f>
        <v/>
      </c>
      <c r="V40" s="6" t="str">
        <f>IF(A40="","",IFERROR(INDEX(Реестр!$W$7:$W$106,MATCH(B40,Реестр!$A$7:$A$106,0)),"Нет связи"))</f>
        <v/>
      </c>
      <c r="W40" s="6" t="str">
        <f>IF(A40="","",IFERROR(INDEX(Реестр!$C$7:$C$106,MATCH(B40,Реестр!$A$7:$A$106,0)),"Нет связи"))</f>
        <v/>
      </c>
      <c r="X40" s="14" t="str">
        <f>IF(AND(S40=1,I40="Да"),COUNTIFS($S$7:$S$106,1,$I$7:$I$106,"Да",$Y$7:$Y$106,"&lt;"&amp;Y40)+COUNTIFS($S$7:S40,1,$I$7:I40,"Да",$Y$7:Y40,Y40),"")</f>
        <v/>
      </c>
      <c r="Y40" s="14" t="str">
        <f t="shared" si="5"/>
        <v/>
      </c>
    </row>
    <row r="41" spans="1:25" ht="25" customHeight="1">
      <c r="A41" s="5"/>
      <c r="B41" s="5"/>
      <c r="C41" s="5"/>
      <c r="D41" s="5"/>
      <c r="E41" s="5"/>
      <c r="F41" s="7"/>
      <c r="G41" s="5"/>
      <c r="H41" s="5"/>
      <c r="I41" s="5"/>
      <c r="J41" s="5"/>
      <c r="K41" s="5"/>
      <c r="L41" s="6" t="str">
        <f>IF(A41="","",IFERROR(INDEX(Реестр!$D$7:$D$106,MATCH(B41,Реестр!$A$7:$A$106,0)),"Нет связи"))</f>
        <v/>
      </c>
      <c r="M41" s="6" t="str">
        <f>IF(A41="","",IFERROR(INDEX(Реестр!$E$7:$E$106,MATCH(B41,Реестр!$A$7:$A$106,0)),"Нет связи"))</f>
        <v/>
      </c>
      <c r="N41" s="6">
        <f>IF(AND(A41&lt;&gt;"",H41&lt;&gt;"Закрыто",L41&lt;&gt;"Нет связи"),IF(INDEX(Реестр!$V$7:$V$106,MATCH(B41,Реестр!$A$7:$A$106,0))="Закрыто",0,1),0)</f>
        <v>0</v>
      </c>
      <c r="O41" s="12">
        <f>IF(N41=0,0,IF(F41="","Нет срока",MAX(0,(Продажи!$D$4-F41)*24)))</f>
        <v>0</v>
      </c>
      <c r="P41" s="6">
        <f>IF(AND(N41=1,ISNUMBER(F41),F41&lt;=Продажи!$D$4+2,OR(G41="Подача",G41="Дозапрос",G41="Обеспечение",G41="Обязательство клиенту")),1,0)</f>
        <v>0</v>
      </c>
      <c r="Q41" s="6">
        <f t="shared" si="3"/>
        <v>0</v>
      </c>
      <c r="R41" s="6">
        <f t="shared" si="4"/>
        <v>0</v>
      </c>
      <c r="S41" s="6">
        <f>IF(AND(N41=1,OR(Продажи!$I$4="Все",L41=Продажи!$I$4),OR(Продажи!$O$4="Все",M41=Продажи!$O$4)),1,0)</f>
        <v>0</v>
      </c>
      <c r="T41" s="6">
        <f>IF(S41=0,0,IF(P41=1,1,IF(AND(ISNUMBER(O41),O41&gt;0),2,IF(AND(ISNUMBER(F41),INT(F41)=INT(Продажи!$D$4)),3,IF(OR(I41="Да",F41=""),4,0)))))</f>
        <v>0</v>
      </c>
      <c r="U41" s="6" t="str">
        <f>IF(T41=0,"",COUNTIFS($T$7:$T$106,"&gt;0",$T$7:$T$106,"&lt;"&amp;T41)+COUNTIFS($T$7:$T$106,T41,$Y$7:$Y$106,"&lt;"&amp;Y41)+COUNTIFS($T$7:T41,T41,$Y$7:Y41,Y41))</f>
        <v/>
      </c>
      <c r="V41" s="6" t="str">
        <f>IF(A41="","",IFERROR(INDEX(Реестр!$W$7:$W$106,MATCH(B41,Реестр!$A$7:$A$106,0)),"Нет связи"))</f>
        <v/>
      </c>
      <c r="W41" s="6" t="str">
        <f>IF(A41="","",IFERROR(INDEX(Реестр!$C$7:$C$106,MATCH(B41,Реестр!$A$7:$A$106,0)),"Нет связи"))</f>
        <v/>
      </c>
      <c r="X41" s="14" t="str">
        <f>IF(AND(S41=1,I41="Да"),COUNTIFS($S$7:$S$106,1,$I$7:$I$106,"Да",$Y$7:$Y$106,"&lt;"&amp;Y41)+COUNTIFS($S$7:S41,1,$I$7:I41,"Да",$Y$7:Y41,Y41),"")</f>
        <v/>
      </c>
      <c r="Y41" s="14" t="str">
        <f t="shared" si="5"/>
        <v/>
      </c>
    </row>
    <row r="42" spans="1:25" ht="25" customHeight="1">
      <c r="A42" s="5"/>
      <c r="B42" s="5"/>
      <c r="C42" s="5"/>
      <c r="D42" s="5"/>
      <c r="E42" s="5"/>
      <c r="F42" s="7"/>
      <c r="G42" s="5"/>
      <c r="H42" s="5"/>
      <c r="I42" s="5"/>
      <c r="J42" s="5"/>
      <c r="K42" s="5"/>
      <c r="L42" s="6" t="str">
        <f>IF(A42="","",IFERROR(INDEX(Реестр!$D$7:$D$106,MATCH(B42,Реестр!$A$7:$A$106,0)),"Нет связи"))</f>
        <v/>
      </c>
      <c r="M42" s="6" t="str">
        <f>IF(A42="","",IFERROR(INDEX(Реестр!$E$7:$E$106,MATCH(B42,Реестр!$A$7:$A$106,0)),"Нет связи"))</f>
        <v/>
      </c>
      <c r="N42" s="6">
        <f>IF(AND(A42&lt;&gt;"",H42&lt;&gt;"Закрыто",L42&lt;&gt;"Нет связи"),IF(INDEX(Реестр!$V$7:$V$106,MATCH(B42,Реестр!$A$7:$A$106,0))="Закрыто",0,1),0)</f>
        <v>0</v>
      </c>
      <c r="O42" s="12">
        <f>IF(N42=0,0,IF(F42="","Нет срока",MAX(0,(Продажи!$D$4-F42)*24)))</f>
        <v>0</v>
      </c>
      <c r="P42" s="6">
        <f>IF(AND(N42=1,ISNUMBER(F42),F42&lt;=Продажи!$D$4+2,OR(G42="Подача",G42="Дозапрос",G42="Обеспечение",G42="Обязательство клиенту")),1,0)</f>
        <v>0</v>
      </c>
      <c r="Q42" s="6">
        <f t="shared" si="3"/>
        <v>0</v>
      </c>
      <c r="R42" s="6">
        <f t="shared" si="4"/>
        <v>0</v>
      </c>
      <c r="S42" s="6">
        <f>IF(AND(N42=1,OR(Продажи!$I$4="Все",L42=Продажи!$I$4),OR(Продажи!$O$4="Все",M42=Продажи!$O$4)),1,0)</f>
        <v>0</v>
      </c>
      <c r="T42" s="6">
        <f>IF(S42=0,0,IF(P42=1,1,IF(AND(ISNUMBER(O42),O42&gt;0),2,IF(AND(ISNUMBER(F42),INT(F42)=INT(Продажи!$D$4)),3,IF(OR(I42="Да",F42=""),4,0)))))</f>
        <v>0</v>
      </c>
      <c r="U42" s="6" t="str">
        <f>IF(T42=0,"",COUNTIFS($T$7:$T$106,"&gt;0",$T$7:$T$106,"&lt;"&amp;T42)+COUNTIFS($T$7:$T$106,T42,$Y$7:$Y$106,"&lt;"&amp;Y42)+COUNTIFS($T$7:T42,T42,$Y$7:Y42,Y42))</f>
        <v/>
      </c>
      <c r="V42" s="6" t="str">
        <f>IF(A42="","",IFERROR(INDEX(Реестр!$W$7:$W$106,MATCH(B42,Реестр!$A$7:$A$106,0)),"Нет связи"))</f>
        <v/>
      </c>
      <c r="W42" s="6" t="str">
        <f>IF(A42="","",IFERROR(INDEX(Реестр!$C$7:$C$106,MATCH(B42,Реестр!$A$7:$A$106,0)),"Нет связи"))</f>
        <v/>
      </c>
      <c r="X42" s="14" t="str">
        <f>IF(AND(S42=1,I42="Да"),COUNTIFS($S$7:$S$106,1,$I$7:$I$106,"Да",$Y$7:$Y$106,"&lt;"&amp;Y42)+COUNTIFS($S$7:S42,1,$I$7:I42,"Да",$Y$7:Y42,Y42),"")</f>
        <v/>
      </c>
      <c r="Y42" s="14" t="str">
        <f t="shared" si="5"/>
        <v/>
      </c>
    </row>
    <row r="43" spans="1:25" ht="25" customHeight="1">
      <c r="A43" s="5"/>
      <c r="B43" s="5"/>
      <c r="C43" s="5"/>
      <c r="D43" s="5"/>
      <c r="E43" s="5"/>
      <c r="F43" s="7"/>
      <c r="G43" s="5"/>
      <c r="H43" s="5"/>
      <c r="I43" s="5"/>
      <c r="J43" s="5"/>
      <c r="K43" s="5"/>
      <c r="L43" s="6" t="str">
        <f>IF(A43="","",IFERROR(INDEX(Реестр!$D$7:$D$106,MATCH(B43,Реестр!$A$7:$A$106,0)),"Нет связи"))</f>
        <v/>
      </c>
      <c r="M43" s="6" t="str">
        <f>IF(A43="","",IFERROR(INDEX(Реестр!$E$7:$E$106,MATCH(B43,Реестр!$A$7:$A$106,0)),"Нет связи"))</f>
        <v/>
      </c>
      <c r="N43" s="6">
        <f>IF(AND(A43&lt;&gt;"",H43&lt;&gt;"Закрыто",L43&lt;&gt;"Нет связи"),IF(INDEX(Реестр!$V$7:$V$106,MATCH(B43,Реестр!$A$7:$A$106,0))="Закрыто",0,1),0)</f>
        <v>0</v>
      </c>
      <c r="O43" s="12">
        <f>IF(N43=0,0,IF(F43="","Нет срока",MAX(0,(Продажи!$D$4-F43)*24)))</f>
        <v>0</v>
      </c>
      <c r="P43" s="6">
        <f>IF(AND(N43=1,ISNUMBER(F43),F43&lt;=Продажи!$D$4+2,OR(G43="Подача",G43="Дозапрос",G43="Обеспечение",G43="Обязательство клиенту")),1,0)</f>
        <v>0</v>
      </c>
      <c r="Q43" s="6">
        <f t="shared" si="3"/>
        <v>0</v>
      </c>
      <c r="R43" s="6">
        <f t="shared" si="4"/>
        <v>0</v>
      </c>
      <c r="S43" s="6">
        <f>IF(AND(N43=1,OR(Продажи!$I$4="Все",L43=Продажи!$I$4),OR(Продажи!$O$4="Все",M43=Продажи!$O$4)),1,0)</f>
        <v>0</v>
      </c>
      <c r="T43" s="6">
        <f>IF(S43=0,0,IF(P43=1,1,IF(AND(ISNUMBER(O43),O43&gt;0),2,IF(AND(ISNUMBER(F43),INT(F43)=INT(Продажи!$D$4)),3,IF(OR(I43="Да",F43=""),4,0)))))</f>
        <v>0</v>
      </c>
      <c r="U43" s="6" t="str">
        <f>IF(T43=0,"",COUNTIFS($T$7:$T$106,"&gt;0",$T$7:$T$106,"&lt;"&amp;T43)+COUNTIFS($T$7:$T$106,T43,$Y$7:$Y$106,"&lt;"&amp;Y43)+COUNTIFS($T$7:T43,T43,$Y$7:Y43,Y43))</f>
        <v/>
      </c>
      <c r="V43" s="6" t="str">
        <f>IF(A43="","",IFERROR(INDEX(Реестр!$W$7:$W$106,MATCH(B43,Реестр!$A$7:$A$106,0)),"Нет связи"))</f>
        <v/>
      </c>
      <c r="W43" s="6" t="str">
        <f>IF(A43="","",IFERROR(INDEX(Реестр!$C$7:$C$106,MATCH(B43,Реестр!$A$7:$A$106,0)),"Нет связи"))</f>
        <v/>
      </c>
      <c r="X43" s="14" t="str">
        <f>IF(AND(S43=1,I43="Да"),COUNTIFS($S$7:$S$106,1,$I$7:$I$106,"Да",$Y$7:$Y$106,"&lt;"&amp;Y43)+COUNTIFS($S$7:S43,1,$I$7:I43,"Да",$Y$7:Y43,Y43),"")</f>
        <v/>
      </c>
      <c r="Y43" s="14" t="str">
        <f t="shared" si="5"/>
        <v/>
      </c>
    </row>
    <row r="44" spans="1:25" ht="25" customHeight="1">
      <c r="A44" s="5"/>
      <c r="B44" s="5"/>
      <c r="C44" s="5"/>
      <c r="D44" s="5"/>
      <c r="E44" s="5"/>
      <c r="F44" s="7"/>
      <c r="G44" s="5"/>
      <c r="H44" s="5"/>
      <c r="I44" s="5"/>
      <c r="J44" s="5"/>
      <c r="K44" s="5"/>
      <c r="L44" s="6" t="str">
        <f>IF(A44="","",IFERROR(INDEX(Реестр!$D$7:$D$106,MATCH(B44,Реестр!$A$7:$A$106,0)),"Нет связи"))</f>
        <v/>
      </c>
      <c r="M44" s="6" t="str">
        <f>IF(A44="","",IFERROR(INDEX(Реестр!$E$7:$E$106,MATCH(B44,Реестр!$A$7:$A$106,0)),"Нет связи"))</f>
        <v/>
      </c>
      <c r="N44" s="6">
        <f>IF(AND(A44&lt;&gt;"",H44&lt;&gt;"Закрыто",L44&lt;&gt;"Нет связи"),IF(INDEX(Реестр!$V$7:$V$106,MATCH(B44,Реестр!$A$7:$A$106,0))="Закрыто",0,1),0)</f>
        <v>0</v>
      </c>
      <c r="O44" s="12">
        <f>IF(N44=0,0,IF(F44="","Нет срока",MAX(0,(Продажи!$D$4-F44)*24)))</f>
        <v>0</v>
      </c>
      <c r="P44" s="6">
        <f>IF(AND(N44=1,ISNUMBER(F44),F44&lt;=Продажи!$D$4+2,OR(G44="Подача",G44="Дозапрос",G44="Обеспечение",G44="Обязательство клиенту")),1,0)</f>
        <v>0</v>
      </c>
      <c r="Q44" s="6">
        <f t="shared" si="3"/>
        <v>0</v>
      </c>
      <c r="R44" s="6">
        <f t="shared" si="4"/>
        <v>0</v>
      </c>
      <c r="S44" s="6">
        <f>IF(AND(N44=1,OR(Продажи!$I$4="Все",L44=Продажи!$I$4),OR(Продажи!$O$4="Все",M44=Продажи!$O$4)),1,0)</f>
        <v>0</v>
      </c>
      <c r="T44" s="6">
        <f>IF(S44=0,0,IF(P44=1,1,IF(AND(ISNUMBER(O44),O44&gt;0),2,IF(AND(ISNUMBER(F44),INT(F44)=INT(Продажи!$D$4)),3,IF(OR(I44="Да",F44=""),4,0)))))</f>
        <v>0</v>
      </c>
      <c r="U44" s="6" t="str">
        <f>IF(T44=0,"",COUNTIFS($T$7:$T$106,"&gt;0",$T$7:$T$106,"&lt;"&amp;T44)+COUNTIFS($T$7:$T$106,T44,$Y$7:$Y$106,"&lt;"&amp;Y44)+COUNTIFS($T$7:T44,T44,$Y$7:Y44,Y44))</f>
        <v/>
      </c>
      <c r="V44" s="6" t="str">
        <f>IF(A44="","",IFERROR(INDEX(Реестр!$W$7:$W$106,MATCH(B44,Реестр!$A$7:$A$106,0)),"Нет связи"))</f>
        <v/>
      </c>
      <c r="W44" s="6" t="str">
        <f>IF(A44="","",IFERROR(INDEX(Реестр!$C$7:$C$106,MATCH(B44,Реестр!$A$7:$A$106,0)),"Нет связи"))</f>
        <v/>
      </c>
      <c r="X44" s="14" t="str">
        <f>IF(AND(S44=1,I44="Да"),COUNTIFS($S$7:$S$106,1,$I$7:$I$106,"Да",$Y$7:$Y$106,"&lt;"&amp;Y44)+COUNTIFS($S$7:S44,1,$I$7:I44,"Да",$Y$7:Y44,Y44),"")</f>
        <v/>
      </c>
      <c r="Y44" s="14" t="str">
        <f t="shared" si="5"/>
        <v/>
      </c>
    </row>
    <row r="45" spans="1:25" ht="25" customHeight="1">
      <c r="A45" s="5"/>
      <c r="B45" s="5"/>
      <c r="C45" s="5"/>
      <c r="D45" s="5"/>
      <c r="E45" s="5"/>
      <c r="F45" s="7"/>
      <c r="G45" s="5"/>
      <c r="H45" s="5"/>
      <c r="I45" s="5"/>
      <c r="J45" s="5"/>
      <c r="K45" s="5"/>
      <c r="L45" s="6" t="str">
        <f>IF(A45="","",IFERROR(INDEX(Реестр!$D$7:$D$106,MATCH(B45,Реестр!$A$7:$A$106,0)),"Нет связи"))</f>
        <v/>
      </c>
      <c r="M45" s="6" t="str">
        <f>IF(A45="","",IFERROR(INDEX(Реестр!$E$7:$E$106,MATCH(B45,Реестр!$A$7:$A$106,0)),"Нет связи"))</f>
        <v/>
      </c>
      <c r="N45" s="6">
        <f>IF(AND(A45&lt;&gt;"",H45&lt;&gt;"Закрыто",L45&lt;&gt;"Нет связи"),IF(INDEX(Реестр!$V$7:$V$106,MATCH(B45,Реестр!$A$7:$A$106,0))="Закрыто",0,1),0)</f>
        <v>0</v>
      </c>
      <c r="O45" s="12">
        <f>IF(N45=0,0,IF(F45="","Нет срока",MAX(0,(Продажи!$D$4-F45)*24)))</f>
        <v>0</v>
      </c>
      <c r="P45" s="6">
        <f>IF(AND(N45=1,ISNUMBER(F45),F45&lt;=Продажи!$D$4+2,OR(G45="Подача",G45="Дозапрос",G45="Обеспечение",G45="Обязательство клиенту")),1,0)</f>
        <v>0</v>
      </c>
      <c r="Q45" s="6">
        <f t="shared" si="3"/>
        <v>0</v>
      </c>
      <c r="R45" s="6">
        <f t="shared" si="4"/>
        <v>0</v>
      </c>
      <c r="S45" s="6">
        <f>IF(AND(N45=1,OR(Продажи!$I$4="Все",L45=Продажи!$I$4),OR(Продажи!$O$4="Все",M45=Продажи!$O$4)),1,0)</f>
        <v>0</v>
      </c>
      <c r="T45" s="6">
        <f>IF(S45=0,0,IF(P45=1,1,IF(AND(ISNUMBER(O45),O45&gt;0),2,IF(AND(ISNUMBER(F45),INT(F45)=INT(Продажи!$D$4)),3,IF(OR(I45="Да",F45=""),4,0)))))</f>
        <v>0</v>
      </c>
      <c r="U45" s="6" t="str">
        <f>IF(T45=0,"",COUNTIFS($T$7:$T$106,"&gt;0",$T$7:$T$106,"&lt;"&amp;T45)+COUNTIFS($T$7:$T$106,T45,$Y$7:$Y$106,"&lt;"&amp;Y45)+COUNTIFS($T$7:T45,T45,$Y$7:Y45,Y45))</f>
        <v/>
      </c>
      <c r="V45" s="6" t="str">
        <f>IF(A45="","",IFERROR(INDEX(Реестр!$W$7:$W$106,MATCH(B45,Реестр!$A$7:$A$106,0)),"Нет связи"))</f>
        <v/>
      </c>
      <c r="W45" s="6" t="str">
        <f>IF(A45="","",IFERROR(INDEX(Реестр!$C$7:$C$106,MATCH(B45,Реестр!$A$7:$A$106,0)),"Нет связи"))</f>
        <v/>
      </c>
      <c r="X45" s="14" t="str">
        <f>IF(AND(S45=1,I45="Да"),COUNTIFS($S$7:$S$106,1,$I$7:$I$106,"Да",$Y$7:$Y$106,"&lt;"&amp;Y45)+COUNTIFS($S$7:S45,1,$I$7:I45,"Да",$Y$7:Y45,Y45),"")</f>
        <v/>
      </c>
      <c r="Y45" s="14" t="str">
        <f t="shared" si="5"/>
        <v/>
      </c>
    </row>
    <row r="46" spans="1:25" ht="25" customHeight="1">
      <c r="A46" s="5"/>
      <c r="B46" s="5"/>
      <c r="C46" s="5"/>
      <c r="D46" s="5"/>
      <c r="E46" s="5"/>
      <c r="F46" s="7"/>
      <c r="G46" s="5"/>
      <c r="H46" s="5"/>
      <c r="I46" s="5"/>
      <c r="J46" s="5"/>
      <c r="K46" s="5"/>
      <c r="L46" s="6" t="str">
        <f>IF(A46="","",IFERROR(INDEX(Реестр!$D$7:$D$106,MATCH(B46,Реестр!$A$7:$A$106,0)),"Нет связи"))</f>
        <v/>
      </c>
      <c r="M46" s="6" t="str">
        <f>IF(A46="","",IFERROR(INDEX(Реестр!$E$7:$E$106,MATCH(B46,Реестр!$A$7:$A$106,0)),"Нет связи"))</f>
        <v/>
      </c>
      <c r="N46" s="6">
        <f>IF(AND(A46&lt;&gt;"",H46&lt;&gt;"Закрыто",L46&lt;&gt;"Нет связи"),IF(INDEX(Реестр!$V$7:$V$106,MATCH(B46,Реестр!$A$7:$A$106,0))="Закрыто",0,1),0)</f>
        <v>0</v>
      </c>
      <c r="O46" s="12">
        <f>IF(N46=0,0,IF(F46="","Нет срока",MAX(0,(Продажи!$D$4-F46)*24)))</f>
        <v>0</v>
      </c>
      <c r="P46" s="6">
        <f>IF(AND(N46=1,ISNUMBER(F46),F46&lt;=Продажи!$D$4+2,OR(G46="Подача",G46="Дозапрос",G46="Обеспечение",G46="Обязательство клиенту")),1,0)</f>
        <v>0</v>
      </c>
      <c r="Q46" s="6">
        <f t="shared" si="3"/>
        <v>0</v>
      </c>
      <c r="R46" s="6">
        <f t="shared" si="4"/>
        <v>0</v>
      </c>
      <c r="S46" s="6">
        <f>IF(AND(N46=1,OR(Продажи!$I$4="Все",L46=Продажи!$I$4),OR(Продажи!$O$4="Все",M46=Продажи!$O$4)),1,0)</f>
        <v>0</v>
      </c>
      <c r="T46" s="6">
        <f>IF(S46=0,0,IF(P46=1,1,IF(AND(ISNUMBER(O46),O46&gt;0),2,IF(AND(ISNUMBER(F46),INT(F46)=INT(Продажи!$D$4)),3,IF(OR(I46="Да",F46=""),4,0)))))</f>
        <v>0</v>
      </c>
      <c r="U46" s="6" t="str">
        <f>IF(T46=0,"",COUNTIFS($T$7:$T$106,"&gt;0",$T$7:$T$106,"&lt;"&amp;T46)+COUNTIFS($T$7:$T$106,T46,$Y$7:$Y$106,"&lt;"&amp;Y46)+COUNTIFS($T$7:T46,T46,$Y$7:Y46,Y46))</f>
        <v/>
      </c>
      <c r="V46" s="6" t="str">
        <f>IF(A46="","",IFERROR(INDEX(Реестр!$W$7:$W$106,MATCH(B46,Реестр!$A$7:$A$106,0)),"Нет связи"))</f>
        <v/>
      </c>
      <c r="W46" s="6" t="str">
        <f>IF(A46="","",IFERROR(INDEX(Реестр!$C$7:$C$106,MATCH(B46,Реестр!$A$7:$A$106,0)),"Нет связи"))</f>
        <v/>
      </c>
      <c r="X46" s="14" t="str">
        <f>IF(AND(S46=1,I46="Да"),COUNTIFS($S$7:$S$106,1,$I$7:$I$106,"Да",$Y$7:$Y$106,"&lt;"&amp;Y46)+COUNTIFS($S$7:S46,1,$I$7:I46,"Да",$Y$7:Y46,Y46),"")</f>
        <v/>
      </c>
      <c r="Y46" s="14" t="str">
        <f t="shared" si="5"/>
        <v/>
      </c>
    </row>
    <row r="47" spans="1:25" ht="25" customHeight="1">
      <c r="A47" s="5"/>
      <c r="B47" s="5"/>
      <c r="C47" s="5"/>
      <c r="D47" s="5"/>
      <c r="E47" s="5"/>
      <c r="F47" s="7"/>
      <c r="G47" s="5"/>
      <c r="H47" s="5"/>
      <c r="I47" s="5"/>
      <c r="J47" s="5"/>
      <c r="K47" s="5"/>
      <c r="L47" s="6" t="str">
        <f>IF(A47="","",IFERROR(INDEX(Реестр!$D$7:$D$106,MATCH(B47,Реестр!$A$7:$A$106,0)),"Нет связи"))</f>
        <v/>
      </c>
      <c r="M47" s="6" t="str">
        <f>IF(A47="","",IFERROR(INDEX(Реестр!$E$7:$E$106,MATCH(B47,Реестр!$A$7:$A$106,0)),"Нет связи"))</f>
        <v/>
      </c>
      <c r="N47" s="6">
        <f>IF(AND(A47&lt;&gt;"",H47&lt;&gt;"Закрыто",L47&lt;&gt;"Нет связи"),IF(INDEX(Реестр!$V$7:$V$106,MATCH(B47,Реестр!$A$7:$A$106,0))="Закрыто",0,1),0)</f>
        <v>0</v>
      </c>
      <c r="O47" s="12">
        <f>IF(N47=0,0,IF(F47="","Нет срока",MAX(0,(Продажи!$D$4-F47)*24)))</f>
        <v>0</v>
      </c>
      <c r="P47" s="6">
        <f>IF(AND(N47=1,ISNUMBER(F47),F47&lt;=Продажи!$D$4+2,OR(G47="Подача",G47="Дозапрос",G47="Обеспечение",G47="Обязательство клиенту")),1,0)</f>
        <v>0</v>
      </c>
      <c r="Q47" s="6">
        <f t="shared" si="3"/>
        <v>0</v>
      </c>
      <c r="R47" s="6">
        <f t="shared" si="4"/>
        <v>0</v>
      </c>
      <c r="S47" s="6">
        <f>IF(AND(N47=1,OR(Продажи!$I$4="Все",L47=Продажи!$I$4),OR(Продажи!$O$4="Все",M47=Продажи!$O$4)),1,0)</f>
        <v>0</v>
      </c>
      <c r="T47" s="6">
        <f>IF(S47=0,0,IF(P47=1,1,IF(AND(ISNUMBER(O47),O47&gt;0),2,IF(AND(ISNUMBER(F47),INT(F47)=INT(Продажи!$D$4)),3,IF(OR(I47="Да",F47=""),4,0)))))</f>
        <v>0</v>
      </c>
      <c r="U47" s="6" t="str">
        <f>IF(T47=0,"",COUNTIFS($T$7:$T$106,"&gt;0",$T$7:$T$106,"&lt;"&amp;T47)+COUNTIFS($T$7:$T$106,T47,$Y$7:$Y$106,"&lt;"&amp;Y47)+COUNTIFS($T$7:T47,T47,$Y$7:Y47,Y47))</f>
        <v/>
      </c>
      <c r="V47" s="6" t="str">
        <f>IF(A47="","",IFERROR(INDEX(Реестр!$W$7:$W$106,MATCH(B47,Реестр!$A$7:$A$106,0)),"Нет связи"))</f>
        <v/>
      </c>
      <c r="W47" s="6" t="str">
        <f>IF(A47="","",IFERROR(INDEX(Реестр!$C$7:$C$106,MATCH(B47,Реестр!$A$7:$A$106,0)),"Нет связи"))</f>
        <v/>
      </c>
      <c r="X47" s="14" t="str">
        <f>IF(AND(S47=1,I47="Да"),COUNTIFS($S$7:$S$106,1,$I$7:$I$106,"Да",$Y$7:$Y$106,"&lt;"&amp;Y47)+COUNTIFS($S$7:S47,1,$I$7:I47,"Да",$Y$7:Y47,Y47),"")</f>
        <v/>
      </c>
      <c r="Y47" s="14" t="str">
        <f t="shared" si="5"/>
        <v/>
      </c>
    </row>
    <row r="48" spans="1:25" ht="25" customHeight="1">
      <c r="A48" s="5"/>
      <c r="B48" s="5"/>
      <c r="C48" s="5"/>
      <c r="D48" s="5"/>
      <c r="E48" s="5"/>
      <c r="F48" s="7"/>
      <c r="G48" s="5"/>
      <c r="H48" s="5"/>
      <c r="I48" s="5"/>
      <c r="J48" s="5"/>
      <c r="K48" s="5"/>
      <c r="L48" s="6" t="str">
        <f>IF(A48="","",IFERROR(INDEX(Реестр!$D$7:$D$106,MATCH(B48,Реестр!$A$7:$A$106,0)),"Нет связи"))</f>
        <v/>
      </c>
      <c r="M48" s="6" t="str">
        <f>IF(A48="","",IFERROR(INDEX(Реестр!$E$7:$E$106,MATCH(B48,Реестр!$A$7:$A$106,0)),"Нет связи"))</f>
        <v/>
      </c>
      <c r="N48" s="6">
        <f>IF(AND(A48&lt;&gt;"",H48&lt;&gt;"Закрыто",L48&lt;&gt;"Нет связи"),IF(INDEX(Реестр!$V$7:$V$106,MATCH(B48,Реестр!$A$7:$A$106,0))="Закрыто",0,1),0)</f>
        <v>0</v>
      </c>
      <c r="O48" s="12">
        <f>IF(N48=0,0,IF(F48="","Нет срока",MAX(0,(Продажи!$D$4-F48)*24)))</f>
        <v>0</v>
      </c>
      <c r="P48" s="6">
        <f>IF(AND(N48=1,ISNUMBER(F48),F48&lt;=Продажи!$D$4+2,OR(G48="Подача",G48="Дозапрос",G48="Обеспечение",G48="Обязательство клиенту")),1,0)</f>
        <v>0</v>
      </c>
      <c r="Q48" s="6">
        <f t="shared" si="3"/>
        <v>0</v>
      </c>
      <c r="R48" s="6">
        <f t="shared" si="4"/>
        <v>0</v>
      </c>
      <c r="S48" s="6">
        <f>IF(AND(N48=1,OR(Продажи!$I$4="Все",L48=Продажи!$I$4),OR(Продажи!$O$4="Все",M48=Продажи!$O$4)),1,0)</f>
        <v>0</v>
      </c>
      <c r="T48" s="6">
        <f>IF(S48=0,0,IF(P48=1,1,IF(AND(ISNUMBER(O48),O48&gt;0),2,IF(AND(ISNUMBER(F48),INT(F48)=INT(Продажи!$D$4)),3,IF(OR(I48="Да",F48=""),4,0)))))</f>
        <v>0</v>
      </c>
      <c r="U48" s="6" t="str">
        <f>IF(T48=0,"",COUNTIFS($T$7:$T$106,"&gt;0",$T$7:$T$106,"&lt;"&amp;T48)+COUNTIFS($T$7:$T$106,T48,$Y$7:$Y$106,"&lt;"&amp;Y48)+COUNTIFS($T$7:T48,T48,$Y$7:Y48,Y48))</f>
        <v/>
      </c>
      <c r="V48" s="6" t="str">
        <f>IF(A48="","",IFERROR(INDEX(Реестр!$W$7:$W$106,MATCH(B48,Реестр!$A$7:$A$106,0)),"Нет связи"))</f>
        <v/>
      </c>
      <c r="W48" s="6" t="str">
        <f>IF(A48="","",IFERROR(INDEX(Реестр!$C$7:$C$106,MATCH(B48,Реестр!$A$7:$A$106,0)),"Нет связи"))</f>
        <v/>
      </c>
      <c r="X48" s="14" t="str">
        <f>IF(AND(S48=1,I48="Да"),COUNTIFS($S$7:$S$106,1,$I$7:$I$106,"Да",$Y$7:$Y$106,"&lt;"&amp;Y48)+COUNTIFS($S$7:S48,1,$I$7:I48,"Да",$Y$7:Y48,Y48),"")</f>
        <v/>
      </c>
      <c r="Y48" s="14" t="str">
        <f t="shared" si="5"/>
        <v/>
      </c>
    </row>
    <row r="49" spans="1:25" ht="25" customHeight="1">
      <c r="A49" s="5"/>
      <c r="B49" s="5"/>
      <c r="C49" s="5"/>
      <c r="D49" s="5"/>
      <c r="E49" s="5"/>
      <c r="F49" s="7"/>
      <c r="G49" s="5"/>
      <c r="H49" s="5"/>
      <c r="I49" s="5"/>
      <c r="J49" s="5"/>
      <c r="K49" s="5"/>
      <c r="L49" s="6" t="str">
        <f>IF(A49="","",IFERROR(INDEX(Реестр!$D$7:$D$106,MATCH(B49,Реестр!$A$7:$A$106,0)),"Нет связи"))</f>
        <v/>
      </c>
      <c r="M49" s="6" t="str">
        <f>IF(A49="","",IFERROR(INDEX(Реестр!$E$7:$E$106,MATCH(B49,Реестр!$A$7:$A$106,0)),"Нет связи"))</f>
        <v/>
      </c>
      <c r="N49" s="6">
        <f>IF(AND(A49&lt;&gt;"",H49&lt;&gt;"Закрыто",L49&lt;&gt;"Нет связи"),IF(INDEX(Реестр!$V$7:$V$106,MATCH(B49,Реестр!$A$7:$A$106,0))="Закрыто",0,1),0)</f>
        <v>0</v>
      </c>
      <c r="O49" s="12">
        <f>IF(N49=0,0,IF(F49="","Нет срока",MAX(0,(Продажи!$D$4-F49)*24)))</f>
        <v>0</v>
      </c>
      <c r="P49" s="6">
        <f>IF(AND(N49=1,ISNUMBER(F49),F49&lt;=Продажи!$D$4+2,OR(G49="Подача",G49="Дозапрос",G49="Обеспечение",G49="Обязательство клиенту")),1,0)</f>
        <v>0</v>
      </c>
      <c r="Q49" s="6">
        <f t="shared" si="3"/>
        <v>0</v>
      </c>
      <c r="R49" s="6">
        <f t="shared" si="4"/>
        <v>0</v>
      </c>
      <c r="S49" s="6">
        <f>IF(AND(N49=1,OR(Продажи!$I$4="Все",L49=Продажи!$I$4),OR(Продажи!$O$4="Все",M49=Продажи!$O$4)),1,0)</f>
        <v>0</v>
      </c>
      <c r="T49" s="6">
        <f>IF(S49=0,0,IF(P49=1,1,IF(AND(ISNUMBER(O49),O49&gt;0),2,IF(AND(ISNUMBER(F49),INT(F49)=INT(Продажи!$D$4)),3,IF(OR(I49="Да",F49=""),4,0)))))</f>
        <v>0</v>
      </c>
      <c r="U49" s="6" t="str">
        <f>IF(T49=0,"",COUNTIFS($T$7:$T$106,"&gt;0",$T$7:$T$106,"&lt;"&amp;T49)+COUNTIFS($T$7:$T$106,T49,$Y$7:$Y$106,"&lt;"&amp;Y49)+COUNTIFS($T$7:T49,T49,$Y$7:Y49,Y49))</f>
        <v/>
      </c>
      <c r="V49" s="6" t="str">
        <f>IF(A49="","",IFERROR(INDEX(Реестр!$W$7:$W$106,MATCH(B49,Реестр!$A$7:$A$106,0)),"Нет связи"))</f>
        <v/>
      </c>
      <c r="W49" s="6" t="str">
        <f>IF(A49="","",IFERROR(INDEX(Реестр!$C$7:$C$106,MATCH(B49,Реестр!$A$7:$A$106,0)),"Нет связи"))</f>
        <v/>
      </c>
      <c r="X49" s="14" t="str">
        <f>IF(AND(S49=1,I49="Да"),COUNTIFS($S$7:$S$106,1,$I$7:$I$106,"Да",$Y$7:$Y$106,"&lt;"&amp;Y49)+COUNTIFS($S$7:S49,1,$I$7:I49,"Да",$Y$7:Y49,Y49),"")</f>
        <v/>
      </c>
      <c r="Y49" s="14" t="str">
        <f t="shared" si="5"/>
        <v/>
      </c>
    </row>
    <row r="50" spans="1:25" ht="25" customHeight="1">
      <c r="A50" s="5"/>
      <c r="B50" s="5"/>
      <c r="C50" s="5"/>
      <c r="D50" s="5"/>
      <c r="E50" s="5"/>
      <c r="F50" s="7"/>
      <c r="G50" s="5"/>
      <c r="H50" s="5"/>
      <c r="I50" s="5"/>
      <c r="J50" s="5"/>
      <c r="K50" s="5"/>
      <c r="L50" s="6" t="str">
        <f>IF(A50="","",IFERROR(INDEX(Реестр!$D$7:$D$106,MATCH(B50,Реестр!$A$7:$A$106,0)),"Нет связи"))</f>
        <v/>
      </c>
      <c r="M50" s="6" t="str">
        <f>IF(A50="","",IFERROR(INDEX(Реестр!$E$7:$E$106,MATCH(B50,Реестр!$A$7:$A$106,0)),"Нет связи"))</f>
        <v/>
      </c>
      <c r="N50" s="6">
        <f>IF(AND(A50&lt;&gt;"",H50&lt;&gt;"Закрыто",L50&lt;&gt;"Нет связи"),IF(INDEX(Реестр!$V$7:$V$106,MATCH(B50,Реестр!$A$7:$A$106,0))="Закрыто",0,1),0)</f>
        <v>0</v>
      </c>
      <c r="O50" s="12">
        <f>IF(N50=0,0,IF(F50="","Нет срока",MAX(0,(Продажи!$D$4-F50)*24)))</f>
        <v>0</v>
      </c>
      <c r="P50" s="6">
        <f>IF(AND(N50=1,ISNUMBER(F50),F50&lt;=Продажи!$D$4+2,OR(G50="Подача",G50="Дозапрос",G50="Обеспечение",G50="Обязательство клиенту")),1,0)</f>
        <v>0</v>
      </c>
      <c r="Q50" s="6">
        <f t="shared" si="3"/>
        <v>0</v>
      </c>
      <c r="R50" s="6">
        <f t="shared" si="4"/>
        <v>0</v>
      </c>
      <c r="S50" s="6">
        <f>IF(AND(N50=1,OR(Продажи!$I$4="Все",L50=Продажи!$I$4),OR(Продажи!$O$4="Все",M50=Продажи!$O$4)),1,0)</f>
        <v>0</v>
      </c>
      <c r="T50" s="6">
        <f>IF(S50=0,0,IF(P50=1,1,IF(AND(ISNUMBER(O50),O50&gt;0),2,IF(AND(ISNUMBER(F50),INT(F50)=INT(Продажи!$D$4)),3,IF(OR(I50="Да",F50=""),4,0)))))</f>
        <v>0</v>
      </c>
      <c r="U50" s="6" t="str">
        <f>IF(T50=0,"",COUNTIFS($T$7:$T$106,"&gt;0",$T$7:$T$106,"&lt;"&amp;T50)+COUNTIFS($T$7:$T$106,T50,$Y$7:$Y$106,"&lt;"&amp;Y50)+COUNTIFS($T$7:T50,T50,$Y$7:Y50,Y50))</f>
        <v/>
      </c>
      <c r="V50" s="6" t="str">
        <f>IF(A50="","",IFERROR(INDEX(Реестр!$W$7:$W$106,MATCH(B50,Реестр!$A$7:$A$106,0)),"Нет связи"))</f>
        <v/>
      </c>
      <c r="W50" s="6" t="str">
        <f>IF(A50="","",IFERROR(INDEX(Реестр!$C$7:$C$106,MATCH(B50,Реестр!$A$7:$A$106,0)),"Нет связи"))</f>
        <v/>
      </c>
      <c r="X50" s="14" t="str">
        <f>IF(AND(S50=1,I50="Да"),COUNTIFS($S$7:$S$106,1,$I$7:$I$106,"Да",$Y$7:$Y$106,"&lt;"&amp;Y50)+COUNTIFS($S$7:S50,1,$I$7:I50,"Да",$Y$7:Y50,Y50),"")</f>
        <v/>
      </c>
      <c r="Y50" s="14" t="str">
        <f t="shared" si="5"/>
        <v/>
      </c>
    </row>
    <row r="51" spans="1:25" ht="25" customHeight="1">
      <c r="A51" s="5"/>
      <c r="B51" s="5"/>
      <c r="C51" s="5"/>
      <c r="D51" s="5"/>
      <c r="E51" s="5"/>
      <c r="F51" s="7"/>
      <c r="G51" s="5"/>
      <c r="H51" s="5"/>
      <c r="I51" s="5"/>
      <c r="J51" s="5"/>
      <c r="K51" s="5"/>
      <c r="L51" s="6" t="str">
        <f>IF(A51="","",IFERROR(INDEX(Реестр!$D$7:$D$106,MATCH(B51,Реестр!$A$7:$A$106,0)),"Нет связи"))</f>
        <v/>
      </c>
      <c r="M51" s="6" t="str">
        <f>IF(A51="","",IFERROR(INDEX(Реестр!$E$7:$E$106,MATCH(B51,Реестр!$A$7:$A$106,0)),"Нет связи"))</f>
        <v/>
      </c>
      <c r="N51" s="6">
        <f>IF(AND(A51&lt;&gt;"",H51&lt;&gt;"Закрыто",L51&lt;&gt;"Нет связи"),IF(INDEX(Реестр!$V$7:$V$106,MATCH(B51,Реестр!$A$7:$A$106,0))="Закрыто",0,1),0)</f>
        <v>0</v>
      </c>
      <c r="O51" s="12">
        <f>IF(N51=0,0,IF(F51="","Нет срока",MAX(0,(Продажи!$D$4-F51)*24)))</f>
        <v>0</v>
      </c>
      <c r="P51" s="6">
        <f>IF(AND(N51=1,ISNUMBER(F51),F51&lt;=Продажи!$D$4+2,OR(G51="Подача",G51="Дозапрос",G51="Обеспечение",G51="Обязательство клиенту")),1,0)</f>
        <v>0</v>
      </c>
      <c r="Q51" s="6">
        <f t="shared" si="3"/>
        <v>0</v>
      </c>
      <c r="R51" s="6">
        <f t="shared" si="4"/>
        <v>0</v>
      </c>
      <c r="S51" s="6">
        <f>IF(AND(N51=1,OR(Продажи!$I$4="Все",L51=Продажи!$I$4),OR(Продажи!$O$4="Все",M51=Продажи!$O$4)),1,0)</f>
        <v>0</v>
      </c>
      <c r="T51" s="6">
        <f>IF(S51=0,0,IF(P51=1,1,IF(AND(ISNUMBER(O51),O51&gt;0),2,IF(AND(ISNUMBER(F51),INT(F51)=INT(Продажи!$D$4)),3,IF(OR(I51="Да",F51=""),4,0)))))</f>
        <v>0</v>
      </c>
      <c r="U51" s="6" t="str">
        <f>IF(T51=0,"",COUNTIFS($T$7:$T$106,"&gt;0",$T$7:$T$106,"&lt;"&amp;T51)+COUNTIFS($T$7:$T$106,T51,$Y$7:$Y$106,"&lt;"&amp;Y51)+COUNTIFS($T$7:T51,T51,$Y$7:Y51,Y51))</f>
        <v/>
      </c>
      <c r="V51" s="6" t="str">
        <f>IF(A51="","",IFERROR(INDEX(Реестр!$W$7:$W$106,MATCH(B51,Реестр!$A$7:$A$106,0)),"Нет связи"))</f>
        <v/>
      </c>
      <c r="W51" s="6" t="str">
        <f>IF(A51="","",IFERROR(INDEX(Реестр!$C$7:$C$106,MATCH(B51,Реестр!$A$7:$A$106,0)),"Нет связи"))</f>
        <v/>
      </c>
      <c r="X51" s="14" t="str">
        <f>IF(AND(S51=1,I51="Да"),COUNTIFS($S$7:$S$106,1,$I$7:$I$106,"Да",$Y$7:$Y$106,"&lt;"&amp;Y51)+COUNTIFS($S$7:S51,1,$I$7:I51,"Да",$Y$7:Y51,Y51),"")</f>
        <v/>
      </c>
      <c r="Y51" s="14" t="str">
        <f t="shared" si="5"/>
        <v/>
      </c>
    </row>
    <row r="52" spans="1:25" ht="25" customHeight="1">
      <c r="A52" s="5"/>
      <c r="B52" s="5"/>
      <c r="C52" s="5"/>
      <c r="D52" s="5"/>
      <c r="E52" s="5"/>
      <c r="F52" s="7"/>
      <c r="G52" s="5"/>
      <c r="H52" s="5"/>
      <c r="I52" s="5"/>
      <c r="J52" s="5"/>
      <c r="K52" s="5"/>
      <c r="L52" s="6" t="str">
        <f>IF(A52="","",IFERROR(INDEX(Реестр!$D$7:$D$106,MATCH(B52,Реестр!$A$7:$A$106,0)),"Нет связи"))</f>
        <v/>
      </c>
      <c r="M52" s="6" t="str">
        <f>IF(A52="","",IFERROR(INDEX(Реестр!$E$7:$E$106,MATCH(B52,Реестр!$A$7:$A$106,0)),"Нет связи"))</f>
        <v/>
      </c>
      <c r="N52" s="6">
        <f>IF(AND(A52&lt;&gt;"",H52&lt;&gt;"Закрыто",L52&lt;&gt;"Нет связи"),IF(INDEX(Реестр!$V$7:$V$106,MATCH(B52,Реестр!$A$7:$A$106,0))="Закрыто",0,1),0)</f>
        <v>0</v>
      </c>
      <c r="O52" s="12">
        <f>IF(N52=0,0,IF(F52="","Нет срока",MAX(0,(Продажи!$D$4-F52)*24)))</f>
        <v>0</v>
      </c>
      <c r="P52" s="6">
        <f>IF(AND(N52=1,ISNUMBER(F52),F52&lt;=Продажи!$D$4+2,OR(G52="Подача",G52="Дозапрос",G52="Обеспечение",G52="Обязательство клиенту")),1,0)</f>
        <v>0</v>
      </c>
      <c r="Q52" s="6">
        <f t="shared" si="3"/>
        <v>0</v>
      </c>
      <c r="R52" s="6">
        <f t="shared" si="4"/>
        <v>0</v>
      </c>
      <c r="S52" s="6">
        <f>IF(AND(N52=1,OR(Продажи!$I$4="Все",L52=Продажи!$I$4),OR(Продажи!$O$4="Все",M52=Продажи!$O$4)),1,0)</f>
        <v>0</v>
      </c>
      <c r="T52" s="6">
        <f>IF(S52=0,0,IF(P52=1,1,IF(AND(ISNUMBER(O52),O52&gt;0),2,IF(AND(ISNUMBER(F52),INT(F52)=INT(Продажи!$D$4)),3,IF(OR(I52="Да",F52=""),4,0)))))</f>
        <v>0</v>
      </c>
      <c r="U52" s="6" t="str">
        <f>IF(T52=0,"",COUNTIFS($T$7:$T$106,"&gt;0",$T$7:$T$106,"&lt;"&amp;T52)+COUNTIFS($T$7:$T$106,T52,$Y$7:$Y$106,"&lt;"&amp;Y52)+COUNTIFS($T$7:T52,T52,$Y$7:Y52,Y52))</f>
        <v/>
      </c>
      <c r="V52" s="6" t="str">
        <f>IF(A52="","",IFERROR(INDEX(Реестр!$W$7:$W$106,MATCH(B52,Реестр!$A$7:$A$106,0)),"Нет связи"))</f>
        <v/>
      </c>
      <c r="W52" s="6" t="str">
        <f>IF(A52="","",IFERROR(INDEX(Реестр!$C$7:$C$106,MATCH(B52,Реестр!$A$7:$A$106,0)),"Нет связи"))</f>
        <v/>
      </c>
      <c r="X52" s="14" t="str">
        <f>IF(AND(S52=1,I52="Да"),COUNTIFS($S$7:$S$106,1,$I$7:$I$106,"Да",$Y$7:$Y$106,"&lt;"&amp;Y52)+COUNTIFS($S$7:S52,1,$I$7:I52,"Да",$Y$7:Y52,Y52),"")</f>
        <v/>
      </c>
      <c r="Y52" s="14" t="str">
        <f t="shared" si="5"/>
        <v/>
      </c>
    </row>
    <row r="53" spans="1:25" ht="25" customHeight="1">
      <c r="A53" s="5"/>
      <c r="B53" s="5"/>
      <c r="C53" s="5"/>
      <c r="D53" s="5"/>
      <c r="E53" s="5"/>
      <c r="F53" s="7"/>
      <c r="G53" s="5"/>
      <c r="H53" s="5"/>
      <c r="I53" s="5"/>
      <c r="J53" s="5"/>
      <c r="K53" s="5"/>
      <c r="L53" s="6" t="str">
        <f>IF(A53="","",IFERROR(INDEX(Реестр!$D$7:$D$106,MATCH(B53,Реестр!$A$7:$A$106,0)),"Нет связи"))</f>
        <v/>
      </c>
      <c r="M53" s="6" t="str">
        <f>IF(A53="","",IFERROR(INDEX(Реестр!$E$7:$E$106,MATCH(B53,Реестр!$A$7:$A$106,0)),"Нет связи"))</f>
        <v/>
      </c>
      <c r="N53" s="6">
        <f>IF(AND(A53&lt;&gt;"",H53&lt;&gt;"Закрыто",L53&lt;&gt;"Нет связи"),IF(INDEX(Реестр!$V$7:$V$106,MATCH(B53,Реестр!$A$7:$A$106,0))="Закрыто",0,1),0)</f>
        <v>0</v>
      </c>
      <c r="O53" s="12">
        <f>IF(N53=0,0,IF(F53="","Нет срока",MAX(0,(Продажи!$D$4-F53)*24)))</f>
        <v>0</v>
      </c>
      <c r="P53" s="6">
        <f>IF(AND(N53=1,ISNUMBER(F53),F53&lt;=Продажи!$D$4+2,OR(G53="Подача",G53="Дозапрос",G53="Обеспечение",G53="Обязательство клиенту")),1,0)</f>
        <v>0</v>
      </c>
      <c r="Q53" s="6">
        <f t="shared" si="3"/>
        <v>0</v>
      </c>
      <c r="R53" s="6">
        <f t="shared" si="4"/>
        <v>0</v>
      </c>
      <c r="S53" s="6">
        <f>IF(AND(N53=1,OR(Продажи!$I$4="Все",L53=Продажи!$I$4),OR(Продажи!$O$4="Все",M53=Продажи!$O$4)),1,0)</f>
        <v>0</v>
      </c>
      <c r="T53" s="6">
        <f>IF(S53=0,0,IF(P53=1,1,IF(AND(ISNUMBER(O53),O53&gt;0),2,IF(AND(ISNUMBER(F53),INT(F53)=INT(Продажи!$D$4)),3,IF(OR(I53="Да",F53=""),4,0)))))</f>
        <v>0</v>
      </c>
      <c r="U53" s="6" t="str">
        <f>IF(T53=0,"",COUNTIFS($T$7:$T$106,"&gt;0",$T$7:$T$106,"&lt;"&amp;T53)+COUNTIFS($T$7:$T$106,T53,$Y$7:$Y$106,"&lt;"&amp;Y53)+COUNTIFS($T$7:T53,T53,$Y$7:Y53,Y53))</f>
        <v/>
      </c>
      <c r="V53" s="6" t="str">
        <f>IF(A53="","",IFERROR(INDEX(Реестр!$W$7:$W$106,MATCH(B53,Реестр!$A$7:$A$106,0)),"Нет связи"))</f>
        <v/>
      </c>
      <c r="W53" s="6" t="str">
        <f>IF(A53="","",IFERROR(INDEX(Реестр!$C$7:$C$106,MATCH(B53,Реестр!$A$7:$A$106,0)),"Нет связи"))</f>
        <v/>
      </c>
      <c r="X53" s="14" t="str">
        <f>IF(AND(S53=1,I53="Да"),COUNTIFS($S$7:$S$106,1,$I$7:$I$106,"Да",$Y$7:$Y$106,"&lt;"&amp;Y53)+COUNTIFS($S$7:S53,1,$I$7:I53,"Да",$Y$7:Y53,Y53),"")</f>
        <v/>
      </c>
      <c r="Y53" s="14" t="str">
        <f t="shared" si="5"/>
        <v/>
      </c>
    </row>
    <row r="54" spans="1:25" ht="25" customHeight="1">
      <c r="A54" s="5"/>
      <c r="B54" s="5"/>
      <c r="C54" s="5"/>
      <c r="D54" s="5"/>
      <c r="E54" s="5"/>
      <c r="F54" s="7"/>
      <c r="G54" s="5"/>
      <c r="H54" s="5"/>
      <c r="I54" s="5"/>
      <c r="J54" s="5"/>
      <c r="K54" s="5"/>
      <c r="L54" s="6" t="str">
        <f>IF(A54="","",IFERROR(INDEX(Реестр!$D$7:$D$106,MATCH(B54,Реестр!$A$7:$A$106,0)),"Нет связи"))</f>
        <v/>
      </c>
      <c r="M54" s="6" t="str">
        <f>IF(A54="","",IFERROR(INDEX(Реестр!$E$7:$E$106,MATCH(B54,Реестр!$A$7:$A$106,0)),"Нет связи"))</f>
        <v/>
      </c>
      <c r="N54" s="6">
        <f>IF(AND(A54&lt;&gt;"",H54&lt;&gt;"Закрыто",L54&lt;&gt;"Нет связи"),IF(INDEX(Реестр!$V$7:$V$106,MATCH(B54,Реестр!$A$7:$A$106,0))="Закрыто",0,1),0)</f>
        <v>0</v>
      </c>
      <c r="O54" s="12">
        <f>IF(N54=0,0,IF(F54="","Нет срока",MAX(0,(Продажи!$D$4-F54)*24)))</f>
        <v>0</v>
      </c>
      <c r="P54" s="6">
        <f>IF(AND(N54=1,ISNUMBER(F54),F54&lt;=Продажи!$D$4+2,OR(G54="Подача",G54="Дозапрос",G54="Обеспечение",G54="Обязательство клиенту")),1,0)</f>
        <v>0</v>
      </c>
      <c r="Q54" s="6">
        <f t="shared" si="3"/>
        <v>0</v>
      </c>
      <c r="R54" s="6">
        <f t="shared" si="4"/>
        <v>0</v>
      </c>
      <c r="S54" s="6">
        <f>IF(AND(N54=1,OR(Продажи!$I$4="Все",L54=Продажи!$I$4),OR(Продажи!$O$4="Все",M54=Продажи!$O$4)),1,0)</f>
        <v>0</v>
      </c>
      <c r="T54" s="6">
        <f>IF(S54=0,0,IF(P54=1,1,IF(AND(ISNUMBER(O54),O54&gt;0),2,IF(AND(ISNUMBER(F54),INT(F54)=INT(Продажи!$D$4)),3,IF(OR(I54="Да",F54=""),4,0)))))</f>
        <v>0</v>
      </c>
      <c r="U54" s="6" t="str">
        <f>IF(T54=0,"",COUNTIFS($T$7:$T$106,"&gt;0",$T$7:$T$106,"&lt;"&amp;T54)+COUNTIFS($T$7:$T$106,T54,$Y$7:$Y$106,"&lt;"&amp;Y54)+COUNTIFS($T$7:T54,T54,$Y$7:Y54,Y54))</f>
        <v/>
      </c>
      <c r="V54" s="6" t="str">
        <f>IF(A54="","",IFERROR(INDEX(Реестр!$W$7:$W$106,MATCH(B54,Реестр!$A$7:$A$106,0)),"Нет связи"))</f>
        <v/>
      </c>
      <c r="W54" s="6" t="str">
        <f>IF(A54="","",IFERROR(INDEX(Реестр!$C$7:$C$106,MATCH(B54,Реестр!$A$7:$A$106,0)),"Нет связи"))</f>
        <v/>
      </c>
      <c r="X54" s="14" t="str">
        <f>IF(AND(S54=1,I54="Да"),COUNTIFS($S$7:$S$106,1,$I$7:$I$106,"Да",$Y$7:$Y$106,"&lt;"&amp;Y54)+COUNTIFS($S$7:S54,1,$I$7:I54,"Да",$Y$7:Y54,Y54),"")</f>
        <v/>
      </c>
      <c r="Y54" s="14" t="str">
        <f t="shared" si="5"/>
        <v/>
      </c>
    </row>
    <row r="55" spans="1:25" ht="25" customHeight="1">
      <c r="A55" s="5"/>
      <c r="B55" s="5"/>
      <c r="C55" s="5"/>
      <c r="D55" s="5"/>
      <c r="E55" s="5"/>
      <c r="F55" s="7"/>
      <c r="G55" s="5"/>
      <c r="H55" s="5"/>
      <c r="I55" s="5"/>
      <c r="J55" s="5"/>
      <c r="K55" s="5"/>
      <c r="L55" s="6" t="str">
        <f>IF(A55="","",IFERROR(INDEX(Реестр!$D$7:$D$106,MATCH(B55,Реестр!$A$7:$A$106,0)),"Нет связи"))</f>
        <v/>
      </c>
      <c r="M55" s="6" t="str">
        <f>IF(A55="","",IFERROR(INDEX(Реестр!$E$7:$E$106,MATCH(B55,Реестр!$A$7:$A$106,0)),"Нет связи"))</f>
        <v/>
      </c>
      <c r="N55" s="6">
        <f>IF(AND(A55&lt;&gt;"",H55&lt;&gt;"Закрыто",L55&lt;&gt;"Нет связи"),IF(INDEX(Реестр!$V$7:$V$106,MATCH(B55,Реестр!$A$7:$A$106,0))="Закрыто",0,1),0)</f>
        <v>0</v>
      </c>
      <c r="O55" s="12">
        <f>IF(N55=0,0,IF(F55="","Нет срока",MAX(0,(Продажи!$D$4-F55)*24)))</f>
        <v>0</v>
      </c>
      <c r="P55" s="6">
        <f>IF(AND(N55=1,ISNUMBER(F55),F55&lt;=Продажи!$D$4+2,OR(G55="Подача",G55="Дозапрос",G55="Обеспечение",G55="Обязательство клиенту")),1,0)</f>
        <v>0</v>
      </c>
      <c r="Q55" s="6">
        <f t="shared" si="3"/>
        <v>0</v>
      </c>
      <c r="R55" s="6">
        <f t="shared" si="4"/>
        <v>0</v>
      </c>
      <c r="S55" s="6">
        <f>IF(AND(N55=1,OR(Продажи!$I$4="Все",L55=Продажи!$I$4),OR(Продажи!$O$4="Все",M55=Продажи!$O$4)),1,0)</f>
        <v>0</v>
      </c>
      <c r="T55" s="6">
        <f>IF(S55=0,0,IF(P55=1,1,IF(AND(ISNUMBER(O55),O55&gt;0),2,IF(AND(ISNUMBER(F55),INT(F55)=INT(Продажи!$D$4)),3,IF(OR(I55="Да",F55=""),4,0)))))</f>
        <v>0</v>
      </c>
      <c r="U55" s="6" t="str">
        <f>IF(T55=0,"",COUNTIFS($T$7:$T$106,"&gt;0",$T$7:$T$106,"&lt;"&amp;T55)+COUNTIFS($T$7:$T$106,T55,$Y$7:$Y$106,"&lt;"&amp;Y55)+COUNTIFS($T$7:T55,T55,$Y$7:Y55,Y55))</f>
        <v/>
      </c>
      <c r="V55" s="6" t="str">
        <f>IF(A55="","",IFERROR(INDEX(Реестр!$W$7:$W$106,MATCH(B55,Реестр!$A$7:$A$106,0)),"Нет связи"))</f>
        <v/>
      </c>
      <c r="W55" s="6" t="str">
        <f>IF(A55="","",IFERROR(INDEX(Реестр!$C$7:$C$106,MATCH(B55,Реестр!$A$7:$A$106,0)),"Нет связи"))</f>
        <v/>
      </c>
      <c r="X55" s="14" t="str">
        <f>IF(AND(S55=1,I55="Да"),COUNTIFS($S$7:$S$106,1,$I$7:$I$106,"Да",$Y$7:$Y$106,"&lt;"&amp;Y55)+COUNTIFS($S$7:S55,1,$I$7:I55,"Да",$Y$7:Y55,Y55),"")</f>
        <v/>
      </c>
      <c r="Y55" s="14" t="str">
        <f t="shared" si="5"/>
        <v/>
      </c>
    </row>
    <row r="56" spans="1:25" ht="25" customHeight="1">
      <c r="A56" s="5"/>
      <c r="B56" s="5"/>
      <c r="C56" s="5"/>
      <c r="D56" s="5"/>
      <c r="E56" s="5"/>
      <c r="F56" s="7"/>
      <c r="G56" s="5"/>
      <c r="H56" s="5"/>
      <c r="I56" s="5"/>
      <c r="J56" s="5"/>
      <c r="K56" s="5"/>
      <c r="L56" s="6" t="str">
        <f>IF(A56="","",IFERROR(INDEX(Реестр!$D$7:$D$106,MATCH(B56,Реестр!$A$7:$A$106,0)),"Нет связи"))</f>
        <v/>
      </c>
      <c r="M56" s="6" t="str">
        <f>IF(A56="","",IFERROR(INDEX(Реестр!$E$7:$E$106,MATCH(B56,Реестр!$A$7:$A$106,0)),"Нет связи"))</f>
        <v/>
      </c>
      <c r="N56" s="6">
        <f>IF(AND(A56&lt;&gt;"",H56&lt;&gt;"Закрыто",L56&lt;&gt;"Нет связи"),IF(INDEX(Реестр!$V$7:$V$106,MATCH(B56,Реестр!$A$7:$A$106,0))="Закрыто",0,1),0)</f>
        <v>0</v>
      </c>
      <c r="O56" s="12">
        <f>IF(N56=0,0,IF(F56="","Нет срока",MAX(0,(Продажи!$D$4-F56)*24)))</f>
        <v>0</v>
      </c>
      <c r="P56" s="6">
        <f>IF(AND(N56=1,ISNUMBER(F56),F56&lt;=Продажи!$D$4+2,OR(G56="Подача",G56="Дозапрос",G56="Обеспечение",G56="Обязательство клиенту")),1,0)</f>
        <v>0</v>
      </c>
      <c r="Q56" s="6">
        <f t="shared" si="3"/>
        <v>0</v>
      </c>
      <c r="R56" s="6">
        <f t="shared" si="4"/>
        <v>0</v>
      </c>
      <c r="S56" s="6">
        <f>IF(AND(N56=1,OR(Продажи!$I$4="Все",L56=Продажи!$I$4),OR(Продажи!$O$4="Все",M56=Продажи!$O$4)),1,0)</f>
        <v>0</v>
      </c>
      <c r="T56" s="6">
        <f>IF(S56=0,0,IF(P56=1,1,IF(AND(ISNUMBER(O56),O56&gt;0),2,IF(AND(ISNUMBER(F56),INT(F56)=INT(Продажи!$D$4)),3,IF(OR(I56="Да",F56=""),4,0)))))</f>
        <v>0</v>
      </c>
      <c r="U56" s="6" t="str">
        <f>IF(T56=0,"",COUNTIFS($T$7:$T$106,"&gt;0",$T$7:$T$106,"&lt;"&amp;T56)+COUNTIFS($T$7:$T$106,T56,$Y$7:$Y$106,"&lt;"&amp;Y56)+COUNTIFS($T$7:T56,T56,$Y$7:Y56,Y56))</f>
        <v/>
      </c>
      <c r="V56" s="6" t="str">
        <f>IF(A56="","",IFERROR(INDEX(Реестр!$W$7:$W$106,MATCH(B56,Реестр!$A$7:$A$106,0)),"Нет связи"))</f>
        <v/>
      </c>
      <c r="W56" s="6" t="str">
        <f>IF(A56="","",IFERROR(INDEX(Реестр!$C$7:$C$106,MATCH(B56,Реестр!$A$7:$A$106,0)),"Нет связи"))</f>
        <v/>
      </c>
      <c r="X56" s="14" t="str">
        <f>IF(AND(S56=1,I56="Да"),COUNTIFS($S$7:$S$106,1,$I$7:$I$106,"Да",$Y$7:$Y$106,"&lt;"&amp;Y56)+COUNTIFS($S$7:S56,1,$I$7:I56,"Да",$Y$7:Y56,Y56),"")</f>
        <v/>
      </c>
      <c r="Y56" s="14" t="str">
        <f t="shared" si="5"/>
        <v/>
      </c>
    </row>
    <row r="57" spans="1:25" ht="25" customHeight="1">
      <c r="A57" s="5"/>
      <c r="B57" s="5"/>
      <c r="C57" s="5"/>
      <c r="D57" s="5"/>
      <c r="E57" s="5"/>
      <c r="F57" s="7"/>
      <c r="G57" s="5"/>
      <c r="H57" s="5"/>
      <c r="I57" s="5"/>
      <c r="J57" s="5"/>
      <c r="K57" s="5"/>
      <c r="L57" s="6" t="str">
        <f>IF(A57="","",IFERROR(INDEX(Реестр!$D$7:$D$106,MATCH(B57,Реестр!$A$7:$A$106,0)),"Нет связи"))</f>
        <v/>
      </c>
      <c r="M57" s="6" t="str">
        <f>IF(A57="","",IFERROR(INDEX(Реестр!$E$7:$E$106,MATCH(B57,Реестр!$A$7:$A$106,0)),"Нет связи"))</f>
        <v/>
      </c>
      <c r="N57" s="6">
        <f>IF(AND(A57&lt;&gt;"",H57&lt;&gt;"Закрыто",L57&lt;&gt;"Нет связи"),IF(INDEX(Реестр!$V$7:$V$106,MATCH(B57,Реестр!$A$7:$A$106,0))="Закрыто",0,1),0)</f>
        <v>0</v>
      </c>
      <c r="O57" s="12">
        <f>IF(N57=0,0,IF(F57="","Нет срока",MAX(0,(Продажи!$D$4-F57)*24)))</f>
        <v>0</v>
      </c>
      <c r="P57" s="6">
        <f>IF(AND(N57=1,ISNUMBER(F57),F57&lt;=Продажи!$D$4+2,OR(G57="Подача",G57="Дозапрос",G57="Обеспечение",G57="Обязательство клиенту")),1,0)</f>
        <v>0</v>
      </c>
      <c r="Q57" s="6">
        <f t="shared" si="3"/>
        <v>0</v>
      </c>
      <c r="R57" s="6">
        <f t="shared" si="4"/>
        <v>0</v>
      </c>
      <c r="S57" s="6">
        <f>IF(AND(N57=1,OR(Продажи!$I$4="Все",L57=Продажи!$I$4),OR(Продажи!$O$4="Все",M57=Продажи!$O$4)),1,0)</f>
        <v>0</v>
      </c>
      <c r="T57" s="6">
        <f>IF(S57=0,0,IF(P57=1,1,IF(AND(ISNUMBER(O57),O57&gt;0),2,IF(AND(ISNUMBER(F57),INT(F57)=INT(Продажи!$D$4)),3,IF(OR(I57="Да",F57=""),4,0)))))</f>
        <v>0</v>
      </c>
      <c r="U57" s="6" t="str">
        <f>IF(T57=0,"",COUNTIFS($T$7:$T$106,"&gt;0",$T$7:$T$106,"&lt;"&amp;T57)+COUNTIFS($T$7:$T$106,T57,$Y$7:$Y$106,"&lt;"&amp;Y57)+COUNTIFS($T$7:T57,T57,$Y$7:Y57,Y57))</f>
        <v/>
      </c>
      <c r="V57" s="6" t="str">
        <f>IF(A57="","",IFERROR(INDEX(Реестр!$W$7:$W$106,MATCH(B57,Реестр!$A$7:$A$106,0)),"Нет связи"))</f>
        <v/>
      </c>
      <c r="W57" s="6" t="str">
        <f>IF(A57="","",IFERROR(INDEX(Реестр!$C$7:$C$106,MATCH(B57,Реестр!$A$7:$A$106,0)),"Нет связи"))</f>
        <v/>
      </c>
      <c r="X57" s="14" t="str">
        <f>IF(AND(S57=1,I57="Да"),COUNTIFS($S$7:$S$106,1,$I$7:$I$106,"Да",$Y$7:$Y$106,"&lt;"&amp;Y57)+COUNTIFS($S$7:S57,1,$I$7:I57,"Да",$Y$7:Y57,Y57),"")</f>
        <v/>
      </c>
      <c r="Y57" s="14" t="str">
        <f t="shared" si="5"/>
        <v/>
      </c>
    </row>
    <row r="58" spans="1:25" ht="25" customHeight="1">
      <c r="A58" s="5"/>
      <c r="B58" s="5"/>
      <c r="C58" s="5"/>
      <c r="D58" s="5"/>
      <c r="E58" s="5"/>
      <c r="F58" s="7"/>
      <c r="G58" s="5"/>
      <c r="H58" s="5"/>
      <c r="I58" s="5"/>
      <c r="J58" s="5"/>
      <c r="K58" s="5"/>
      <c r="L58" s="6" t="str">
        <f>IF(A58="","",IFERROR(INDEX(Реестр!$D$7:$D$106,MATCH(B58,Реестр!$A$7:$A$106,0)),"Нет связи"))</f>
        <v/>
      </c>
      <c r="M58" s="6" t="str">
        <f>IF(A58="","",IFERROR(INDEX(Реестр!$E$7:$E$106,MATCH(B58,Реестр!$A$7:$A$106,0)),"Нет связи"))</f>
        <v/>
      </c>
      <c r="N58" s="6">
        <f>IF(AND(A58&lt;&gt;"",H58&lt;&gt;"Закрыто",L58&lt;&gt;"Нет связи"),IF(INDEX(Реестр!$V$7:$V$106,MATCH(B58,Реестр!$A$7:$A$106,0))="Закрыто",0,1),0)</f>
        <v>0</v>
      </c>
      <c r="O58" s="12">
        <f>IF(N58=0,0,IF(F58="","Нет срока",MAX(0,(Продажи!$D$4-F58)*24)))</f>
        <v>0</v>
      </c>
      <c r="P58" s="6">
        <f>IF(AND(N58=1,ISNUMBER(F58),F58&lt;=Продажи!$D$4+2,OR(G58="Подача",G58="Дозапрос",G58="Обеспечение",G58="Обязательство клиенту")),1,0)</f>
        <v>0</v>
      </c>
      <c r="Q58" s="6">
        <f t="shared" si="3"/>
        <v>0</v>
      </c>
      <c r="R58" s="6">
        <f t="shared" si="4"/>
        <v>0</v>
      </c>
      <c r="S58" s="6">
        <f>IF(AND(N58=1,OR(Продажи!$I$4="Все",L58=Продажи!$I$4),OR(Продажи!$O$4="Все",M58=Продажи!$O$4)),1,0)</f>
        <v>0</v>
      </c>
      <c r="T58" s="6">
        <f>IF(S58=0,0,IF(P58=1,1,IF(AND(ISNUMBER(O58),O58&gt;0),2,IF(AND(ISNUMBER(F58),INT(F58)=INT(Продажи!$D$4)),3,IF(OR(I58="Да",F58=""),4,0)))))</f>
        <v>0</v>
      </c>
      <c r="U58" s="6" t="str">
        <f>IF(T58=0,"",COUNTIFS($T$7:$T$106,"&gt;0",$T$7:$T$106,"&lt;"&amp;T58)+COUNTIFS($T$7:$T$106,T58,$Y$7:$Y$106,"&lt;"&amp;Y58)+COUNTIFS($T$7:T58,T58,$Y$7:Y58,Y58))</f>
        <v/>
      </c>
      <c r="V58" s="6" t="str">
        <f>IF(A58="","",IFERROR(INDEX(Реестр!$W$7:$W$106,MATCH(B58,Реестр!$A$7:$A$106,0)),"Нет связи"))</f>
        <v/>
      </c>
      <c r="W58" s="6" t="str">
        <f>IF(A58="","",IFERROR(INDEX(Реестр!$C$7:$C$106,MATCH(B58,Реестр!$A$7:$A$106,0)),"Нет связи"))</f>
        <v/>
      </c>
      <c r="X58" s="14" t="str">
        <f>IF(AND(S58=1,I58="Да"),COUNTIFS($S$7:$S$106,1,$I$7:$I$106,"Да",$Y$7:$Y$106,"&lt;"&amp;Y58)+COUNTIFS($S$7:S58,1,$I$7:I58,"Да",$Y$7:Y58,Y58),"")</f>
        <v/>
      </c>
      <c r="Y58" s="14" t="str">
        <f t="shared" si="5"/>
        <v/>
      </c>
    </row>
    <row r="59" spans="1:25" ht="25" customHeight="1">
      <c r="A59" s="5"/>
      <c r="B59" s="5"/>
      <c r="C59" s="5"/>
      <c r="D59" s="5"/>
      <c r="E59" s="5"/>
      <c r="F59" s="7"/>
      <c r="G59" s="5"/>
      <c r="H59" s="5"/>
      <c r="I59" s="5"/>
      <c r="J59" s="5"/>
      <c r="K59" s="5"/>
      <c r="L59" s="6" t="str">
        <f>IF(A59="","",IFERROR(INDEX(Реестр!$D$7:$D$106,MATCH(B59,Реестр!$A$7:$A$106,0)),"Нет связи"))</f>
        <v/>
      </c>
      <c r="M59" s="6" t="str">
        <f>IF(A59="","",IFERROR(INDEX(Реестр!$E$7:$E$106,MATCH(B59,Реестр!$A$7:$A$106,0)),"Нет связи"))</f>
        <v/>
      </c>
      <c r="N59" s="6">
        <f>IF(AND(A59&lt;&gt;"",H59&lt;&gt;"Закрыто",L59&lt;&gt;"Нет связи"),IF(INDEX(Реестр!$V$7:$V$106,MATCH(B59,Реестр!$A$7:$A$106,0))="Закрыто",0,1),0)</f>
        <v>0</v>
      </c>
      <c r="O59" s="12">
        <f>IF(N59=0,0,IF(F59="","Нет срока",MAX(0,(Продажи!$D$4-F59)*24)))</f>
        <v>0</v>
      </c>
      <c r="P59" s="6">
        <f>IF(AND(N59=1,ISNUMBER(F59),F59&lt;=Продажи!$D$4+2,OR(G59="Подача",G59="Дозапрос",G59="Обеспечение",G59="Обязательство клиенту")),1,0)</f>
        <v>0</v>
      </c>
      <c r="Q59" s="6">
        <f t="shared" si="3"/>
        <v>0</v>
      </c>
      <c r="R59" s="6">
        <f t="shared" si="4"/>
        <v>0</v>
      </c>
      <c r="S59" s="6">
        <f>IF(AND(N59=1,OR(Продажи!$I$4="Все",L59=Продажи!$I$4),OR(Продажи!$O$4="Все",M59=Продажи!$O$4)),1,0)</f>
        <v>0</v>
      </c>
      <c r="T59" s="6">
        <f>IF(S59=0,0,IF(P59=1,1,IF(AND(ISNUMBER(O59),O59&gt;0),2,IF(AND(ISNUMBER(F59),INT(F59)=INT(Продажи!$D$4)),3,IF(OR(I59="Да",F59=""),4,0)))))</f>
        <v>0</v>
      </c>
      <c r="U59" s="6" t="str">
        <f>IF(T59=0,"",COUNTIFS($T$7:$T$106,"&gt;0",$T$7:$T$106,"&lt;"&amp;T59)+COUNTIFS($T$7:$T$106,T59,$Y$7:$Y$106,"&lt;"&amp;Y59)+COUNTIFS($T$7:T59,T59,$Y$7:Y59,Y59))</f>
        <v/>
      </c>
      <c r="V59" s="6" t="str">
        <f>IF(A59="","",IFERROR(INDEX(Реестр!$W$7:$W$106,MATCH(B59,Реестр!$A$7:$A$106,0)),"Нет связи"))</f>
        <v/>
      </c>
      <c r="W59" s="6" t="str">
        <f>IF(A59="","",IFERROR(INDEX(Реестр!$C$7:$C$106,MATCH(B59,Реестр!$A$7:$A$106,0)),"Нет связи"))</f>
        <v/>
      </c>
      <c r="X59" s="14" t="str">
        <f>IF(AND(S59=1,I59="Да"),COUNTIFS($S$7:$S$106,1,$I$7:$I$106,"Да",$Y$7:$Y$106,"&lt;"&amp;Y59)+COUNTIFS($S$7:S59,1,$I$7:I59,"Да",$Y$7:Y59,Y59),"")</f>
        <v/>
      </c>
      <c r="Y59" s="14" t="str">
        <f t="shared" si="5"/>
        <v/>
      </c>
    </row>
    <row r="60" spans="1:25" ht="25" customHeight="1">
      <c r="A60" s="5"/>
      <c r="B60" s="5"/>
      <c r="C60" s="5"/>
      <c r="D60" s="5"/>
      <c r="E60" s="5"/>
      <c r="F60" s="7"/>
      <c r="G60" s="5"/>
      <c r="H60" s="5"/>
      <c r="I60" s="5"/>
      <c r="J60" s="5"/>
      <c r="K60" s="5"/>
      <c r="L60" s="6" t="str">
        <f>IF(A60="","",IFERROR(INDEX(Реестр!$D$7:$D$106,MATCH(B60,Реестр!$A$7:$A$106,0)),"Нет связи"))</f>
        <v/>
      </c>
      <c r="M60" s="6" t="str">
        <f>IF(A60="","",IFERROR(INDEX(Реестр!$E$7:$E$106,MATCH(B60,Реестр!$A$7:$A$106,0)),"Нет связи"))</f>
        <v/>
      </c>
      <c r="N60" s="6">
        <f>IF(AND(A60&lt;&gt;"",H60&lt;&gt;"Закрыто",L60&lt;&gt;"Нет связи"),IF(INDEX(Реестр!$V$7:$V$106,MATCH(B60,Реестр!$A$7:$A$106,0))="Закрыто",0,1),0)</f>
        <v>0</v>
      </c>
      <c r="O60" s="12">
        <f>IF(N60=0,0,IF(F60="","Нет срока",MAX(0,(Продажи!$D$4-F60)*24)))</f>
        <v>0</v>
      </c>
      <c r="P60" s="6">
        <f>IF(AND(N60=1,ISNUMBER(F60),F60&lt;=Продажи!$D$4+2,OR(G60="Подача",G60="Дозапрос",G60="Обеспечение",G60="Обязательство клиенту")),1,0)</f>
        <v>0</v>
      </c>
      <c r="Q60" s="6">
        <f t="shared" si="3"/>
        <v>0</v>
      </c>
      <c r="R60" s="6">
        <f t="shared" si="4"/>
        <v>0</v>
      </c>
      <c r="S60" s="6">
        <f>IF(AND(N60=1,OR(Продажи!$I$4="Все",L60=Продажи!$I$4),OR(Продажи!$O$4="Все",M60=Продажи!$O$4)),1,0)</f>
        <v>0</v>
      </c>
      <c r="T60" s="6">
        <f>IF(S60=0,0,IF(P60=1,1,IF(AND(ISNUMBER(O60),O60&gt;0),2,IF(AND(ISNUMBER(F60),INT(F60)=INT(Продажи!$D$4)),3,IF(OR(I60="Да",F60=""),4,0)))))</f>
        <v>0</v>
      </c>
      <c r="U60" s="6" t="str">
        <f>IF(T60=0,"",COUNTIFS($T$7:$T$106,"&gt;0",$T$7:$T$106,"&lt;"&amp;T60)+COUNTIFS($T$7:$T$106,T60,$Y$7:$Y$106,"&lt;"&amp;Y60)+COUNTIFS($T$7:T60,T60,$Y$7:Y60,Y60))</f>
        <v/>
      </c>
      <c r="V60" s="6" t="str">
        <f>IF(A60="","",IFERROR(INDEX(Реестр!$W$7:$W$106,MATCH(B60,Реестр!$A$7:$A$106,0)),"Нет связи"))</f>
        <v/>
      </c>
      <c r="W60" s="6" t="str">
        <f>IF(A60="","",IFERROR(INDEX(Реестр!$C$7:$C$106,MATCH(B60,Реестр!$A$7:$A$106,0)),"Нет связи"))</f>
        <v/>
      </c>
      <c r="X60" s="14" t="str">
        <f>IF(AND(S60=1,I60="Да"),COUNTIFS($S$7:$S$106,1,$I$7:$I$106,"Да",$Y$7:$Y$106,"&lt;"&amp;Y60)+COUNTIFS($S$7:S60,1,$I$7:I60,"Да",$Y$7:Y60,Y60),"")</f>
        <v/>
      </c>
      <c r="Y60" s="14" t="str">
        <f t="shared" si="5"/>
        <v/>
      </c>
    </row>
    <row r="61" spans="1:25" ht="25" customHeight="1">
      <c r="A61" s="5"/>
      <c r="B61" s="5"/>
      <c r="C61" s="5"/>
      <c r="D61" s="5"/>
      <c r="E61" s="5"/>
      <c r="F61" s="7"/>
      <c r="G61" s="5"/>
      <c r="H61" s="5"/>
      <c r="I61" s="5"/>
      <c r="J61" s="5"/>
      <c r="K61" s="5"/>
      <c r="L61" s="6" t="str">
        <f>IF(A61="","",IFERROR(INDEX(Реестр!$D$7:$D$106,MATCH(B61,Реестр!$A$7:$A$106,0)),"Нет связи"))</f>
        <v/>
      </c>
      <c r="M61" s="6" t="str">
        <f>IF(A61="","",IFERROR(INDEX(Реестр!$E$7:$E$106,MATCH(B61,Реестр!$A$7:$A$106,0)),"Нет связи"))</f>
        <v/>
      </c>
      <c r="N61" s="6">
        <f>IF(AND(A61&lt;&gt;"",H61&lt;&gt;"Закрыто",L61&lt;&gt;"Нет связи"),IF(INDEX(Реестр!$V$7:$V$106,MATCH(B61,Реестр!$A$7:$A$106,0))="Закрыто",0,1),0)</f>
        <v>0</v>
      </c>
      <c r="O61" s="12">
        <f>IF(N61=0,0,IF(F61="","Нет срока",MAX(0,(Продажи!$D$4-F61)*24)))</f>
        <v>0</v>
      </c>
      <c r="P61" s="6">
        <f>IF(AND(N61=1,ISNUMBER(F61),F61&lt;=Продажи!$D$4+2,OR(G61="Подача",G61="Дозапрос",G61="Обеспечение",G61="Обязательство клиенту")),1,0)</f>
        <v>0</v>
      </c>
      <c r="Q61" s="6">
        <f t="shared" si="3"/>
        <v>0</v>
      </c>
      <c r="R61" s="6">
        <f t="shared" si="4"/>
        <v>0</v>
      </c>
      <c r="S61" s="6">
        <f>IF(AND(N61=1,OR(Продажи!$I$4="Все",L61=Продажи!$I$4),OR(Продажи!$O$4="Все",M61=Продажи!$O$4)),1,0)</f>
        <v>0</v>
      </c>
      <c r="T61" s="6">
        <f>IF(S61=0,0,IF(P61=1,1,IF(AND(ISNUMBER(O61),O61&gt;0),2,IF(AND(ISNUMBER(F61),INT(F61)=INT(Продажи!$D$4)),3,IF(OR(I61="Да",F61=""),4,0)))))</f>
        <v>0</v>
      </c>
      <c r="U61" s="6" t="str">
        <f>IF(T61=0,"",COUNTIFS($T$7:$T$106,"&gt;0",$T$7:$T$106,"&lt;"&amp;T61)+COUNTIFS($T$7:$T$106,T61,$Y$7:$Y$106,"&lt;"&amp;Y61)+COUNTIFS($T$7:T61,T61,$Y$7:Y61,Y61))</f>
        <v/>
      </c>
      <c r="V61" s="6" t="str">
        <f>IF(A61="","",IFERROR(INDEX(Реестр!$W$7:$W$106,MATCH(B61,Реестр!$A$7:$A$106,0)),"Нет связи"))</f>
        <v/>
      </c>
      <c r="W61" s="6" t="str">
        <f>IF(A61="","",IFERROR(INDEX(Реестр!$C$7:$C$106,MATCH(B61,Реестр!$A$7:$A$106,0)),"Нет связи"))</f>
        <v/>
      </c>
      <c r="X61" s="14" t="str">
        <f>IF(AND(S61=1,I61="Да"),COUNTIFS($S$7:$S$106,1,$I$7:$I$106,"Да",$Y$7:$Y$106,"&lt;"&amp;Y61)+COUNTIFS($S$7:S61,1,$I$7:I61,"Да",$Y$7:Y61,Y61),"")</f>
        <v/>
      </c>
      <c r="Y61" s="14" t="str">
        <f t="shared" si="5"/>
        <v/>
      </c>
    </row>
    <row r="62" spans="1:25" ht="25" customHeight="1">
      <c r="A62" s="5"/>
      <c r="B62" s="5"/>
      <c r="C62" s="5"/>
      <c r="D62" s="5"/>
      <c r="E62" s="5"/>
      <c r="F62" s="7"/>
      <c r="G62" s="5"/>
      <c r="H62" s="5"/>
      <c r="I62" s="5"/>
      <c r="J62" s="5"/>
      <c r="K62" s="5"/>
      <c r="L62" s="6" t="str">
        <f>IF(A62="","",IFERROR(INDEX(Реестр!$D$7:$D$106,MATCH(B62,Реестр!$A$7:$A$106,0)),"Нет связи"))</f>
        <v/>
      </c>
      <c r="M62" s="6" t="str">
        <f>IF(A62="","",IFERROR(INDEX(Реестр!$E$7:$E$106,MATCH(B62,Реестр!$A$7:$A$106,0)),"Нет связи"))</f>
        <v/>
      </c>
      <c r="N62" s="6">
        <f>IF(AND(A62&lt;&gt;"",H62&lt;&gt;"Закрыто",L62&lt;&gt;"Нет связи"),IF(INDEX(Реестр!$V$7:$V$106,MATCH(B62,Реестр!$A$7:$A$106,0))="Закрыто",0,1),0)</f>
        <v>0</v>
      </c>
      <c r="O62" s="12">
        <f>IF(N62=0,0,IF(F62="","Нет срока",MAX(0,(Продажи!$D$4-F62)*24)))</f>
        <v>0</v>
      </c>
      <c r="P62" s="6">
        <f>IF(AND(N62=1,ISNUMBER(F62),F62&lt;=Продажи!$D$4+2,OR(G62="Подача",G62="Дозапрос",G62="Обеспечение",G62="Обязательство клиенту")),1,0)</f>
        <v>0</v>
      </c>
      <c r="Q62" s="6">
        <f t="shared" si="3"/>
        <v>0</v>
      </c>
      <c r="R62" s="6">
        <f t="shared" si="4"/>
        <v>0</v>
      </c>
      <c r="S62" s="6">
        <f>IF(AND(N62=1,OR(Продажи!$I$4="Все",L62=Продажи!$I$4),OR(Продажи!$O$4="Все",M62=Продажи!$O$4)),1,0)</f>
        <v>0</v>
      </c>
      <c r="T62" s="6">
        <f>IF(S62=0,0,IF(P62=1,1,IF(AND(ISNUMBER(O62),O62&gt;0),2,IF(AND(ISNUMBER(F62),INT(F62)=INT(Продажи!$D$4)),3,IF(OR(I62="Да",F62=""),4,0)))))</f>
        <v>0</v>
      </c>
      <c r="U62" s="6" t="str">
        <f>IF(T62=0,"",COUNTIFS($T$7:$T$106,"&gt;0",$T$7:$T$106,"&lt;"&amp;T62)+COUNTIFS($T$7:$T$106,T62,$Y$7:$Y$106,"&lt;"&amp;Y62)+COUNTIFS($T$7:T62,T62,$Y$7:Y62,Y62))</f>
        <v/>
      </c>
      <c r="V62" s="6" t="str">
        <f>IF(A62="","",IFERROR(INDEX(Реестр!$W$7:$W$106,MATCH(B62,Реестр!$A$7:$A$106,0)),"Нет связи"))</f>
        <v/>
      </c>
      <c r="W62" s="6" t="str">
        <f>IF(A62="","",IFERROR(INDEX(Реестр!$C$7:$C$106,MATCH(B62,Реестр!$A$7:$A$106,0)),"Нет связи"))</f>
        <v/>
      </c>
      <c r="X62" s="14" t="str">
        <f>IF(AND(S62=1,I62="Да"),COUNTIFS($S$7:$S$106,1,$I$7:$I$106,"Да",$Y$7:$Y$106,"&lt;"&amp;Y62)+COUNTIFS($S$7:S62,1,$I$7:I62,"Да",$Y$7:Y62,Y62),"")</f>
        <v/>
      </c>
      <c r="Y62" s="14" t="str">
        <f t="shared" si="5"/>
        <v/>
      </c>
    </row>
    <row r="63" spans="1:25" ht="25" customHeight="1">
      <c r="A63" s="5"/>
      <c r="B63" s="5"/>
      <c r="C63" s="5"/>
      <c r="D63" s="5"/>
      <c r="E63" s="5"/>
      <c r="F63" s="7"/>
      <c r="G63" s="5"/>
      <c r="H63" s="5"/>
      <c r="I63" s="5"/>
      <c r="J63" s="5"/>
      <c r="K63" s="5"/>
      <c r="L63" s="6" t="str">
        <f>IF(A63="","",IFERROR(INDEX(Реестр!$D$7:$D$106,MATCH(B63,Реестр!$A$7:$A$106,0)),"Нет связи"))</f>
        <v/>
      </c>
      <c r="M63" s="6" t="str">
        <f>IF(A63="","",IFERROR(INDEX(Реестр!$E$7:$E$106,MATCH(B63,Реестр!$A$7:$A$106,0)),"Нет связи"))</f>
        <v/>
      </c>
      <c r="N63" s="6">
        <f>IF(AND(A63&lt;&gt;"",H63&lt;&gt;"Закрыто",L63&lt;&gt;"Нет связи"),IF(INDEX(Реестр!$V$7:$V$106,MATCH(B63,Реестр!$A$7:$A$106,0))="Закрыто",0,1),0)</f>
        <v>0</v>
      </c>
      <c r="O63" s="12">
        <f>IF(N63=0,0,IF(F63="","Нет срока",MAX(0,(Продажи!$D$4-F63)*24)))</f>
        <v>0</v>
      </c>
      <c r="P63" s="6">
        <f>IF(AND(N63=1,ISNUMBER(F63),F63&lt;=Продажи!$D$4+2,OR(G63="Подача",G63="Дозапрос",G63="Обеспечение",G63="Обязательство клиенту")),1,0)</f>
        <v>0</v>
      </c>
      <c r="Q63" s="6">
        <f t="shared" si="3"/>
        <v>0</v>
      </c>
      <c r="R63" s="6">
        <f t="shared" si="4"/>
        <v>0</v>
      </c>
      <c r="S63" s="6">
        <f>IF(AND(N63=1,OR(Продажи!$I$4="Все",L63=Продажи!$I$4),OR(Продажи!$O$4="Все",M63=Продажи!$O$4)),1,0)</f>
        <v>0</v>
      </c>
      <c r="T63" s="6">
        <f>IF(S63=0,0,IF(P63=1,1,IF(AND(ISNUMBER(O63),O63&gt;0),2,IF(AND(ISNUMBER(F63),INT(F63)=INT(Продажи!$D$4)),3,IF(OR(I63="Да",F63=""),4,0)))))</f>
        <v>0</v>
      </c>
      <c r="U63" s="6" t="str">
        <f>IF(T63=0,"",COUNTIFS($T$7:$T$106,"&gt;0",$T$7:$T$106,"&lt;"&amp;T63)+COUNTIFS($T$7:$T$106,T63,$Y$7:$Y$106,"&lt;"&amp;Y63)+COUNTIFS($T$7:T63,T63,$Y$7:Y63,Y63))</f>
        <v/>
      </c>
      <c r="V63" s="6" t="str">
        <f>IF(A63="","",IFERROR(INDEX(Реестр!$W$7:$W$106,MATCH(B63,Реестр!$A$7:$A$106,0)),"Нет связи"))</f>
        <v/>
      </c>
      <c r="W63" s="6" t="str">
        <f>IF(A63="","",IFERROR(INDEX(Реестр!$C$7:$C$106,MATCH(B63,Реестр!$A$7:$A$106,0)),"Нет связи"))</f>
        <v/>
      </c>
      <c r="X63" s="14" t="str">
        <f>IF(AND(S63=1,I63="Да"),COUNTIFS($S$7:$S$106,1,$I$7:$I$106,"Да",$Y$7:$Y$106,"&lt;"&amp;Y63)+COUNTIFS($S$7:S63,1,$I$7:I63,"Да",$Y$7:Y63,Y63),"")</f>
        <v/>
      </c>
      <c r="Y63" s="14" t="str">
        <f t="shared" si="5"/>
        <v/>
      </c>
    </row>
    <row r="64" spans="1:25" ht="25" customHeight="1">
      <c r="A64" s="5"/>
      <c r="B64" s="5"/>
      <c r="C64" s="5"/>
      <c r="D64" s="5"/>
      <c r="E64" s="5"/>
      <c r="F64" s="7"/>
      <c r="G64" s="5"/>
      <c r="H64" s="5"/>
      <c r="I64" s="5"/>
      <c r="J64" s="5"/>
      <c r="K64" s="5"/>
      <c r="L64" s="6" t="str">
        <f>IF(A64="","",IFERROR(INDEX(Реестр!$D$7:$D$106,MATCH(B64,Реестр!$A$7:$A$106,0)),"Нет связи"))</f>
        <v/>
      </c>
      <c r="M64" s="6" t="str">
        <f>IF(A64="","",IFERROR(INDEX(Реестр!$E$7:$E$106,MATCH(B64,Реестр!$A$7:$A$106,0)),"Нет связи"))</f>
        <v/>
      </c>
      <c r="N64" s="6">
        <f>IF(AND(A64&lt;&gt;"",H64&lt;&gt;"Закрыто",L64&lt;&gt;"Нет связи"),IF(INDEX(Реестр!$V$7:$V$106,MATCH(B64,Реестр!$A$7:$A$106,0))="Закрыто",0,1),0)</f>
        <v>0</v>
      </c>
      <c r="O64" s="12">
        <f>IF(N64=0,0,IF(F64="","Нет срока",MAX(0,(Продажи!$D$4-F64)*24)))</f>
        <v>0</v>
      </c>
      <c r="P64" s="6">
        <f>IF(AND(N64=1,ISNUMBER(F64),F64&lt;=Продажи!$D$4+2,OR(G64="Подача",G64="Дозапрос",G64="Обеспечение",G64="Обязательство клиенту")),1,0)</f>
        <v>0</v>
      </c>
      <c r="Q64" s="6">
        <f t="shared" si="3"/>
        <v>0</v>
      </c>
      <c r="R64" s="6">
        <f t="shared" si="4"/>
        <v>0</v>
      </c>
      <c r="S64" s="6">
        <f>IF(AND(N64=1,OR(Продажи!$I$4="Все",L64=Продажи!$I$4),OR(Продажи!$O$4="Все",M64=Продажи!$O$4)),1,0)</f>
        <v>0</v>
      </c>
      <c r="T64" s="6">
        <f>IF(S64=0,0,IF(P64=1,1,IF(AND(ISNUMBER(O64),O64&gt;0),2,IF(AND(ISNUMBER(F64),INT(F64)=INT(Продажи!$D$4)),3,IF(OR(I64="Да",F64=""),4,0)))))</f>
        <v>0</v>
      </c>
      <c r="U64" s="6" t="str">
        <f>IF(T64=0,"",COUNTIFS($T$7:$T$106,"&gt;0",$T$7:$T$106,"&lt;"&amp;T64)+COUNTIFS($T$7:$T$106,T64,$Y$7:$Y$106,"&lt;"&amp;Y64)+COUNTIFS($T$7:T64,T64,$Y$7:Y64,Y64))</f>
        <v/>
      </c>
      <c r="V64" s="6" t="str">
        <f>IF(A64="","",IFERROR(INDEX(Реестр!$W$7:$W$106,MATCH(B64,Реестр!$A$7:$A$106,0)),"Нет связи"))</f>
        <v/>
      </c>
      <c r="W64" s="6" t="str">
        <f>IF(A64="","",IFERROR(INDEX(Реестр!$C$7:$C$106,MATCH(B64,Реестр!$A$7:$A$106,0)),"Нет связи"))</f>
        <v/>
      </c>
      <c r="X64" s="14" t="str">
        <f>IF(AND(S64=1,I64="Да"),COUNTIFS($S$7:$S$106,1,$I$7:$I$106,"Да",$Y$7:$Y$106,"&lt;"&amp;Y64)+COUNTIFS($S$7:S64,1,$I$7:I64,"Да",$Y$7:Y64,Y64),"")</f>
        <v/>
      </c>
      <c r="Y64" s="14" t="str">
        <f t="shared" si="5"/>
        <v/>
      </c>
    </row>
    <row r="65" spans="1:25" ht="25" customHeight="1">
      <c r="A65" s="5"/>
      <c r="B65" s="5"/>
      <c r="C65" s="5"/>
      <c r="D65" s="5"/>
      <c r="E65" s="5"/>
      <c r="F65" s="7"/>
      <c r="G65" s="5"/>
      <c r="H65" s="5"/>
      <c r="I65" s="5"/>
      <c r="J65" s="5"/>
      <c r="K65" s="5"/>
      <c r="L65" s="6" t="str">
        <f>IF(A65="","",IFERROR(INDEX(Реестр!$D$7:$D$106,MATCH(B65,Реестр!$A$7:$A$106,0)),"Нет связи"))</f>
        <v/>
      </c>
      <c r="M65" s="6" t="str">
        <f>IF(A65="","",IFERROR(INDEX(Реестр!$E$7:$E$106,MATCH(B65,Реестр!$A$7:$A$106,0)),"Нет связи"))</f>
        <v/>
      </c>
      <c r="N65" s="6">
        <f>IF(AND(A65&lt;&gt;"",H65&lt;&gt;"Закрыто",L65&lt;&gt;"Нет связи"),IF(INDEX(Реестр!$V$7:$V$106,MATCH(B65,Реестр!$A$7:$A$106,0))="Закрыто",0,1),0)</f>
        <v>0</v>
      </c>
      <c r="O65" s="12">
        <f>IF(N65=0,0,IF(F65="","Нет срока",MAX(0,(Продажи!$D$4-F65)*24)))</f>
        <v>0</v>
      </c>
      <c r="P65" s="6">
        <f>IF(AND(N65=1,ISNUMBER(F65),F65&lt;=Продажи!$D$4+2,OR(G65="Подача",G65="Дозапрос",G65="Обеспечение",G65="Обязательство клиенту")),1,0)</f>
        <v>0</v>
      </c>
      <c r="Q65" s="6">
        <f t="shared" si="3"/>
        <v>0</v>
      </c>
      <c r="R65" s="6">
        <f t="shared" si="4"/>
        <v>0</v>
      </c>
      <c r="S65" s="6">
        <f>IF(AND(N65=1,OR(Продажи!$I$4="Все",L65=Продажи!$I$4),OR(Продажи!$O$4="Все",M65=Продажи!$O$4)),1,0)</f>
        <v>0</v>
      </c>
      <c r="T65" s="6">
        <f>IF(S65=0,0,IF(P65=1,1,IF(AND(ISNUMBER(O65),O65&gt;0),2,IF(AND(ISNUMBER(F65),INT(F65)=INT(Продажи!$D$4)),3,IF(OR(I65="Да",F65=""),4,0)))))</f>
        <v>0</v>
      </c>
      <c r="U65" s="6" t="str">
        <f>IF(T65=0,"",COUNTIFS($T$7:$T$106,"&gt;0",$T$7:$T$106,"&lt;"&amp;T65)+COUNTIFS($T$7:$T$106,T65,$Y$7:$Y$106,"&lt;"&amp;Y65)+COUNTIFS($T$7:T65,T65,$Y$7:Y65,Y65))</f>
        <v/>
      </c>
      <c r="V65" s="6" t="str">
        <f>IF(A65="","",IFERROR(INDEX(Реестр!$W$7:$W$106,MATCH(B65,Реестр!$A$7:$A$106,0)),"Нет связи"))</f>
        <v/>
      </c>
      <c r="W65" s="6" t="str">
        <f>IF(A65="","",IFERROR(INDEX(Реестр!$C$7:$C$106,MATCH(B65,Реестр!$A$7:$A$106,0)),"Нет связи"))</f>
        <v/>
      </c>
      <c r="X65" s="14" t="str">
        <f>IF(AND(S65=1,I65="Да"),COUNTIFS($S$7:$S$106,1,$I$7:$I$106,"Да",$Y$7:$Y$106,"&lt;"&amp;Y65)+COUNTIFS($S$7:S65,1,$I$7:I65,"Да",$Y$7:Y65,Y65),"")</f>
        <v/>
      </c>
      <c r="Y65" s="14" t="str">
        <f t="shared" si="5"/>
        <v/>
      </c>
    </row>
    <row r="66" spans="1:25" ht="25" customHeight="1">
      <c r="A66" s="5"/>
      <c r="B66" s="5"/>
      <c r="C66" s="5"/>
      <c r="D66" s="5"/>
      <c r="E66" s="5"/>
      <c r="F66" s="7"/>
      <c r="G66" s="5"/>
      <c r="H66" s="5"/>
      <c r="I66" s="5"/>
      <c r="J66" s="5"/>
      <c r="K66" s="5"/>
      <c r="L66" s="6" t="str">
        <f>IF(A66="","",IFERROR(INDEX(Реестр!$D$7:$D$106,MATCH(B66,Реестр!$A$7:$A$106,0)),"Нет связи"))</f>
        <v/>
      </c>
      <c r="M66" s="6" t="str">
        <f>IF(A66="","",IFERROR(INDEX(Реестр!$E$7:$E$106,MATCH(B66,Реестр!$A$7:$A$106,0)),"Нет связи"))</f>
        <v/>
      </c>
      <c r="N66" s="6">
        <f>IF(AND(A66&lt;&gt;"",H66&lt;&gt;"Закрыто",L66&lt;&gt;"Нет связи"),IF(INDEX(Реестр!$V$7:$V$106,MATCH(B66,Реестр!$A$7:$A$106,0))="Закрыто",0,1),0)</f>
        <v>0</v>
      </c>
      <c r="O66" s="12">
        <f>IF(N66=0,0,IF(F66="","Нет срока",MAX(0,(Продажи!$D$4-F66)*24)))</f>
        <v>0</v>
      </c>
      <c r="P66" s="6">
        <f>IF(AND(N66=1,ISNUMBER(F66),F66&lt;=Продажи!$D$4+2,OR(G66="Подача",G66="Дозапрос",G66="Обеспечение",G66="Обязательство клиенту")),1,0)</f>
        <v>0</v>
      </c>
      <c r="Q66" s="6">
        <f t="shared" si="3"/>
        <v>0</v>
      </c>
      <c r="R66" s="6">
        <f t="shared" si="4"/>
        <v>0</v>
      </c>
      <c r="S66" s="6">
        <f>IF(AND(N66=1,OR(Продажи!$I$4="Все",L66=Продажи!$I$4),OR(Продажи!$O$4="Все",M66=Продажи!$O$4)),1,0)</f>
        <v>0</v>
      </c>
      <c r="T66" s="6">
        <f>IF(S66=0,0,IF(P66=1,1,IF(AND(ISNUMBER(O66),O66&gt;0),2,IF(AND(ISNUMBER(F66),INT(F66)=INT(Продажи!$D$4)),3,IF(OR(I66="Да",F66=""),4,0)))))</f>
        <v>0</v>
      </c>
      <c r="U66" s="6" t="str">
        <f>IF(T66=0,"",COUNTIFS($T$7:$T$106,"&gt;0",$T$7:$T$106,"&lt;"&amp;T66)+COUNTIFS($T$7:$T$106,T66,$Y$7:$Y$106,"&lt;"&amp;Y66)+COUNTIFS($T$7:T66,T66,$Y$7:Y66,Y66))</f>
        <v/>
      </c>
      <c r="V66" s="6" t="str">
        <f>IF(A66="","",IFERROR(INDEX(Реестр!$W$7:$W$106,MATCH(B66,Реестр!$A$7:$A$106,0)),"Нет связи"))</f>
        <v/>
      </c>
      <c r="W66" s="6" t="str">
        <f>IF(A66="","",IFERROR(INDEX(Реестр!$C$7:$C$106,MATCH(B66,Реестр!$A$7:$A$106,0)),"Нет связи"))</f>
        <v/>
      </c>
      <c r="X66" s="14" t="str">
        <f>IF(AND(S66=1,I66="Да"),COUNTIFS($S$7:$S$106,1,$I$7:$I$106,"Да",$Y$7:$Y$106,"&lt;"&amp;Y66)+COUNTIFS($S$7:S66,1,$I$7:I66,"Да",$Y$7:Y66,Y66),"")</f>
        <v/>
      </c>
      <c r="Y66" s="14" t="str">
        <f t="shared" si="5"/>
        <v/>
      </c>
    </row>
    <row r="67" spans="1:25" ht="25" customHeight="1">
      <c r="A67" s="5"/>
      <c r="B67" s="5"/>
      <c r="C67" s="5"/>
      <c r="D67" s="5"/>
      <c r="E67" s="5"/>
      <c r="F67" s="7"/>
      <c r="G67" s="5"/>
      <c r="H67" s="5"/>
      <c r="I67" s="5"/>
      <c r="J67" s="5"/>
      <c r="K67" s="5"/>
      <c r="L67" s="6" t="str">
        <f>IF(A67="","",IFERROR(INDEX(Реестр!$D$7:$D$106,MATCH(B67,Реестр!$A$7:$A$106,0)),"Нет связи"))</f>
        <v/>
      </c>
      <c r="M67" s="6" t="str">
        <f>IF(A67="","",IFERROR(INDEX(Реестр!$E$7:$E$106,MATCH(B67,Реестр!$A$7:$A$106,0)),"Нет связи"))</f>
        <v/>
      </c>
      <c r="N67" s="6">
        <f>IF(AND(A67&lt;&gt;"",H67&lt;&gt;"Закрыто",L67&lt;&gt;"Нет связи"),IF(INDEX(Реестр!$V$7:$V$106,MATCH(B67,Реестр!$A$7:$A$106,0))="Закрыто",0,1),0)</f>
        <v>0</v>
      </c>
      <c r="O67" s="12">
        <f>IF(N67=0,0,IF(F67="","Нет срока",MAX(0,(Продажи!$D$4-F67)*24)))</f>
        <v>0</v>
      </c>
      <c r="P67" s="6">
        <f>IF(AND(N67=1,ISNUMBER(F67),F67&lt;=Продажи!$D$4+2,OR(G67="Подача",G67="Дозапрос",G67="Обеспечение",G67="Обязательство клиенту")),1,0)</f>
        <v>0</v>
      </c>
      <c r="Q67" s="6">
        <f t="shared" si="3"/>
        <v>0</v>
      </c>
      <c r="R67" s="6">
        <f t="shared" si="4"/>
        <v>0</v>
      </c>
      <c r="S67" s="6">
        <f>IF(AND(N67=1,OR(Продажи!$I$4="Все",L67=Продажи!$I$4),OR(Продажи!$O$4="Все",M67=Продажи!$O$4)),1,0)</f>
        <v>0</v>
      </c>
      <c r="T67" s="6">
        <f>IF(S67=0,0,IF(P67=1,1,IF(AND(ISNUMBER(O67),O67&gt;0),2,IF(AND(ISNUMBER(F67),INT(F67)=INT(Продажи!$D$4)),3,IF(OR(I67="Да",F67=""),4,0)))))</f>
        <v>0</v>
      </c>
      <c r="U67" s="6" t="str">
        <f>IF(T67=0,"",COUNTIFS($T$7:$T$106,"&gt;0",$T$7:$T$106,"&lt;"&amp;T67)+COUNTIFS($T$7:$T$106,T67,$Y$7:$Y$106,"&lt;"&amp;Y67)+COUNTIFS($T$7:T67,T67,$Y$7:Y67,Y67))</f>
        <v/>
      </c>
      <c r="V67" s="6" t="str">
        <f>IF(A67="","",IFERROR(INDEX(Реестр!$W$7:$W$106,MATCH(B67,Реестр!$A$7:$A$106,0)),"Нет связи"))</f>
        <v/>
      </c>
      <c r="W67" s="6" t="str">
        <f>IF(A67="","",IFERROR(INDEX(Реестр!$C$7:$C$106,MATCH(B67,Реестр!$A$7:$A$106,0)),"Нет связи"))</f>
        <v/>
      </c>
      <c r="X67" s="14" t="str">
        <f>IF(AND(S67=1,I67="Да"),COUNTIFS($S$7:$S$106,1,$I$7:$I$106,"Да",$Y$7:$Y$106,"&lt;"&amp;Y67)+COUNTIFS($S$7:S67,1,$I$7:I67,"Да",$Y$7:Y67,Y67),"")</f>
        <v/>
      </c>
      <c r="Y67" s="14" t="str">
        <f t="shared" si="5"/>
        <v/>
      </c>
    </row>
    <row r="68" spans="1:25" ht="25" customHeight="1">
      <c r="A68" s="5"/>
      <c r="B68" s="5"/>
      <c r="C68" s="5"/>
      <c r="D68" s="5"/>
      <c r="E68" s="5"/>
      <c r="F68" s="7"/>
      <c r="G68" s="5"/>
      <c r="H68" s="5"/>
      <c r="I68" s="5"/>
      <c r="J68" s="5"/>
      <c r="K68" s="5"/>
      <c r="L68" s="6" t="str">
        <f>IF(A68="","",IFERROR(INDEX(Реестр!$D$7:$D$106,MATCH(B68,Реестр!$A$7:$A$106,0)),"Нет связи"))</f>
        <v/>
      </c>
      <c r="M68" s="6" t="str">
        <f>IF(A68="","",IFERROR(INDEX(Реестр!$E$7:$E$106,MATCH(B68,Реестр!$A$7:$A$106,0)),"Нет связи"))</f>
        <v/>
      </c>
      <c r="N68" s="6">
        <f>IF(AND(A68&lt;&gt;"",H68&lt;&gt;"Закрыто",L68&lt;&gt;"Нет связи"),IF(INDEX(Реестр!$V$7:$V$106,MATCH(B68,Реестр!$A$7:$A$106,0))="Закрыто",0,1),0)</f>
        <v>0</v>
      </c>
      <c r="O68" s="12">
        <f>IF(N68=0,0,IF(F68="","Нет срока",MAX(0,(Продажи!$D$4-F68)*24)))</f>
        <v>0</v>
      </c>
      <c r="P68" s="6">
        <f>IF(AND(N68=1,ISNUMBER(F68),F68&lt;=Продажи!$D$4+2,OR(G68="Подача",G68="Дозапрос",G68="Обеспечение",G68="Обязательство клиенту")),1,0)</f>
        <v>0</v>
      </c>
      <c r="Q68" s="6">
        <f t="shared" si="3"/>
        <v>0</v>
      </c>
      <c r="R68" s="6">
        <f t="shared" si="4"/>
        <v>0</v>
      </c>
      <c r="S68" s="6">
        <f>IF(AND(N68=1,OR(Продажи!$I$4="Все",L68=Продажи!$I$4),OR(Продажи!$O$4="Все",M68=Продажи!$O$4)),1,0)</f>
        <v>0</v>
      </c>
      <c r="T68" s="6">
        <f>IF(S68=0,0,IF(P68=1,1,IF(AND(ISNUMBER(O68),O68&gt;0),2,IF(AND(ISNUMBER(F68),INT(F68)=INT(Продажи!$D$4)),3,IF(OR(I68="Да",F68=""),4,0)))))</f>
        <v>0</v>
      </c>
      <c r="U68" s="6" t="str">
        <f>IF(T68=0,"",COUNTIFS($T$7:$T$106,"&gt;0",$T$7:$T$106,"&lt;"&amp;T68)+COUNTIFS($T$7:$T$106,T68,$Y$7:$Y$106,"&lt;"&amp;Y68)+COUNTIFS($T$7:T68,T68,$Y$7:Y68,Y68))</f>
        <v/>
      </c>
      <c r="V68" s="6" t="str">
        <f>IF(A68="","",IFERROR(INDEX(Реестр!$W$7:$W$106,MATCH(B68,Реестр!$A$7:$A$106,0)),"Нет связи"))</f>
        <v/>
      </c>
      <c r="W68" s="6" t="str">
        <f>IF(A68="","",IFERROR(INDEX(Реестр!$C$7:$C$106,MATCH(B68,Реестр!$A$7:$A$106,0)),"Нет связи"))</f>
        <v/>
      </c>
      <c r="X68" s="14" t="str">
        <f>IF(AND(S68=1,I68="Да"),COUNTIFS($S$7:$S$106,1,$I$7:$I$106,"Да",$Y$7:$Y$106,"&lt;"&amp;Y68)+COUNTIFS($S$7:S68,1,$I$7:I68,"Да",$Y$7:Y68,Y68),"")</f>
        <v/>
      </c>
      <c r="Y68" s="14" t="str">
        <f t="shared" si="5"/>
        <v/>
      </c>
    </row>
    <row r="69" spans="1:25" ht="25" customHeight="1">
      <c r="A69" s="5"/>
      <c r="B69" s="5"/>
      <c r="C69" s="5"/>
      <c r="D69" s="5"/>
      <c r="E69" s="5"/>
      <c r="F69" s="7"/>
      <c r="G69" s="5"/>
      <c r="H69" s="5"/>
      <c r="I69" s="5"/>
      <c r="J69" s="5"/>
      <c r="K69" s="5"/>
      <c r="L69" s="6" t="str">
        <f>IF(A69="","",IFERROR(INDEX(Реестр!$D$7:$D$106,MATCH(B69,Реестр!$A$7:$A$106,0)),"Нет связи"))</f>
        <v/>
      </c>
      <c r="M69" s="6" t="str">
        <f>IF(A69="","",IFERROR(INDEX(Реестр!$E$7:$E$106,MATCH(B69,Реестр!$A$7:$A$106,0)),"Нет связи"))</f>
        <v/>
      </c>
      <c r="N69" s="6">
        <f>IF(AND(A69&lt;&gt;"",H69&lt;&gt;"Закрыто",L69&lt;&gt;"Нет связи"),IF(INDEX(Реестр!$V$7:$V$106,MATCH(B69,Реестр!$A$7:$A$106,0))="Закрыто",0,1),0)</f>
        <v>0</v>
      </c>
      <c r="O69" s="12">
        <f>IF(N69=0,0,IF(F69="","Нет срока",MAX(0,(Продажи!$D$4-F69)*24)))</f>
        <v>0</v>
      </c>
      <c r="P69" s="6">
        <f>IF(AND(N69=1,ISNUMBER(F69),F69&lt;=Продажи!$D$4+2,OR(G69="Подача",G69="Дозапрос",G69="Обеспечение",G69="Обязательство клиенту")),1,0)</f>
        <v>0</v>
      </c>
      <c r="Q69" s="6">
        <f t="shared" si="3"/>
        <v>0</v>
      </c>
      <c r="R69" s="6">
        <f t="shared" si="4"/>
        <v>0</v>
      </c>
      <c r="S69" s="6">
        <f>IF(AND(N69=1,OR(Продажи!$I$4="Все",L69=Продажи!$I$4),OR(Продажи!$O$4="Все",M69=Продажи!$O$4)),1,0)</f>
        <v>0</v>
      </c>
      <c r="T69" s="6">
        <f>IF(S69=0,0,IF(P69=1,1,IF(AND(ISNUMBER(O69),O69&gt;0),2,IF(AND(ISNUMBER(F69),INT(F69)=INT(Продажи!$D$4)),3,IF(OR(I69="Да",F69=""),4,0)))))</f>
        <v>0</v>
      </c>
      <c r="U69" s="6" t="str">
        <f>IF(T69=0,"",COUNTIFS($T$7:$T$106,"&gt;0",$T$7:$T$106,"&lt;"&amp;T69)+COUNTIFS($T$7:$T$106,T69,$Y$7:$Y$106,"&lt;"&amp;Y69)+COUNTIFS($T$7:T69,T69,$Y$7:Y69,Y69))</f>
        <v/>
      </c>
      <c r="V69" s="6" t="str">
        <f>IF(A69="","",IFERROR(INDEX(Реестр!$W$7:$W$106,MATCH(B69,Реестр!$A$7:$A$106,0)),"Нет связи"))</f>
        <v/>
      </c>
      <c r="W69" s="6" t="str">
        <f>IF(A69="","",IFERROR(INDEX(Реестр!$C$7:$C$106,MATCH(B69,Реестр!$A$7:$A$106,0)),"Нет связи"))</f>
        <v/>
      </c>
      <c r="X69" s="14" t="str">
        <f>IF(AND(S69=1,I69="Да"),COUNTIFS($S$7:$S$106,1,$I$7:$I$106,"Да",$Y$7:$Y$106,"&lt;"&amp;Y69)+COUNTIFS($S$7:S69,1,$I$7:I69,"Да",$Y$7:Y69,Y69),"")</f>
        <v/>
      </c>
      <c r="Y69" s="14" t="str">
        <f t="shared" si="5"/>
        <v/>
      </c>
    </row>
    <row r="70" spans="1:25" ht="25" customHeight="1">
      <c r="A70" s="5"/>
      <c r="B70" s="5"/>
      <c r="C70" s="5"/>
      <c r="D70" s="5"/>
      <c r="E70" s="5"/>
      <c r="F70" s="7"/>
      <c r="G70" s="5"/>
      <c r="H70" s="5"/>
      <c r="I70" s="5"/>
      <c r="J70" s="5"/>
      <c r="K70" s="5"/>
      <c r="L70" s="6" t="str">
        <f>IF(A70="","",IFERROR(INDEX(Реестр!$D$7:$D$106,MATCH(B70,Реестр!$A$7:$A$106,0)),"Нет связи"))</f>
        <v/>
      </c>
      <c r="M70" s="6" t="str">
        <f>IF(A70="","",IFERROR(INDEX(Реестр!$E$7:$E$106,MATCH(B70,Реестр!$A$7:$A$106,0)),"Нет связи"))</f>
        <v/>
      </c>
      <c r="N70" s="6">
        <f>IF(AND(A70&lt;&gt;"",H70&lt;&gt;"Закрыто",L70&lt;&gt;"Нет связи"),IF(INDEX(Реестр!$V$7:$V$106,MATCH(B70,Реестр!$A$7:$A$106,0))="Закрыто",0,1),0)</f>
        <v>0</v>
      </c>
      <c r="O70" s="12">
        <f>IF(N70=0,0,IF(F70="","Нет срока",MAX(0,(Продажи!$D$4-F70)*24)))</f>
        <v>0</v>
      </c>
      <c r="P70" s="6">
        <f>IF(AND(N70=1,ISNUMBER(F70),F70&lt;=Продажи!$D$4+2,OR(G70="Подача",G70="Дозапрос",G70="Обеспечение",G70="Обязательство клиенту")),1,0)</f>
        <v>0</v>
      </c>
      <c r="Q70" s="6">
        <f t="shared" si="3"/>
        <v>0</v>
      </c>
      <c r="R70" s="6">
        <f t="shared" si="4"/>
        <v>0</v>
      </c>
      <c r="S70" s="6">
        <f>IF(AND(N70=1,OR(Продажи!$I$4="Все",L70=Продажи!$I$4),OR(Продажи!$O$4="Все",M70=Продажи!$O$4)),1,0)</f>
        <v>0</v>
      </c>
      <c r="T70" s="6">
        <f>IF(S70=0,0,IF(P70=1,1,IF(AND(ISNUMBER(O70),O70&gt;0),2,IF(AND(ISNUMBER(F70),INT(F70)=INT(Продажи!$D$4)),3,IF(OR(I70="Да",F70=""),4,0)))))</f>
        <v>0</v>
      </c>
      <c r="U70" s="6" t="str">
        <f>IF(T70=0,"",COUNTIFS($T$7:$T$106,"&gt;0",$T$7:$T$106,"&lt;"&amp;T70)+COUNTIFS($T$7:$T$106,T70,$Y$7:$Y$106,"&lt;"&amp;Y70)+COUNTIFS($T$7:T70,T70,$Y$7:Y70,Y70))</f>
        <v/>
      </c>
      <c r="V70" s="6" t="str">
        <f>IF(A70="","",IFERROR(INDEX(Реестр!$W$7:$W$106,MATCH(B70,Реестр!$A$7:$A$106,0)),"Нет связи"))</f>
        <v/>
      </c>
      <c r="W70" s="6" t="str">
        <f>IF(A70="","",IFERROR(INDEX(Реестр!$C$7:$C$106,MATCH(B70,Реестр!$A$7:$A$106,0)),"Нет связи"))</f>
        <v/>
      </c>
      <c r="X70" s="14" t="str">
        <f>IF(AND(S70=1,I70="Да"),COUNTIFS($S$7:$S$106,1,$I$7:$I$106,"Да",$Y$7:$Y$106,"&lt;"&amp;Y70)+COUNTIFS($S$7:S70,1,$I$7:I70,"Да",$Y$7:Y70,Y70),"")</f>
        <v/>
      </c>
      <c r="Y70" s="14" t="str">
        <f t="shared" si="5"/>
        <v/>
      </c>
    </row>
    <row r="71" spans="1:25" ht="25" customHeight="1">
      <c r="A71" s="5"/>
      <c r="B71" s="5"/>
      <c r="C71" s="5"/>
      <c r="D71" s="5"/>
      <c r="E71" s="5"/>
      <c r="F71" s="7"/>
      <c r="G71" s="5"/>
      <c r="H71" s="5"/>
      <c r="I71" s="5"/>
      <c r="J71" s="5"/>
      <c r="K71" s="5"/>
      <c r="L71" s="6" t="str">
        <f>IF(A71="","",IFERROR(INDEX(Реестр!$D$7:$D$106,MATCH(B71,Реестр!$A$7:$A$106,0)),"Нет связи"))</f>
        <v/>
      </c>
      <c r="M71" s="6" t="str">
        <f>IF(A71="","",IFERROR(INDEX(Реестр!$E$7:$E$106,MATCH(B71,Реестр!$A$7:$A$106,0)),"Нет связи"))</f>
        <v/>
      </c>
      <c r="N71" s="6">
        <f>IF(AND(A71&lt;&gt;"",H71&lt;&gt;"Закрыто",L71&lt;&gt;"Нет связи"),IF(INDEX(Реестр!$V$7:$V$106,MATCH(B71,Реестр!$A$7:$A$106,0))="Закрыто",0,1),0)</f>
        <v>0</v>
      </c>
      <c r="O71" s="12">
        <f>IF(N71=0,0,IF(F71="","Нет срока",MAX(0,(Продажи!$D$4-F71)*24)))</f>
        <v>0</v>
      </c>
      <c r="P71" s="6">
        <f>IF(AND(N71=1,ISNUMBER(F71),F71&lt;=Продажи!$D$4+2,OR(G71="Подача",G71="Дозапрос",G71="Обеспечение",G71="Обязательство клиенту")),1,0)</f>
        <v>0</v>
      </c>
      <c r="Q71" s="6">
        <f t="shared" ref="Q71:Q106" si="6">IF(AND(N71=1,D71="Продажи",ISNUMBER(O71),O71&gt;0),1,0)</f>
        <v>0</v>
      </c>
      <c r="R71" s="6">
        <f t="shared" ref="R71:R106" si="7">IF(AND(N71=1,H71="Ожидание",D71&lt;&gt;"Продажи"),1,0)</f>
        <v>0</v>
      </c>
      <c r="S71" s="6">
        <f>IF(AND(N71=1,OR(Продажи!$I$4="Все",L71=Продажи!$I$4),OR(Продажи!$O$4="Все",M71=Продажи!$O$4)),1,0)</f>
        <v>0</v>
      </c>
      <c r="T71" s="6">
        <f>IF(S71=0,0,IF(P71=1,1,IF(AND(ISNUMBER(O71),O71&gt;0),2,IF(AND(ISNUMBER(F71),INT(F71)=INT(Продажи!$D$4)),3,IF(OR(I71="Да",F71=""),4,0)))))</f>
        <v>0</v>
      </c>
      <c r="U71" s="6" t="str">
        <f>IF(T71=0,"",COUNTIFS($T$7:$T$106,"&gt;0",$T$7:$T$106,"&lt;"&amp;T71)+COUNTIFS($T$7:$T$106,T71,$Y$7:$Y$106,"&lt;"&amp;Y71)+COUNTIFS($T$7:T71,T71,$Y$7:Y71,Y71))</f>
        <v/>
      </c>
      <c r="V71" s="6" t="str">
        <f>IF(A71="","",IFERROR(INDEX(Реестр!$W$7:$W$106,MATCH(B71,Реестр!$A$7:$A$106,0)),"Нет связи"))</f>
        <v/>
      </c>
      <c r="W71" s="6" t="str">
        <f>IF(A71="","",IFERROR(INDEX(Реестр!$C$7:$C$106,MATCH(B71,Реестр!$A$7:$A$106,0)),"Нет связи"))</f>
        <v/>
      </c>
      <c r="X71" s="14" t="str">
        <f>IF(AND(S71=1,I71="Да"),COUNTIFS($S$7:$S$106,1,$I$7:$I$106,"Да",$Y$7:$Y$106,"&lt;"&amp;Y71)+COUNTIFS($S$7:S71,1,$I$7:I71,"Да",$Y$7:Y71,Y71),"")</f>
        <v/>
      </c>
      <c r="Y71" s="14" t="str">
        <f t="shared" ref="Y71:Y106" si="8">IF(N71=1,IF(ISNUMBER(F71),F71,2958465),"")</f>
        <v/>
      </c>
    </row>
    <row r="72" spans="1:25" ht="25" customHeight="1">
      <c r="A72" s="5"/>
      <c r="B72" s="5"/>
      <c r="C72" s="5"/>
      <c r="D72" s="5"/>
      <c r="E72" s="5"/>
      <c r="F72" s="7"/>
      <c r="G72" s="5"/>
      <c r="H72" s="5"/>
      <c r="I72" s="5"/>
      <c r="J72" s="5"/>
      <c r="K72" s="5"/>
      <c r="L72" s="6" t="str">
        <f>IF(A72="","",IFERROR(INDEX(Реестр!$D$7:$D$106,MATCH(B72,Реестр!$A$7:$A$106,0)),"Нет связи"))</f>
        <v/>
      </c>
      <c r="M72" s="6" t="str">
        <f>IF(A72="","",IFERROR(INDEX(Реестр!$E$7:$E$106,MATCH(B72,Реестр!$A$7:$A$106,0)),"Нет связи"))</f>
        <v/>
      </c>
      <c r="N72" s="6">
        <f>IF(AND(A72&lt;&gt;"",H72&lt;&gt;"Закрыто",L72&lt;&gt;"Нет связи"),IF(INDEX(Реестр!$V$7:$V$106,MATCH(B72,Реестр!$A$7:$A$106,0))="Закрыто",0,1),0)</f>
        <v>0</v>
      </c>
      <c r="O72" s="12">
        <f>IF(N72=0,0,IF(F72="","Нет срока",MAX(0,(Продажи!$D$4-F72)*24)))</f>
        <v>0</v>
      </c>
      <c r="P72" s="6">
        <f>IF(AND(N72=1,ISNUMBER(F72),F72&lt;=Продажи!$D$4+2,OR(G72="Подача",G72="Дозапрос",G72="Обеспечение",G72="Обязательство клиенту")),1,0)</f>
        <v>0</v>
      </c>
      <c r="Q72" s="6">
        <f t="shared" si="6"/>
        <v>0</v>
      </c>
      <c r="R72" s="6">
        <f t="shared" si="7"/>
        <v>0</v>
      </c>
      <c r="S72" s="6">
        <f>IF(AND(N72=1,OR(Продажи!$I$4="Все",L72=Продажи!$I$4),OR(Продажи!$O$4="Все",M72=Продажи!$O$4)),1,0)</f>
        <v>0</v>
      </c>
      <c r="T72" s="6">
        <f>IF(S72=0,0,IF(P72=1,1,IF(AND(ISNUMBER(O72),O72&gt;0),2,IF(AND(ISNUMBER(F72),INT(F72)=INT(Продажи!$D$4)),3,IF(OR(I72="Да",F72=""),4,0)))))</f>
        <v>0</v>
      </c>
      <c r="U72" s="6" t="str">
        <f>IF(T72=0,"",COUNTIFS($T$7:$T$106,"&gt;0",$T$7:$T$106,"&lt;"&amp;T72)+COUNTIFS($T$7:$T$106,T72,$Y$7:$Y$106,"&lt;"&amp;Y72)+COUNTIFS($T$7:T72,T72,$Y$7:Y72,Y72))</f>
        <v/>
      </c>
      <c r="V72" s="6" t="str">
        <f>IF(A72="","",IFERROR(INDEX(Реестр!$W$7:$W$106,MATCH(B72,Реестр!$A$7:$A$106,0)),"Нет связи"))</f>
        <v/>
      </c>
      <c r="W72" s="6" t="str">
        <f>IF(A72="","",IFERROR(INDEX(Реестр!$C$7:$C$106,MATCH(B72,Реестр!$A$7:$A$106,0)),"Нет связи"))</f>
        <v/>
      </c>
      <c r="X72" s="14" t="str">
        <f>IF(AND(S72=1,I72="Да"),COUNTIFS($S$7:$S$106,1,$I$7:$I$106,"Да",$Y$7:$Y$106,"&lt;"&amp;Y72)+COUNTIFS($S$7:S72,1,$I$7:I72,"Да",$Y$7:Y72,Y72),"")</f>
        <v/>
      </c>
      <c r="Y72" s="14" t="str">
        <f t="shared" si="8"/>
        <v/>
      </c>
    </row>
    <row r="73" spans="1:25" ht="25" customHeight="1">
      <c r="A73" s="5"/>
      <c r="B73" s="5"/>
      <c r="C73" s="5"/>
      <c r="D73" s="5"/>
      <c r="E73" s="5"/>
      <c r="F73" s="7"/>
      <c r="G73" s="5"/>
      <c r="H73" s="5"/>
      <c r="I73" s="5"/>
      <c r="J73" s="5"/>
      <c r="K73" s="5"/>
      <c r="L73" s="6" t="str">
        <f>IF(A73="","",IFERROR(INDEX(Реестр!$D$7:$D$106,MATCH(B73,Реестр!$A$7:$A$106,0)),"Нет связи"))</f>
        <v/>
      </c>
      <c r="M73" s="6" t="str">
        <f>IF(A73="","",IFERROR(INDEX(Реестр!$E$7:$E$106,MATCH(B73,Реестр!$A$7:$A$106,0)),"Нет связи"))</f>
        <v/>
      </c>
      <c r="N73" s="6">
        <f>IF(AND(A73&lt;&gt;"",H73&lt;&gt;"Закрыто",L73&lt;&gt;"Нет связи"),IF(INDEX(Реестр!$V$7:$V$106,MATCH(B73,Реестр!$A$7:$A$106,0))="Закрыто",0,1),0)</f>
        <v>0</v>
      </c>
      <c r="O73" s="12">
        <f>IF(N73=0,0,IF(F73="","Нет срока",MAX(0,(Продажи!$D$4-F73)*24)))</f>
        <v>0</v>
      </c>
      <c r="P73" s="6">
        <f>IF(AND(N73=1,ISNUMBER(F73),F73&lt;=Продажи!$D$4+2,OR(G73="Подача",G73="Дозапрос",G73="Обеспечение",G73="Обязательство клиенту")),1,0)</f>
        <v>0</v>
      </c>
      <c r="Q73" s="6">
        <f t="shared" si="6"/>
        <v>0</v>
      </c>
      <c r="R73" s="6">
        <f t="shared" si="7"/>
        <v>0</v>
      </c>
      <c r="S73" s="6">
        <f>IF(AND(N73=1,OR(Продажи!$I$4="Все",L73=Продажи!$I$4),OR(Продажи!$O$4="Все",M73=Продажи!$O$4)),1,0)</f>
        <v>0</v>
      </c>
      <c r="T73" s="6">
        <f>IF(S73=0,0,IF(P73=1,1,IF(AND(ISNUMBER(O73),O73&gt;0),2,IF(AND(ISNUMBER(F73),INT(F73)=INT(Продажи!$D$4)),3,IF(OR(I73="Да",F73=""),4,0)))))</f>
        <v>0</v>
      </c>
      <c r="U73" s="6" t="str">
        <f>IF(T73=0,"",COUNTIFS($T$7:$T$106,"&gt;0",$T$7:$T$106,"&lt;"&amp;T73)+COUNTIFS($T$7:$T$106,T73,$Y$7:$Y$106,"&lt;"&amp;Y73)+COUNTIFS($T$7:T73,T73,$Y$7:Y73,Y73))</f>
        <v/>
      </c>
      <c r="V73" s="6" t="str">
        <f>IF(A73="","",IFERROR(INDEX(Реестр!$W$7:$W$106,MATCH(B73,Реестр!$A$7:$A$106,0)),"Нет связи"))</f>
        <v/>
      </c>
      <c r="W73" s="6" t="str">
        <f>IF(A73="","",IFERROR(INDEX(Реестр!$C$7:$C$106,MATCH(B73,Реестр!$A$7:$A$106,0)),"Нет связи"))</f>
        <v/>
      </c>
      <c r="X73" s="14" t="str">
        <f>IF(AND(S73=1,I73="Да"),COUNTIFS($S$7:$S$106,1,$I$7:$I$106,"Да",$Y$7:$Y$106,"&lt;"&amp;Y73)+COUNTIFS($S$7:S73,1,$I$7:I73,"Да",$Y$7:Y73,Y73),"")</f>
        <v/>
      </c>
      <c r="Y73" s="14" t="str">
        <f t="shared" si="8"/>
        <v/>
      </c>
    </row>
    <row r="74" spans="1:25" ht="25" customHeight="1">
      <c r="A74" s="5"/>
      <c r="B74" s="5"/>
      <c r="C74" s="5"/>
      <c r="D74" s="5"/>
      <c r="E74" s="5"/>
      <c r="F74" s="7"/>
      <c r="G74" s="5"/>
      <c r="H74" s="5"/>
      <c r="I74" s="5"/>
      <c r="J74" s="5"/>
      <c r="K74" s="5"/>
      <c r="L74" s="6" t="str">
        <f>IF(A74="","",IFERROR(INDEX(Реестр!$D$7:$D$106,MATCH(B74,Реестр!$A$7:$A$106,0)),"Нет связи"))</f>
        <v/>
      </c>
      <c r="M74" s="6" t="str">
        <f>IF(A74="","",IFERROR(INDEX(Реестр!$E$7:$E$106,MATCH(B74,Реестр!$A$7:$A$106,0)),"Нет связи"))</f>
        <v/>
      </c>
      <c r="N74" s="6">
        <f>IF(AND(A74&lt;&gt;"",H74&lt;&gt;"Закрыто",L74&lt;&gt;"Нет связи"),IF(INDEX(Реестр!$V$7:$V$106,MATCH(B74,Реестр!$A$7:$A$106,0))="Закрыто",0,1),0)</f>
        <v>0</v>
      </c>
      <c r="O74" s="12">
        <f>IF(N74=0,0,IF(F74="","Нет срока",MAX(0,(Продажи!$D$4-F74)*24)))</f>
        <v>0</v>
      </c>
      <c r="P74" s="6">
        <f>IF(AND(N74=1,ISNUMBER(F74),F74&lt;=Продажи!$D$4+2,OR(G74="Подача",G74="Дозапрос",G74="Обеспечение",G74="Обязательство клиенту")),1,0)</f>
        <v>0</v>
      </c>
      <c r="Q74" s="6">
        <f t="shared" si="6"/>
        <v>0</v>
      </c>
      <c r="R74" s="6">
        <f t="shared" si="7"/>
        <v>0</v>
      </c>
      <c r="S74" s="6">
        <f>IF(AND(N74=1,OR(Продажи!$I$4="Все",L74=Продажи!$I$4),OR(Продажи!$O$4="Все",M74=Продажи!$O$4)),1,0)</f>
        <v>0</v>
      </c>
      <c r="T74" s="6">
        <f>IF(S74=0,0,IF(P74=1,1,IF(AND(ISNUMBER(O74),O74&gt;0),2,IF(AND(ISNUMBER(F74),INT(F74)=INT(Продажи!$D$4)),3,IF(OR(I74="Да",F74=""),4,0)))))</f>
        <v>0</v>
      </c>
      <c r="U74" s="6" t="str">
        <f>IF(T74=0,"",COUNTIFS($T$7:$T$106,"&gt;0",$T$7:$T$106,"&lt;"&amp;T74)+COUNTIFS($T$7:$T$106,T74,$Y$7:$Y$106,"&lt;"&amp;Y74)+COUNTIFS($T$7:T74,T74,$Y$7:Y74,Y74))</f>
        <v/>
      </c>
      <c r="V74" s="6" t="str">
        <f>IF(A74="","",IFERROR(INDEX(Реестр!$W$7:$W$106,MATCH(B74,Реестр!$A$7:$A$106,0)),"Нет связи"))</f>
        <v/>
      </c>
      <c r="W74" s="6" t="str">
        <f>IF(A74="","",IFERROR(INDEX(Реестр!$C$7:$C$106,MATCH(B74,Реестр!$A$7:$A$106,0)),"Нет связи"))</f>
        <v/>
      </c>
      <c r="X74" s="14" t="str">
        <f>IF(AND(S74=1,I74="Да"),COUNTIFS($S$7:$S$106,1,$I$7:$I$106,"Да",$Y$7:$Y$106,"&lt;"&amp;Y74)+COUNTIFS($S$7:S74,1,$I$7:I74,"Да",$Y$7:Y74,Y74),"")</f>
        <v/>
      </c>
      <c r="Y74" s="14" t="str">
        <f t="shared" si="8"/>
        <v/>
      </c>
    </row>
    <row r="75" spans="1:25" ht="25" customHeight="1">
      <c r="A75" s="5"/>
      <c r="B75" s="5"/>
      <c r="C75" s="5"/>
      <c r="D75" s="5"/>
      <c r="E75" s="5"/>
      <c r="F75" s="7"/>
      <c r="G75" s="5"/>
      <c r="H75" s="5"/>
      <c r="I75" s="5"/>
      <c r="J75" s="5"/>
      <c r="K75" s="5"/>
      <c r="L75" s="6" t="str">
        <f>IF(A75="","",IFERROR(INDEX(Реестр!$D$7:$D$106,MATCH(B75,Реестр!$A$7:$A$106,0)),"Нет связи"))</f>
        <v/>
      </c>
      <c r="M75" s="6" t="str">
        <f>IF(A75="","",IFERROR(INDEX(Реестр!$E$7:$E$106,MATCH(B75,Реестр!$A$7:$A$106,0)),"Нет связи"))</f>
        <v/>
      </c>
      <c r="N75" s="6">
        <f>IF(AND(A75&lt;&gt;"",H75&lt;&gt;"Закрыто",L75&lt;&gt;"Нет связи"),IF(INDEX(Реестр!$V$7:$V$106,MATCH(B75,Реестр!$A$7:$A$106,0))="Закрыто",0,1),0)</f>
        <v>0</v>
      </c>
      <c r="O75" s="12">
        <f>IF(N75=0,0,IF(F75="","Нет срока",MAX(0,(Продажи!$D$4-F75)*24)))</f>
        <v>0</v>
      </c>
      <c r="P75" s="6">
        <f>IF(AND(N75=1,ISNUMBER(F75),F75&lt;=Продажи!$D$4+2,OR(G75="Подача",G75="Дозапрос",G75="Обеспечение",G75="Обязательство клиенту")),1,0)</f>
        <v>0</v>
      </c>
      <c r="Q75" s="6">
        <f t="shared" si="6"/>
        <v>0</v>
      </c>
      <c r="R75" s="6">
        <f t="shared" si="7"/>
        <v>0</v>
      </c>
      <c r="S75" s="6">
        <f>IF(AND(N75=1,OR(Продажи!$I$4="Все",L75=Продажи!$I$4),OR(Продажи!$O$4="Все",M75=Продажи!$O$4)),1,0)</f>
        <v>0</v>
      </c>
      <c r="T75" s="6">
        <f>IF(S75=0,0,IF(P75=1,1,IF(AND(ISNUMBER(O75),O75&gt;0),2,IF(AND(ISNUMBER(F75),INT(F75)=INT(Продажи!$D$4)),3,IF(OR(I75="Да",F75=""),4,0)))))</f>
        <v>0</v>
      </c>
      <c r="U75" s="6" t="str">
        <f>IF(T75=0,"",COUNTIFS($T$7:$T$106,"&gt;0",$T$7:$T$106,"&lt;"&amp;T75)+COUNTIFS($T$7:$T$106,T75,$Y$7:$Y$106,"&lt;"&amp;Y75)+COUNTIFS($T$7:T75,T75,$Y$7:Y75,Y75))</f>
        <v/>
      </c>
      <c r="V75" s="6" t="str">
        <f>IF(A75="","",IFERROR(INDEX(Реестр!$W$7:$W$106,MATCH(B75,Реестр!$A$7:$A$106,0)),"Нет связи"))</f>
        <v/>
      </c>
      <c r="W75" s="6" t="str">
        <f>IF(A75="","",IFERROR(INDEX(Реестр!$C$7:$C$106,MATCH(B75,Реестр!$A$7:$A$106,0)),"Нет связи"))</f>
        <v/>
      </c>
      <c r="X75" s="14" t="str">
        <f>IF(AND(S75=1,I75="Да"),COUNTIFS($S$7:$S$106,1,$I$7:$I$106,"Да",$Y$7:$Y$106,"&lt;"&amp;Y75)+COUNTIFS($S$7:S75,1,$I$7:I75,"Да",$Y$7:Y75,Y75),"")</f>
        <v/>
      </c>
      <c r="Y75" s="14" t="str">
        <f t="shared" si="8"/>
        <v/>
      </c>
    </row>
    <row r="76" spans="1:25" ht="25" customHeight="1">
      <c r="A76" s="5"/>
      <c r="B76" s="5"/>
      <c r="C76" s="5"/>
      <c r="D76" s="5"/>
      <c r="E76" s="5"/>
      <c r="F76" s="7"/>
      <c r="G76" s="5"/>
      <c r="H76" s="5"/>
      <c r="I76" s="5"/>
      <c r="J76" s="5"/>
      <c r="K76" s="5"/>
      <c r="L76" s="6" t="str">
        <f>IF(A76="","",IFERROR(INDEX(Реестр!$D$7:$D$106,MATCH(B76,Реестр!$A$7:$A$106,0)),"Нет связи"))</f>
        <v/>
      </c>
      <c r="M76" s="6" t="str">
        <f>IF(A76="","",IFERROR(INDEX(Реестр!$E$7:$E$106,MATCH(B76,Реестр!$A$7:$A$106,0)),"Нет связи"))</f>
        <v/>
      </c>
      <c r="N76" s="6">
        <f>IF(AND(A76&lt;&gt;"",H76&lt;&gt;"Закрыто",L76&lt;&gt;"Нет связи"),IF(INDEX(Реестр!$V$7:$V$106,MATCH(B76,Реестр!$A$7:$A$106,0))="Закрыто",0,1),0)</f>
        <v>0</v>
      </c>
      <c r="O76" s="12">
        <f>IF(N76=0,0,IF(F76="","Нет срока",MAX(0,(Продажи!$D$4-F76)*24)))</f>
        <v>0</v>
      </c>
      <c r="P76" s="6">
        <f>IF(AND(N76=1,ISNUMBER(F76),F76&lt;=Продажи!$D$4+2,OR(G76="Подача",G76="Дозапрос",G76="Обеспечение",G76="Обязательство клиенту")),1,0)</f>
        <v>0</v>
      </c>
      <c r="Q76" s="6">
        <f t="shared" si="6"/>
        <v>0</v>
      </c>
      <c r="R76" s="6">
        <f t="shared" si="7"/>
        <v>0</v>
      </c>
      <c r="S76" s="6">
        <f>IF(AND(N76=1,OR(Продажи!$I$4="Все",L76=Продажи!$I$4),OR(Продажи!$O$4="Все",M76=Продажи!$O$4)),1,0)</f>
        <v>0</v>
      </c>
      <c r="T76" s="6">
        <f>IF(S76=0,0,IF(P76=1,1,IF(AND(ISNUMBER(O76),O76&gt;0),2,IF(AND(ISNUMBER(F76),INT(F76)=INT(Продажи!$D$4)),3,IF(OR(I76="Да",F76=""),4,0)))))</f>
        <v>0</v>
      </c>
      <c r="U76" s="6" t="str">
        <f>IF(T76=0,"",COUNTIFS($T$7:$T$106,"&gt;0",$T$7:$T$106,"&lt;"&amp;T76)+COUNTIFS($T$7:$T$106,T76,$Y$7:$Y$106,"&lt;"&amp;Y76)+COUNTIFS($T$7:T76,T76,$Y$7:Y76,Y76))</f>
        <v/>
      </c>
      <c r="V76" s="6" t="str">
        <f>IF(A76="","",IFERROR(INDEX(Реестр!$W$7:$W$106,MATCH(B76,Реестр!$A$7:$A$106,0)),"Нет связи"))</f>
        <v/>
      </c>
      <c r="W76" s="6" t="str">
        <f>IF(A76="","",IFERROR(INDEX(Реестр!$C$7:$C$106,MATCH(B76,Реестр!$A$7:$A$106,0)),"Нет связи"))</f>
        <v/>
      </c>
      <c r="X76" s="14" t="str">
        <f>IF(AND(S76=1,I76="Да"),COUNTIFS($S$7:$S$106,1,$I$7:$I$106,"Да",$Y$7:$Y$106,"&lt;"&amp;Y76)+COUNTIFS($S$7:S76,1,$I$7:I76,"Да",$Y$7:Y76,Y76),"")</f>
        <v/>
      </c>
      <c r="Y76" s="14" t="str">
        <f t="shared" si="8"/>
        <v/>
      </c>
    </row>
    <row r="77" spans="1:25" ht="25" customHeight="1">
      <c r="A77" s="5"/>
      <c r="B77" s="5"/>
      <c r="C77" s="5"/>
      <c r="D77" s="5"/>
      <c r="E77" s="5"/>
      <c r="F77" s="7"/>
      <c r="G77" s="5"/>
      <c r="H77" s="5"/>
      <c r="I77" s="5"/>
      <c r="J77" s="5"/>
      <c r="K77" s="5"/>
      <c r="L77" s="6" t="str">
        <f>IF(A77="","",IFERROR(INDEX(Реестр!$D$7:$D$106,MATCH(B77,Реестр!$A$7:$A$106,0)),"Нет связи"))</f>
        <v/>
      </c>
      <c r="M77" s="6" t="str">
        <f>IF(A77="","",IFERROR(INDEX(Реестр!$E$7:$E$106,MATCH(B77,Реестр!$A$7:$A$106,0)),"Нет связи"))</f>
        <v/>
      </c>
      <c r="N77" s="6">
        <f>IF(AND(A77&lt;&gt;"",H77&lt;&gt;"Закрыто",L77&lt;&gt;"Нет связи"),IF(INDEX(Реестр!$V$7:$V$106,MATCH(B77,Реестр!$A$7:$A$106,0))="Закрыто",0,1),0)</f>
        <v>0</v>
      </c>
      <c r="O77" s="12">
        <f>IF(N77=0,0,IF(F77="","Нет срока",MAX(0,(Продажи!$D$4-F77)*24)))</f>
        <v>0</v>
      </c>
      <c r="P77" s="6">
        <f>IF(AND(N77=1,ISNUMBER(F77),F77&lt;=Продажи!$D$4+2,OR(G77="Подача",G77="Дозапрос",G77="Обеспечение",G77="Обязательство клиенту")),1,0)</f>
        <v>0</v>
      </c>
      <c r="Q77" s="6">
        <f t="shared" si="6"/>
        <v>0</v>
      </c>
      <c r="R77" s="6">
        <f t="shared" si="7"/>
        <v>0</v>
      </c>
      <c r="S77" s="6">
        <f>IF(AND(N77=1,OR(Продажи!$I$4="Все",L77=Продажи!$I$4),OR(Продажи!$O$4="Все",M77=Продажи!$O$4)),1,0)</f>
        <v>0</v>
      </c>
      <c r="T77" s="6">
        <f>IF(S77=0,0,IF(P77=1,1,IF(AND(ISNUMBER(O77),O77&gt;0),2,IF(AND(ISNUMBER(F77),INT(F77)=INT(Продажи!$D$4)),3,IF(OR(I77="Да",F77=""),4,0)))))</f>
        <v>0</v>
      </c>
      <c r="U77" s="6" t="str">
        <f>IF(T77=0,"",COUNTIFS($T$7:$T$106,"&gt;0",$T$7:$T$106,"&lt;"&amp;T77)+COUNTIFS($T$7:$T$106,T77,$Y$7:$Y$106,"&lt;"&amp;Y77)+COUNTIFS($T$7:T77,T77,$Y$7:Y77,Y77))</f>
        <v/>
      </c>
      <c r="V77" s="6" t="str">
        <f>IF(A77="","",IFERROR(INDEX(Реестр!$W$7:$W$106,MATCH(B77,Реестр!$A$7:$A$106,0)),"Нет связи"))</f>
        <v/>
      </c>
      <c r="W77" s="6" t="str">
        <f>IF(A77="","",IFERROR(INDEX(Реестр!$C$7:$C$106,MATCH(B77,Реестр!$A$7:$A$106,0)),"Нет связи"))</f>
        <v/>
      </c>
      <c r="X77" s="14" t="str">
        <f>IF(AND(S77=1,I77="Да"),COUNTIFS($S$7:$S$106,1,$I$7:$I$106,"Да",$Y$7:$Y$106,"&lt;"&amp;Y77)+COUNTIFS($S$7:S77,1,$I$7:I77,"Да",$Y$7:Y77,Y77),"")</f>
        <v/>
      </c>
      <c r="Y77" s="14" t="str">
        <f t="shared" si="8"/>
        <v/>
      </c>
    </row>
    <row r="78" spans="1:25" ht="25" customHeight="1">
      <c r="A78" s="5"/>
      <c r="B78" s="5"/>
      <c r="C78" s="5"/>
      <c r="D78" s="5"/>
      <c r="E78" s="5"/>
      <c r="F78" s="7"/>
      <c r="G78" s="5"/>
      <c r="H78" s="5"/>
      <c r="I78" s="5"/>
      <c r="J78" s="5"/>
      <c r="K78" s="5"/>
      <c r="L78" s="6" t="str">
        <f>IF(A78="","",IFERROR(INDEX(Реестр!$D$7:$D$106,MATCH(B78,Реестр!$A$7:$A$106,0)),"Нет связи"))</f>
        <v/>
      </c>
      <c r="M78" s="6" t="str">
        <f>IF(A78="","",IFERROR(INDEX(Реестр!$E$7:$E$106,MATCH(B78,Реестр!$A$7:$A$106,0)),"Нет связи"))</f>
        <v/>
      </c>
      <c r="N78" s="6">
        <f>IF(AND(A78&lt;&gt;"",H78&lt;&gt;"Закрыто",L78&lt;&gt;"Нет связи"),IF(INDEX(Реестр!$V$7:$V$106,MATCH(B78,Реестр!$A$7:$A$106,0))="Закрыто",0,1),0)</f>
        <v>0</v>
      </c>
      <c r="O78" s="12">
        <f>IF(N78=0,0,IF(F78="","Нет срока",MAX(0,(Продажи!$D$4-F78)*24)))</f>
        <v>0</v>
      </c>
      <c r="P78" s="6">
        <f>IF(AND(N78=1,ISNUMBER(F78),F78&lt;=Продажи!$D$4+2,OR(G78="Подача",G78="Дозапрос",G78="Обеспечение",G78="Обязательство клиенту")),1,0)</f>
        <v>0</v>
      </c>
      <c r="Q78" s="6">
        <f t="shared" si="6"/>
        <v>0</v>
      </c>
      <c r="R78" s="6">
        <f t="shared" si="7"/>
        <v>0</v>
      </c>
      <c r="S78" s="6">
        <f>IF(AND(N78=1,OR(Продажи!$I$4="Все",L78=Продажи!$I$4),OR(Продажи!$O$4="Все",M78=Продажи!$O$4)),1,0)</f>
        <v>0</v>
      </c>
      <c r="T78" s="6">
        <f>IF(S78=0,0,IF(P78=1,1,IF(AND(ISNUMBER(O78),O78&gt;0),2,IF(AND(ISNUMBER(F78),INT(F78)=INT(Продажи!$D$4)),3,IF(OR(I78="Да",F78=""),4,0)))))</f>
        <v>0</v>
      </c>
      <c r="U78" s="6" t="str">
        <f>IF(T78=0,"",COUNTIFS($T$7:$T$106,"&gt;0",$T$7:$T$106,"&lt;"&amp;T78)+COUNTIFS($T$7:$T$106,T78,$Y$7:$Y$106,"&lt;"&amp;Y78)+COUNTIFS($T$7:T78,T78,$Y$7:Y78,Y78))</f>
        <v/>
      </c>
      <c r="V78" s="6" t="str">
        <f>IF(A78="","",IFERROR(INDEX(Реестр!$W$7:$W$106,MATCH(B78,Реестр!$A$7:$A$106,0)),"Нет связи"))</f>
        <v/>
      </c>
      <c r="W78" s="6" t="str">
        <f>IF(A78="","",IFERROR(INDEX(Реестр!$C$7:$C$106,MATCH(B78,Реестр!$A$7:$A$106,0)),"Нет связи"))</f>
        <v/>
      </c>
      <c r="X78" s="14" t="str">
        <f>IF(AND(S78=1,I78="Да"),COUNTIFS($S$7:$S$106,1,$I$7:$I$106,"Да",$Y$7:$Y$106,"&lt;"&amp;Y78)+COUNTIFS($S$7:S78,1,$I$7:I78,"Да",$Y$7:Y78,Y78),"")</f>
        <v/>
      </c>
      <c r="Y78" s="14" t="str">
        <f t="shared" si="8"/>
        <v/>
      </c>
    </row>
    <row r="79" spans="1:25" ht="25" customHeight="1">
      <c r="A79" s="5"/>
      <c r="B79" s="5"/>
      <c r="C79" s="5"/>
      <c r="D79" s="5"/>
      <c r="E79" s="5"/>
      <c r="F79" s="7"/>
      <c r="G79" s="5"/>
      <c r="H79" s="5"/>
      <c r="I79" s="5"/>
      <c r="J79" s="5"/>
      <c r="K79" s="5"/>
      <c r="L79" s="6" t="str">
        <f>IF(A79="","",IFERROR(INDEX(Реестр!$D$7:$D$106,MATCH(B79,Реестр!$A$7:$A$106,0)),"Нет связи"))</f>
        <v/>
      </c>
      <c r="M79" s="6" t="str">
        <f>IF(A79="","",IFERROR(INDEX(Реестр!$E$7:$E$106,MATCH(B79,Реестр!$A$7:$A$106,0)),"Нет связи"))</f>
        <v/>
      </c>
      <c r="N79" s="6">
        <f>IF(AND(A79&lt;&gt;"",H79&lt;&gt;"Закрыто",L79&lt;&gt;"Нет связи"),IF(INDEX(Реестр!$V$7:$V$106,MATCH(B79,Реестр!$A$7:$A$106,0))="Закрыто",0,1),0)</f>
        <v>0</v>
      </c>
      <c r="O79" s="12">
        <f>IF(N79=0,0,IF(F79="","Нет срока",MAX(0,(Продажи!$D$4-F79)*24)))</f>
        <v>0</v>
      </c>
      <c r="P79" s="6">
        <f>IF(AND(N79=1,ISNUMBER(F79),F79&lt;=Продажи!$D$4+2,OR(G79="Подача",G79="Дозапрос",G79="Обеспечение",G79="Обязательство клиенту")),1,0)</f>
        <v>0</v>
      </c>
      <c r="Q79" s="6">
        <f t="shared" si="6"/>
        <v>0</v>
      </c>
      <c r="R79" s="6">
        <f t="shared" si="7"/>
        <v>0</v>
      </c>
      <c r="S79" s="6">
        <f>IF(AND(N79=1,OR(Продажи!$I$4="Все",L79=Продажи!$I$4),OR(Продажи!$O$4="Все",M79=Продажи!$O$4)),1,0)</f>
        <v>0</v>
      </c>
      <c r="T79" s="6">
        <f>IF(S79=0,0,IF(P79=1,1,IF(AND(ISNUMBER(O79),O79&gt;0),2,IF(AND(ISNUMBER(F79),INT(F79)=INT(Продажи!$D$4)),3,IF(OR(I79="Да",F79=""),4,0)))))</f>
        <v>0</v>
      </c>
      <c r="U79" s="6" t="str">
        <f>IF(T79=0,"",COUNTIFS($T$7:$T$106,"&gt;0",$T$7:$T$106,"&lt;"&amp;T79)+COUNTIFS($T$7:$T$106,T79,$Y$7:$Y$106,"&lt;"&amp;Y79)+COUNTIFS($T$7:T79,T79,$Y$7:Y79,Y79))</f>
        <v/>
      </c>
      <c r="V79" s="6" t="str">
        <f>IF(A79="","",IFERROR(INDEX(Реестр!$W$7:$W$106,MATCH(B79,Реестр!$A$7:$A$106,0)),"Нет связи"))</f>
        <v/>
      </c>
      <c r="W79" s="6" t="str">
        <f>IF(A79="","",IFERROR(INDEX(Реестр!$C$7:$C$106,MATCH(B79,Реестр!$A$7:$A$106,0)),"Нет связи"))</f>
        <v/>
      </c>
      <c r="X79" s="14" t="str">
        <f>IF(AND(S79=1,I79="Да"),COUNTIFS($S$7:$S$106,1,$I$7:$I$106,"Да",$Y$7:$Y$106,"&lt;"&amp;Y79)+COUNTIFS($S$7:S79,1,$I$7:I79,"Да",$Y$7:Y79,Y79),"")</f>
        <v/>
      </c>
      <c r="Y79" s="14" t="str">
        <f t="shared" si="8"/>
        <v/>
      </c>
    </row>
    <row r="80" spans="1:25" ht="25" customHeight="1">
      <c r="A80" s="5"/>
      <c r="B80" s="5"/>
      <c r="C80" s="5"/>
      <c r="D80" s="5"/>
      <c r="E80" s="5"/>
      <c r="F80" s="7"/>
      <c r="G80" s="5"/>
      <c r="H80" s="5"/>
      <c r="I80" s="5"/>
      <c r="J80" s="5"/>
      <c r="K80" s="5"/>
      <c r="L80" s="6" t="str">
        <f>IF(A80="","",IFERROR(INDEX(Реестр!$D$7:$D$106,MATCH(B80,Реестр!$A$7:$A$106,0)),"Нет связи"))</f>
        <v/>
      </c>
      <c r="M80" s="6" t="str">
        <f>IF(A80="","",IFERROR(INDEX(Реестр!$E$7:$E$106,MATCH(B80,Реестр!$A$7:$A$106,0)),"Нет связи"))</f>
        <v/>
      </c>
      <c r="N80" s="6">
        <f>IF(AND(A80&lt;&gt;"",H80&lt;&gt;"Закрыто",L80&lt;&gt;"Нет связи"),IF(INDEX(Реестр!$V$7:$V$106,MATCH(B80,Реестр!$A$7:$A$106,0))="Закрыто",0,1),0)</f>
        <v>0</v>
      </c>
      <c r="O80" s="12">
        <f>IF(N80=0,0,IF(F80="","Нет срока",MAX(0,(Продажи!$D$4-F80)*24)))</f>
        <v>0</v>
      </c>
      <c r="P80" s="6">
        <f>IF(AND(N80=1,ISNUMBER(F80),F80&lt;=Продажи!$D$4+2,OR(G80="Подача",G80="Дозапрос",G80="Обеспечение",G80="Обязательство клиенту")),1,0)</f>
        <v>0</v>
      </c>
      <c r="Q80" s="6">
        <f t="shared" si="6"/>
        <v>0</v>
      </c>
      <c r="R80" s="6">
        <f t="shared" si="7"/>
        <v>0</v>
      </c>
      <c r="S80" s="6">
        <f>IF(AND(N80=1,OR(Продажи!$I$4="Все",L80=Продажи!$I$4),OR(Продажи!$O$4="Все",M80=Продажи!$O$4)),1,0)</f>
        <v>0</v>
      </c>
      <c r="T80" s="6">
        <f>IF(S80=0,0,IF(P80=1,1,IF(AND(ISNUMBER(O80),O80&gt;0),2,IF(AND(ISNUMBER(F80),INT(F80)=INT(Продажи!$D$4)),3,IF(OR(I80="Да",F80=""),4,0)))))</f>
        <v>0</v>
      </c>
      <c r="U80" s="6" t="str">
        <f>IF(T80=0,"",COUNTIFS($T$7:$T$106,"&gt;0",$T$7:$T$106,"&lt;"&amp;T80)+COUNTIFS($T$7:$T$106,T80,$Y$7:$Y$106,"&lt;"&amp;Y80)+COUNTIFS($T$7:T80,T80,$Y$7:Y80,Y80))</f>
        <v/>
      </c>
      <c r="V80" s="6" t="str">
        <f>IF(A80="","",IFERROR(INDEX(Реестр!$W$7:$W$106,MATCH(B80,Реестр!$A$7:$A$106,0)),"Нет связи"))</f>
        <v/>
      </c>
      <c r="W80" s="6" t="str">
        <f>IF(A80="","",IFERROR(INDEX(Реестр!$C$7:$C$106,MATCH(B80,Реестр!$A$7:$A$106,0)),"Нет связи"))</f>
        <v/>
      </c>
      <c r="X80" s="14" t="str">
        <f>IF(AND(S80=1,I80="Да"),COUNTIFS($S$7:$S$106,1,$I$7:$I$106,"Да",$Y$7:$Y$106,"&lt;"&amp;Y80)+COUNTIFS($S$7:S80,1,$I$7:I80,"Да",$Y$7:Y80,Y80),"")</f>
        <v/>
      </c>
      <c r="Y80" s="14" t="str">
        <f t="shared" si="8"/>
        <v/>
      </c>
    </row>
    <row r="81" spans="1:25" ht="25" customHeight="1">
      <c r="A81" s="5"/>
      <c r="B81" s="5"/>
      <c r="C81" s="5"/>
      <c r="D81" s="5"/>
      <c r="E81" s="5"/>
      <c r="F81" s="7"/>
      <c r="G81" s="5"/>
      <c r="H81" s="5"/>
      <c r="I81" s="5"/>
      <c r="J81" s="5"/>
      <c r="K81" s="5"/>
      <c r="L81" s="6" t="str">
        <f>IF(A81="","",IFERROR(INDEX(Реестр!$D$7:$D$106,MATCH(B81,Реестр!$A$7:$A$106,0)),"Нет связи"))</f>
        <v/>
      </c>
      <c r="M81" s="6" t="str">
        <f>IF(A81="","",IFERROR(INDEX(Реестр!$E$7:$E$106,MATCH(B81,Реестр!$A$7:$A$106,0)),"Нет связи"))</f>
        <v/>
      </c>
      <c r="N81" s="6">
        <f>IF(AND(A81&lt;&gt;"",H81&lt;&gt;"Закрыто",L81&lt;&gt;"Нет связи"),IF(INDEX(Реестр!$V$7:$V$106,MATCH(B81,Реестр!$A$7:$A$106,0))="Закрыто",0,1),0)</f>
        <v>0</v>
      </c>
      <c r="O81" s="12">
        <f>IF(N81=0,0,IF(F81="","Нет срока",MAX(0,(Продажи!$D$4-F81)*24)))</f>
        <v>0</v>
      </c>
      <c r="P81" s="6">
        <f>IF(AND(N81=1,ISNUMBER(F81),F81&lt;=Продажи!$D$4+2,OR(G81="Подача",G81="Дозапрос",G81="Обеспечение",G81="Обязательство клиенту")),1,0)</f>
        <v>0</v>
      </c>
      <c r="Q81" s="6">
        <f t="shared" si="6"/>
        <v>0</v>
      </c>
      <c r="R81" s="6">
        <f t="shared" si="7"/>
        <v>0</v>
      </c>
      <c r="S81" s="6">
        <f>IF(AND(N81=1,OR(Продажи!$I$4="Все",L81=Продажи!$I$4),OR(Продажи!$O$4="Все",M81=Продажи!$O$4)),1,0)</f>
        <v>0</v>
      </c>
      <c r="T81" s="6">
        <f>IF(S81=0,0,IF(P81=1,1,IF(AND(ISNUMBER(O81),O81&gt;0),2,IF(AND(ISNUMBER(F81),INT(F81)=INT(Продажи!$D$4)),3,IF(OR(I81="Да",F81=""),4,0)))))</f>
        <v>0</v>
      </c>
      <c r="U81" s="6" t="str">
        <f>IF(T81=0,"",COUNTIFS($T$7:$T$106,"&gt;0",$T$7:$T$106,"&lt;"&amp;T81)+COUNTIFS($T$7:$T$106,T81,$Y$7:$Y$106,"&lt;"&amp;Y81)+COUNTIFS($T$7:T81,T81,$Y$7:Y81,Y81))</f>
        <v/>
      </c>
      <c r="V81" s="6" t="str">
        <f>IF(A81="","",IFERROR(INDEX(Реестр!$W$7:$W$106,MATCH(B81,Реестр!$A$7:$A$106,0)),"Нет связи"))</f>
        <v/>
      </c>
      <c r="W81" s="6" t="str">
        <f>IF(A81="","",IFERROR(INDEX(Реестр!$C$7:$C$106,MATCH(B81,Реестр!$A$7:$A$106,0)),"Нет связи"))</f>
        <v/>
      </c>
      <c r="X81" s="14" t="str">
        <f>IF(AND(S81=1,I81="Да"),COUNTIFS($S$7:$S$106,1,$I$7:$I$106,"Да",$Y$7:$Y$106,"&lt;"&amp;Y81)+COUNTIFS($S$7:S81,1,$I$7:I81,"Да",$Y$7:Y81,Y81),"")</f>
        <v/>
      </c>
      <c r="Y81" s="14" t="str">
        <f t="shared" si="8"/>
        <v/>
      </c>
    </row>
    <row r="82" spans="1:25" ht="25" customHeight="1">
      <c r="A82" s="5"/>
      <c r="B82" s="5"/>
      <c r="C82" s="5"/>
      <c r="D82" s="5"/>
      <c r="E82" s="5"/>
      <c r="F82" s="7"/>
      <c r="G82" s="5"/>
      <c r="H82" s="5"/>
      <c r="I82" s="5"/>
      <c r="J82" s="5"/>
      <c r="K82" s="5"/>
      <c r="L82" s="6" t="str">
        <f>IF(A82="","",IFERROR(INDEX(Реестр!$D$7:$D$106,MATCH(B82,Реестр!$A$7:$A$106,0)),"Нет связи"))</f>
        <v/>
      </c>
      <c r="M82" s="6" t="str">
        <f>IF(A82="","",IFERROR(INDEX(Реестр!$E$7:$E$106,MATCH(B82,Реестр!$A$7:$A$106,0)),"Нет связи"))</f>
        <v/>
      </c>
      <c r="N82" s="6">
        <f>IF(AND(A82&lt;&gt;"",H82&lt;&gt;"Закрыто",L82&lt;&gt;"Нет связи"),IF(INDEX(Реестр!$V$7:$V$106,MATCH(B82,Реестр!$A$7:$A$106,0))="Закрыто",0,1),0)</f>
        <v>0</v>
      </c>
      <c r="O82" s="12">
        <f>IF(N82=0,0,IF(F82="","Нет срока",MAX(0,(Продажи!$D$4-F82)*24)))</f>
        <v>0</v>
      </c>
      <c r="P82" s="6">
        <f>IF(AND(N82=1,ISNUMBER(F82),F82&lt;=Продажи!$D$4+2,OR(G82="Подача",G82="Дозапрос",G82="Обеспечение",G82="Обязательство клиенту")),1,0)</f>
        <v>0</v>
      </c>
      <c r="Q82" s="6">
        <f t="shared" si="6"/>
        <v>0</v>
      </c>
      <c r="R82" s="6">
        <f t="shared" si="7"/>
        <v>0</v>
      </c>
      <c r="S82" s="6">
        <f>IF(AND(N82=1,OR(Продажи!$I$4="Все",L82=Продажи!$I$4),OR(Продажи!$O$4="Все",M82=Продажи!$O$4)),1,0)</f>
        <v>0</v>
      </c>
      <c r="T82" s="6">
        <f>IF(S82=0,0,IF(P82=1,1,IF(AND(ISNUMBER(O82),O82&gt;0),2,IF(AND(ISNUMBER(F82),INT(F82)=INT(Продажи!$D$4)),3,IF(OR(I82="Да",F82=""),4,0)))))</f>
        <v>0</v>
      </c>
      <c r="U82" s="6" t="str">
        <f>IF(T82=0,"",COUNTIFS($T$7:$T$106,"&gt;0",$T$7:$T$106,"&lt;"&amp;T82)+COUNTIFS($T$7:$T$106,T82,$Y$7:$Y$106,"&lt;"&amp;Y82)+COUNTIFS($T$7:T82,T82,$Y$7:Y82,Y82))</f>
        <v/>
      </c>
      <c r="V82" s="6" t="str">
        <f>IF(A82="","",IFERROR(INDEX(Реестр!$W$7:$W$106,MATCH(B82,Реестр!$A$7:$A$106,0)),"Нет связи"))</f>
        <v/>
      </c>
      <c r="W82" s="6" t="str">
        <f>IF(A82="","",IFERROR(INDEX(Реестр!$C$7:$C$106,MATCH(B82,Реестр!$A$7:$A$106,0)),"Нет связи"))</f>
        <v/>
      </c>
      <c r="X82" s="14" t="str">
        <f>IF(AND(S82=1,I82="Да"),COUNTIFS($S$7:$S$106,1,$I$7:$I$106,"Да",$Y$7:$Y$106,"&lt;"&amp;Y82)+COUNTIFS($S$7:S82,1,$I$7:I82,"Да",$Y$7:Y82,Y82),"")</f>
        <v/>
      </c>
      <c r="Y82" s="14" t="str">
        <f t="shared" si="8"/>
        <v/>
      </c>
    </row>
    <row r="83" spans="1:25" ht="25" customHeight="1">
      <c r="A83" s="5"/>
      <c r="B83" s="5"/>
      <c r="C83" s="5"/>
      <c r="D83" s="5"/>
      <c r="E83" s="5"/>
      <c r="F83" s="7"/>
      <c r="G83" s="5"/>
      <c r="H83" s="5"/>
      <c r="I83" s="5"/>
      <c r="J83" s="5"/>
      <c r="K83" s="5"/>
      <c r="L83" s="6" t="str">
        <f>IF(A83="","",IFERROR(INDEX(Реестр!$D$7:$D$106,MATCH(B83,Реестр!$A$7:$A$106,0)),"Нет связи"))</f>
        <v/>
      </c>
      <c r="M83" s="6" t="str">
        <f>IF(A83="","",IFERROR(INDEX(Реестр!$E$7:$E$106,MATCH(B83,Реестр!$A$7:$A$106,0)),"Нет связи"))</f>
        <v/>
      </c>
      <c r="N83" s="6">
        <f>IF(AND(A83&lt;&gt;"",H83&lt;&gt;"Закрыто",L83&lt;&gt;"Нет связи"),IF(INDEX(Реестр!$V$7:$V$106,MATCH(B83,Реестр!$A$7:$A$106,0))="Закрыто",0,1),0)</f>
        <v>0</v>
      </c>
      <c r="O83" s="12">
        <f>IF(N83=0,0,IF(F83="","Нет срока",MAX(0,(Продажи!$D$4-F83)*24)))</f>
        <v>0</v>
      </c>
      <c r="P83" s="6">
        <f>IF(AND(N83=1,ISNUMBER(F83),F83&lt;=Продажи!$D$4+2,OR(G83="Подача",G83="Дозапрос",G83="Обеспечение",G83="Обязательство клиенту")),1,0)</f>
        <v>0</v>
      </c>
      <c r="Q83" s="6">
        <f t="shared" si="6"/>
        <v>0</v>
      </c>
      <c r="R83" s="6">
        <f t="shared" si="7"/>
        <v>0</v>
      </c>
      <c r="S83" s="6">
        <f>IF(AND(N83=1,OR(Продажи!$I$4="Все",L83=Продажи!$I$4),OR(Продажи!$O$4="Все",M83=Продажи!$O$4)),1,0)</f>
        <v>0</v>
      </c>
      <c r="T83" s="6">
        <f>IF(S83=0,0,IF(P83=1,1,IF(AND(ISNUMBER(O83),O83&gt;0),2,IF(AND(ISNUMBER(F83),INT(F83)=INT(Продажи!$D$4)),3,IF(OR(I83="Да",F83=""),4,0)))))</f>
        <v>0</v>
      </c>
      <c r="U83" s="6" t="str">
        <f>IF(T83=0,"",COUNTIFS($T$7:$T$106,"&gt;0",$T$7:$T$106,"&lt;"&amp;T83)+COUNTIFS($T$7:$T$106,T83,$Y$7:$Y$106,"&lt;"&amp;Y83)+COUNTIFS($T$7:T83,T83,$Y$7:Y83,Y83))</f>
        <v/>
      </c>
      <c r="V83" s="6" t="str">
        <f>IF(A83="","",IFERROR(INDEX(Реестр!$W$7:$W$106,MATCH(B83,Реестр!$A$7:$A$106,0)),"Нет связи"))</f>
        <v/>
      </c>
      <c r="W83" s="6" t="str">
        <f>IF(A83="","",IFERROR(INDEX(Реестр!$C$7:$C$106,MATCH(B83,Реестр!$A$7:$A$106,0)),"Нет связи"))</f>
        <v/>
      </c>
      <c r="X83" s="14" t="str">
        <f>IF(AND(S83=1,I83="Да"),COUNTIFS($S$7:$S$106,1,$I$7:$I$106,"Да",$Y$7:$Y$106,"&lt;"&amp;Y83)+COUNTIFS($S$7:S83,1,$I$7:I83,"Да",$Y$7:Y83,Y83),"")</f>
        <v/>
      </c>
      <c r="Y83" s="14" t="str">
        <f t="shared" si="8"/>
        <v/>
      </c>
    </row>
    <row r="84" spans="1:25" ht="25" customHeight="1">
      <c r="A84" s="5"/>
      <c r="B84" s="5"/>
      <c r="C84" s="5"/>
      <c r="D84" s="5"/>
      <c r="E84" s="5"/>
      <c r="F84" s="7"/>
      <c r="G84" s="5"/>
      <c r="H84" s="5"/>
      <c r="I84" s="5"/>
      <c r="J84" s="5"/>
      <c r="K84" s="5"/>
      <c r="L84" s="6" t="str">
        <f>IF(A84="","",IFERROR(INDEX(Реестр!$D$7:$D$106,MATCH(B84,Реестр!$A$7:$A$106,0)),"Нет связи"))</f>
        <v/>
      </c>
      <c r="M84" s="6" t="str">
        <f>IF(A84="","",IFERROR(INDEX(Реестр!$E$7:$E$106,MATCH(B84,Реестр!$A$7:$A$106,0)),"Нет связи"))</f>
        <v/>
      </c>
      <c r="N84" s="6">
        <f>IF(AND(A84&lt;&gt;"",H84&lt;&gt;"Закрыто",L84&lt;&gt;"Нет связи"),IF(INDEX(Реестр!$V$7:$V$106,MATCH(B84,Реестр!$A$7:$A$106,0))="Закрыто",0,1),0)</f>
        <v>0</v>
      </c>
      <c r="O84" s="12">
        <f>IF(N84=0,0,IF(F84="","Нет срока",MAX(0,(Продажи!$D$4-F84)*24)))</f>
        <v>0</v>
      </c>
      <c r="P84" s="6">
        <f>IF(AND(N84=1,ISNUMBER(F84),F84&lt;=Продажи!$D$4+2,OR(G84="Подача",G84="Дозапрос",G84="Обеспечение",G84="Обязательство клиенту")),1,0)</f>
        <v>0</v>
      </c>
      <c r="Q84" s="6">
        <f t="shared" si="6"/>
        <v>0</v>
      </c>
      <c r="R84" s="6">
        <f t="shared" si="7"/>
        <v>0</v>
      </c>
      <c r="S84" s="6">
        <f>IF(AND(N84=1,OR(Продажи!$I$4="Все",L84=Продажи!$I$4),OR(Продажи!$O$4="Все",M84=Продажи!$O$4)),1,0)</f>
        <v>0</v>
      </c>
      <c r="T84" s="6">
        <f>IF(S84=0,0,IF(P84=1,1,IF(AND(ISNUMBER(O84),O84&gt;0),2,IF(AND(ISNUMBER(F84),INT(F84)=INT(Продажи!$D$4)),3,IF(OR(I84="Да",F84=""),4,0)))))</f>
        <v>0</v>
      </c>
      <c r="U84" s="6" t="str">
        <f>IF(T84=0,"",COUNTIFS($T$7:$T$106,"&gt;0",$T$7:$T$106,"&lt;"&amp;T84)+COUNTIFS($T$7:$T$106,T84,$Y$7:$Y$106,"&lt;"&amp;Y84)+COUNTIFS($T$7:T84,T84,$Y$7:Y84,Y84))</f>
        <v/>
      </c>
      <c r="V84" s="6" t="str">
        <f>IF(A84="","",IFERROR(INDEX(Реестр!$W$7:$W$106,MATCH(B84,Реестр!$A$7:$A$106,0)),"Нет связи"))</f>
        <v/>
      </c>
      <c r="W84" s="6" t="str">
        <f>IF(A84="","",IFERROR(INDEX(Реестр!$C$7:$C$106,MATCH(B84,Реестр!$A$7:$A$106,0)),"Нет связи"))</f>
        <v/>
      </c>
      <c r="X84" s="14" t="str">
        <f>IF(AND(S84=1,I84="Да"),COUNTIFS($S$7:$S$106,1,$I$7:$I$106,"Да",$Y$7:$Y$106,"&lt;"&amp;Y84)+COUNTIFS($S$7:S84,1,$I$7:I84,"Да",$Y$7:Y84,Y84),"")</f>
        <v/>
      </c>
      <c r="Y84" s="14" t="str">
        <f t="shared" si="8"/>
        <v/>
      </c>
    </row>
    <row r="85" spans="1:25" ht="25" customHeight="1">
      <c r="A85" s="5"/>
      <c r="B85" s="5"/>
      <c r="C85" s="5"/>
      <c r="D85" s="5"/>
      <c r="E85" s="5"/>
      <c r="F85" s="7"/>
      <c r="G85" s="5"/>
      <c r="H85" s="5"/>
      <c r="I85" s="5"/>
      <c r="J85" s="5"/>
      <c r="K85" s="5"/>
      <c r="L85" s="6" t="str">
        <f>IF(A85="","",IFERROR(INDEX(Реестр!$D$7:$D$106,MATCH(B85,Реестр!$A$7:$A$106,0)),"Нет связи"))</f>
        <v/>
      </c>
      <c r="M85" s="6" t="str">
        <f>IF(A85="","",IFERROR(INDEX(Реестр!$E$7:$E$106,MATCH(B85,Реестр!$A$7:$A$106,0)),"Нет связи"))</f>
        <v/>
      </c>
      <c r="N85" s="6">
        <f>IF(AND(A85&lt;&gt;"",H85&lt;&gt;"Закрыто",L85&lt;&gt;"Нет связи"),IF(INDEX(Реестр!$V$7:$V$106,MATCH(B85,Реестр!$A$7:$A$106,0))="Закрыто",0,1),0)</f>
        <v>0</v>
      </c>
      <c r="O85" s="12">
        <f>IF(N85=0,0,IF(F85="","Нет срока",MAX(0,(Продажи!$D$4-F85)*24)))</f>
        <v>0</v>
      </c>
      <c r="P85" s="6">
        <f>IF(AND(N85=1,ISNUMBER(F85),F85&lt;=Продажи!$D$4+2,OR(G85="Подача",G85="Дозапрос",G85="Обеспечение",G85="Обязательство клиенту")),1,0)</f>
        <v>0</v>
      </c>
      <c r="Q85" s="6">
        <f t="shared" si="6"/>
        <v>0</v>
      </c>
      <c r="R85" s="6">
        <f t="shared" si="7"/>
        <v>0</v>
      </c>
      <c r="S85" s="6">
        <f>IF(AND(N85=1,OR(Продажи!$I$4="Все",L85=Продажи!$I$4),OR(Продажи!$O$4="Все",M85=Продажи!$O$4)),1,0)</f>
        <v>0</v>
      </c>
      <c r="T85" s="6">
        <f>IF(S85=0,0,IF(P85=1,1,IF(AND(ISNUMBER(O85),O85&gt;0),2,IF(AND(ISNUMBER(F85),INT(F85)=INT(Продажи!$D$4)),3,IF(OR(I85="Да",F85=""),4,0)))))</f>
        <v>0</v>
      </c>
      <c r="U85" s="6" t="str">
        <f>IF(T85=0,"",COUNTIFS($T$7:$T$106,"&gt;0",$T$7:$T$106,"&lt;"&amp;T85)+COUNTIFS($T$7:$T$106,T85,$Y$7:$Y$106,"&lt;"&amp;Y85)+COUNTIFS($T$7:T85,T85,$Y$7:Y85,Y85))</f>
        <v/>
      </c>
      <c r="V85" s="6" t="str">
        <f>IF(A85="","",IFERROR(INDEX(Реестр!$W$7:$W$106,MATCH(B85,Реестр!$A$7:$A$106,0)),"Нет связи"))</f>
        <v/>
      </c>
      <c r="W85" s="6" t="str">
        <f>IF(A85="","",IFERROR(INDEX(Реестр!$C$7:$C$106,MATCH(B85,Реестр!$A$7:$A$106,0)),"Нет связи"))</f>
        <v/>
      </c>
      <c r="X85" s="14" t="str">
        <f>IF(AND(S85=1,I85="Да"),COUNTIFS($S$7:$S$106,1,$I$7:$I$106,"Да",$Y$7:$Y$106,"&lt;"&amp;Y85)+COUNTIFS($S$7:S85,1,$I$7:I85,"Да",$Y$7:Y85,Y85),"")</f>
        <v/>
      </c>
      <c r="Y85" s="14" t="str">
        <f t="shared" si="8"/>
        <v/>
      </c>
    </row>
    <row r="86" spans="1:25" ht="25" customHeight="1">
      <c r="A86" s="5"/>
      <c r="B86" s="5"/>
      <c r="C86" s="5"/>
      <c r="D86" s="5"/>
      <c r="E86" s="5"/>
      <c r="F86" s="7"/>
      <c r="G86" s="5"/>
      <c r="H86" s="5"/>
      <c r="I86" s="5"/>
      <c r="J86" s="5"/>
      <c r="K86" s="5"/>
      <c r="L86" s="6" t="str">
        <f>IF(A86="","",IFERROR(INDEX(Реестр!$D$7:$D$106,MATCH(B86,Реестр!$A$7:$A$106,0)),"Нет связи"))</f>
        <v/>
      </c>
      <c r="M86" s="6" t="str">
        <f>IF(A86="","",IFERROR(INDEX(Реестр!$E$7:$E$106,MATCH(B86,Реестр!$A$7:$A$106,0)),"Нет связи"))</f>
        <v/>
      </c>
      <c r="N86" s="6">
        <f>IF(AND(A86&lt;&gt;"",H86&lt;&gt;"Закрыто",L86&lt;&gt;"Нет связи"),IF(INDEX(Реестр!$V$7:$V$106,MATCH(B86,Реестр!$A$7:$A$106,0))="Закрыто",0,1),0)</f>
        <v>0</v>
      </c>
      <c r="O86" s="12">
        <f>IF(N86=0,0,IF(F86="","Нет срока",MAX(0,(Продажи!$D$4-F86)*24)))</f>
        <v>0</v>
      </c>
      <c r="P86" s="6">
        <f>IF(AND(N86=1,ISNUMBER(F86),F86&lt;=Продажи!$D$4+2,OR(G86="Подача",G86="Дозапрос",G86="Обеспечение",G86="Обязательство клиенту")),1,0)</f>
        <v>0</v>
      </c>
      <c r="Q86" s="6">
        <f t="shared" si="6"/>
        <v>0</v>
      </c>
      <c r="R86" s="6">
        <f t="shared" si="7"/>
        <v>0</v>
      </c>
      <c r="S86" s="6">
        <f>IF(AND(N86=1,OR(Продажи!$I$4="Все",L86=Продажи!$I$4),OR(Продажи!$O$4="Все",M86=Продажи!$O$4)),1,0)</f>
        <v>0</v>
      </c>
      <c r="T86" s="6">
        <f>IF(S86=0,0,IF(P86=1,1,IF(AND(ISNUMBER(O86),O86&gt;0),2,IF(AND(ISNUMBER(F86),INT(F86)=INT(Продажи!$D$4)),3,IF(OR(I86="Да",F86=""),4,0)))))</f>
        <v>0</v>
      </c>
      <c r="U86" s="6" t="str">
        <f>IF(T86=0,"",COUNTIFS($T$7:$T$106,"&gt;0",$T$7:$T$106,"&lt;"&amp;T86)+COUNTIFS($T$7:$T$106,T86,$Y$7:$Y$106,"&lt;"&amp;Y86)+COUNTIFS($T$7:T86,T86,$Y$7:Y86,Y86))</f>
        <v/>
      </c>
      <c r="V86" s="6" t="str">
        <f>IF(A86="","",IFERROR(INDEX(Реестр!$W$7:$W$106,MATCH(B86,Реестр!$A$7:$A$106,0)),"Нет связи"))</f>
        <v/>
      </c>
      <c r="W86" s="6" t="str">
        <f>IF(A86="","",IFERROR(INDEX(Реестр!$C$7:$C$106,MATCH(B86,Реестр!$A$7:$A$106,0)),"Нет связи"))</f>
        <v/>
      </c>
      <c r="X86" s="14" t="str">
        <f>IF(AND(S86=1,I86="Да"),COUNTIFS($S$7:$S$106,1,$I$7:$I$106,"Да",$Y$7:$Y$106,"&lt;"&amp;Y86)+COUNTIFS($S$7:S86,1,$I$7:I86,"Да",$Y$7:Y86,Y86),"")</f>
        <v/>
      </c>
      <c r="Y86" s="14" t="str">
        <f t="shared" si="8"/>
        <v/>
      </c>
    </row>
    <row r="87" spans="1:25" ht="25" customHeight="1">
      <c r="A87" s="5"/>
      <c r="B87" s="5"/>
      <c r="C87" s="5"/>
      <c r="D87" s="5"/>
      <c r="E87" s="5"/>
      <c r="F87" s="7"/>
      <c r="G87" s="5"/>
      <c r="H87" s="5"/>
      <c r="I87" s="5"/>
      <c r="J87" s="5"/>
      <c r="K87" s="5"/>
      <c r="L87" s="6" t="str">
        <f>IF(A87="","",IFERROR(INDEX(Реестр!$D$7:$D$106,MATCH(B87,Реестр!$A$7:$A$106,0)),"Нет связи"))</f>
        <v/>
      </c>
      <c r="M87" s="6" t="str">
        <f>IF(A87="","",IFERROR(INDEX(Реестр!$E$7:$E$106,MATCH(B87,Реестр!$A$7:$A$106,0)),"Нет связи"))</f>
        <v/>
      </c>
      <c r="N87" s="6">
        <f>IF(AND(A87&lt;&gt;"",H87&lt;&gt;"Закрыто",L87&lt;&gt;"Нет связи"),IF(INDEX(Реестр!$V$7:$V$106,MATCH(B87,Реестр!$A$7:$A$106,0))="Закрыто",0,1),0)</f>
        <v>0</v>
      </c>
      <c r="O87" s="12">
        <f>IF(N87=0,0,IF(F87="","Нет срока",MAX(0,(Продажи!$D$4-F87)*24)))</f>
        <v>0</v>
      </c>
      <c r="P87" s="6">
        <f>IF(AND(N87=1,ISNUMBER(F87),F87&lt;=Продажи!$D$4+2,OR(G87="Подача",G87="Дозапрос",G87="Обеспечение",G87="Обязательство клиенту")),1,0)</f>
        <v>0</v>
      </c>
      <c r="Q87" s="6">
        <f t="shared" si="6"/>
        <v>0</v>
      </c>
      <c r="R87" s="6">
        <f t="shared" si="7"/>
        <v>0</v>
      </c>
      <c r="S87" s="6">
        <f>IF(AND(N87=1,OR(Продажи!$I$4="Все",L87=Продажи!$I$4),OR(Продажи!$O$4="Все",M87=Продажи!$O$4)),1,0)</f>
        <v>0</v>
      </c>
      <c r="T87" s="6">
        <f>IF(S87=0,0,IF(P87=1,1,IF(AND(ISNUMBER(O87),O87&gt;0),2,IF(AND(ISNUMBER(F87),INT(F87)=INT(Продажи!$D$4)),3,IF(OR(I87="Да",F87=""),4,0)))))</f>
        <v>0</v>
      </c>
      <c r="U87" s="6" t="str">
        <f>IF(T87=0,"",COUNTIFS($T$7:$T$106,"&gt;0",$T$7:$T$106,"&lt;"&amp;T87)+COUNTIFS($T$7:$T$106,T87,$Y$7:$Y$106,"&lt;"&amp;Y87)+COUNTIFS($T$7:T87,T87,$Y$7:Y87,Y87))</f>
        <v/>
      </c>
      <c r="V87" s="6" t="str">
        <f>IF(A87="","",IFERROR(INDEX(Реестр!$W$7:$W$106,MATCH(B87,Реестр!$A$7:$A$106,0)),"Нет связи"))</f>
        <v/>
      </c>
      <c r="W87" s="6" t="str">
        <f>IF(A87="","",IFERROR(INDEX(Реестр!$C$7:$C$106,MATCH(B87,Реестр!$A$7:$A$106,0)),"Нет связи"))</f>
        <v/>
      </c>
      <c r="X87" s="14" t="str">
        <f>IF(AND(S87=1,I87="Да"),COUNTIFS($S$7:$S$106,1,$I$7:$I$106,"Да",$Y$7:$Y$106,"&lt;"&amp;Y87)+COUNTIFS($S$7:S87,1,$I$7:I87,"Да",$Y$7:Y87,Y87),"")</f>
        <v/>
      </c>
      <c r="Y87" s="14" t="str">
        <f t="shared" si="8"/>
        <v/>
      </c>
    </row>
    <row r="88" spans="1:25" ht="25" customHeight="1">
      <c r="A88" s="5"/>
      <c r="B88" s="5"/>
      <c r="C88" s="5"/>
      <c r="D88" s="5"/>
      <c r="E88" s="5"/>
      <c r="F88" s="7"/>
      <c r="G88" s="5"/>
      <c r="H88" s="5"/>
      <c r="I88" s="5"/>
      <c r="J88" s="5"/>
      <c r="K88" s="5"/>
      <c r="L88" s="6" t="str">
        <f>IF(A88="","",IFERROR(INDEX(Реестр!$D$7:$D$106,MATCH(B88,Реестр!$A$7:$A$106,0)),"Нет связи"))</f>
        <v/>
      </c>
      <c r="M88" s="6" t="str">
        <f>IF(A88="","",IFERROR(INDEX(Реестр!$E$7:$E$106,MATCH(B88,Реестр!$A$7:$A$106,0)),"Нет связи"))</f>
        <v/>
      </c>
      <c r="N88" s="6">
        <f>IF(AND(A88&lt;&gt;"",H88&lt;&gt;"Закрыто",L88&lt;&gt;"Нет связи"),IF(INDEX(Реестр!$V$7:$V$106,MATCH(B88,Реестр!$A$7:$A$106,0))="Закрыто",0,1),0)</f>
        <v>0</v>
      </c>
      <c r="O88" s="12">
        <f>IF(N88=0,0,IF(F88="","Нет срока",MAX(0,(Продажи!$D$4-F88)*24)))</f>
        <v>0</v>
      </c>
      <c r="P88" s="6">
        <f>IF(AND(N88=1,ISNUMBER(F88),F88&lt;=Продажи!$D$4+2,OR(G88="Подача",G88="Дозапрос",G88="Обеспечение",G88="Обязательство клиенту")),1,0)</f>
        <v>0</v>
      </c>
      <c r="Q88" s="6">
        <f t="shared" si="6"/>
        <v>0</v>
      </c>
      <c r="R88" s="6">
        <f t="shared" si="7"/>
        <v>0</v>
      </c>
      <c r="S88" s="6">
        <f>IF(AND(N88=1,OR(Продажи!$I$4="Все",L88=Продажи!$I$4),OR(Продажи!$O$4="Все",M88=Продажи!$O$4)),1,0)</f>
        <v>0</v>
      </c>
      <c r="T88" s="6">
        <f>IF(S88=0,0,IF(P88=1,1,IF(AND(ISNUMBER(O88),O88&gt;0),2,IF(AND(ISNUMBER(F88),INT(F88)=INT(Продажи!$D$4)),3,IF(OR(I88="Да",F88=""),4,0)))))</f>
        <v>0</v>
      </c>
      <c r="U88" s="6" t="str">
        <f>IF(T88=0,"",COUNTIFS($T$7:$T$106,"&gt;0",$T$7:$T$106,"&lt;"&amp;T88)+COUNTIFS($T$7:$T$106,T88,$Y$7:$Y$106,"&lt;"&amp;Y88)+COUNTIFS($T$7:T88,T88,$Y$7:Y88,Y88))</f>
        <v/>
      </c>
      <c r="V88" s="6" t="str">
        <f>IF(A88="","",IFERROR(INDEX(Реестр!$W$7:$W$106,MATCH(B88,Реестр!$A$7:$A$106,0)),"Нет связи"))</f>
        <v/>
      </c>
      <c r="W88" s="6" t="str">
        <f>IF(A88="","",IFERROR(INDEX(Реестр!$C$7:$C$106,MATCH(B88,Реестр!$A$7:$A$106,0)),"Нет связи"))</f>
        <v/>
      </c>
      <c r="X88" s="14" t="str">
        <f>IF(AND(S88=1,I88="Да"),COUNTIFS($S$7:$S$106,1,$I$7:$I$106,"Да",$Y$7:$Y$106,"&lt;"&amp;Y88)+COUNTIFS($S$7:S88,1,$I$7:I88,"Да",$Y$7:Y88,Y88),"")</f>
        <v/>
      </c>
      <c r="Y88" s="14" t="str">
        <f t="shared" si="8"/>
        <v/>
      </c>
    </row>
    <row r="89" spans="1:25" ht="25" customHeight="1">
      <c r="A89" s="5"/>
      <c r="B89" s="5"/>
      <c r="C89" s="5"/>
      <c r="D89" s="5"/>
      <c r="E89" s="5"/>
      <c r="F89" s="7"/>
      <c r="G89" s="5"/>
      <c r="H89" s="5"/>
      <c r="I89" s="5"/>
      <c r="J89" s="5"/>
      <c r="K89" s="5"/>
      <c r="L89" s="6" t="str">
        <f>IF(A89="","",IFERROR(INDEX(Реестр!$D$7:$D$106,MATCH(B89,Реестр!$A$7:$A$106,0)),"Нет связи"))</f>
        <v/>
      </c>
      <c r="M89" s="6" t="str">
        <f>IF(A89="","",IFERROR(INDEX(Реестр!$E$7:$E$106,MATCH(B89,Реестр!$A$7:$A$106,0)),"Нет связи"))</f>
        <v/>
      </c>
      <c r="N89" s="6">
        <f>IF(AND(A89&lt;&gt;"",H89&lt;&gt;"Закрыто",L89&lt;&gt;"Нет связи"),IF(INDEX(Реестр!$V$7:$V$106,MATCH(B89,Реестр!$A$7:$A$106,0))="Закрыто",0,1),0)</f>
        <v>0</v>
      </c>
      <c r="O89" s="12">
        <f>IF(N89=0,0,IF(F89="","Нет срока",MAX(0,(Продажи!$D$4-F89)*24)))</f>
        <v>0</v>
      </c>
      <c r="P89" s="6">
        <f>IF(AND(N89=1,ISNUMBER(F89),F89&lt;=Продажи!$D$4+2,OR(G89="Подача",G89="Дозапрос",G89="Обеспечение",G89="Обязательство клиенту")),1,0)</f>
        <v>0</v>
      </c>
      <c r="Q89" s="6">
        <f t="shared" si="6"/>
        <v>0</v>
      </c>
      <c r="R89" s="6">
        <f t="shared" si="7"/>
        <v>0</v>
      </c>
      <c r="S89" s="6">
        <f>IF(AND(N89=1,OR(Продажи!$I$4="Все",L89=Продажи!$I$4),OR(Продажи!$O$4="Все",M89=Продажи!$O$4)),1,0)</f>
        <v>0</v>
      </c>
      <c r="T89" s="6">
        <f>IF(S89=0,0,IF(P89=1,1,IF(AND(ISNUMBER(O89),O89&gt;0),2,IF(AND(ISNUMBER(F89),INT(F89)=INT(Продажи!$D$4)),3,IF(OR(I89="Да",F89=""),4,0)))))</f>
        <v>0</v>
      </c>
      <c r="U89" s="6" t="str">
        <f>IF(T89=0,"",COUNTIFS($T$7:$T$106,"&gt;0",$T$7:$T$106,"&lt;"&amp;T89)+COUNTIFS($T$7:$T$106,T89,$Y$7:$Y$106,"&lt;"&amp;Y89)+COUNTIFS($T$7:T89,T89,$Y$7:Y89,Y89))</f>
        <v/>
      </c>
      <c r="V89" s="6" t="str">
        <f>IF(A89="","",IFERROR(INDEX(Реестр!$W$7:$W$106,MATCH(B89,Реестр!$A$7:$A$106,0)),"Нет связи"))</f>
        <v/>
      </c>
      <c r="W89" s="6" t="str">
        <f>IF(A89="","",IFERROR(INDEX(Реестр!$C$7:$C$106,MATCH(B89,Реестр!$A$7:$A$106,0)),"Нет связи"))</f>
        <v/>
      </c>
      <c r="X89" s="14" t="str">
        <f>IF(AND(S89=1,I89="Да"),COUNTIFS($S$7:$S$106,1,$I$7:$I$106,"Да",$Y$7:$Y$106,"&lt;"&amp;Y89)+COUNTIFS($S$7:S89,1,$I$7:I89,"Да",$Y$7:Y89,Y89),"")</f>
        <v/>
      </c>
      <c r="Y89" s="14" t="str">
        <f t="shared" si="8"/>
        <v/>
      </c>
    </row>
    <row r="90" spans="1:25" ht="25" customHeight="1">
      <c r="A90" s="5"/>
      <c r="B90" s="5"/>
      <c r="C90" s="5"/>
      <c r="D90" s="5"/>
      <c r="E90" s="5"/>
      <c r="F90" s="7"/>
      <c r="G90" s="5"/>
      <c r="H90" s="5"/>
      <c r="I90" s="5"/>
      <c r="J90" s="5"/>
      <c r="K90" s="5"/>
      <c r="L90" s="6" t="str">
        <f>IF(A90="","",IFERROR(INDEX(Реестр!$D$7:$D$106,MATCH(B90,Реестр!$A$7:$A$106,0)),"Нет связи"))</f>
        <v/>
      </c>
      <c r="M90" s="6" t="str">
        <f>IF(A90="","",IFERROR(INDEX(Реестр!$E$7:$E$106,MATCH(B90,Реестр!$A$7:$A$106,0)),"Нет связи"))</f>
        <v/>
      </c>
      <c r="N90" s="6">
        <f>IF(AND(A90&lt;&gt;"",H90&lt;&gt;"Закрыто",L90&lt;&gt;"Нет связи"),IF(INDEX(Реестр!$V$7:$V$106,MATCH(B90,Реестр!$A$7:$A$106,0))="Закрыто",0,1),0)</f>
        <v>0</v>
      </c>
      <c r="O90" s="12">
        <f>IF(N90=0,0,IF(F90="","Нет срока",MAX(0,(Продажи!$D$4-F90)*24)))</f>
        <v>0</v>
      </c>
      <c r="P90" s="6">
        <f>IF(AND(N90=1,ISNUMBER(F90),F90&lt;=Продажи!$D$4+2,OR(G90="Подача",G90="Дозапрос",G90="Обеспечение",G90="Обязательство клиенту")),1,0)</f>
        <v>0</v>
      </c>
      <c r="Q90" s="6">
        <f t="shared" si="6"/>
        <v>0</v>
      </c>
      <c r="R90" s="6">
        <f t="shared" si="7"/>
        <v>0</v>
      </c>
      <c r="S90" s="6">
        <f>IF(AND(N90=1,OR(Продажи!$I$4="Все",L90=Продажи!$I$4),OR(Продажи!$O$4="Все",M90=Продажи!$O$4)),1,0)</f>
        <v>0</v>
      </c>
      <c r="T90" s="6">
        <f>IF(S90=0,0,IF(P90=1,1,IF(AND(ISNUMBER(O90),O90&gt;0),2,IF(AND(ISNUMBER(F90),INT(F90)=INT(Продажи!$D$4)),3,IF(OR(I90="Да",F90=""),4,0)))))</f>
        <v>0</v>
      </c>
      <c r="U90" s="6" t="str">
        <f>IF(T90=0,"",COUNTIFS($T$7:$T$106,"&gt;0",$T$7:$T$106,"&lt;"&amp;T90)+COUNTIFS($T$7:$T$106,T90,$Y$7:$Y$106,"&lt;"&amp;Y90)+COUNTIFS($T$7:T90,T90,$Y$7:Y90,Y90))</f>
        <v/>
      </c>
      <c r="V90" s="6" t="str">
        <f>IF(A90="","",IFERROR(INDEX(Реестр!$W$7:$W$106,MATCH(B90,Реестр!$A$7:$A$106,0)),"Нет связи"))</f>
        <v/>
      </c>
      <c r="W90" s="6" t="str">
        <f>IF(A90="","",IFERROR(INDEX(Реестр!$C$7:$C$106,MATCH(B90,Реестр!$A$7:$A$106,0)),"Нет связи"))</f>
        <v/>
      </c>
      <c r="X90" s="14" t="str">
        <f>IF(AND(S90=1,I90="Да"),COUNTIFS($S$7:$S$106,1,$I$7:$I$106,"Да",$Y$7:$Y$106,"&lt;"&amp;Y90)+COUNTIFS($S$7:S90,1,$I$7:I90,"Да",$Y$7:Y90,Y90),"")</f>
        <v/>
      </c>
      <c r="Y90" s="14" t="str">
        <f t="shared" si="8"/>
        <v/>
      </c>
    </row>
    <row r="91" spans="1:25" ht="25" customHeight="1">
      <c r="A91" s="5"/>
      <c r="B91" s="5"/>
      <c r="C91" s="5"/>
      <c r="D91" s="5"/>
      <c r="E91" s="5"/>
      <c r="F91" s="7"/>
      <c r="G91" s="5"/>
      <c r="H91" s="5"/>
      <c r="I91" s="5"/>
      <c r="J91" s="5"/>
      <c r="K91" s="5"/>
      <c r="L91" s="6" t="str">
        <f>IF(A91="","",IFERROR(INDEX(Реестр!$D$7:$D$106,MATCH(B91,Реестр!$A$7:$A$106,0)),"Нет связи"))</f>
        <v/>
      </c>
      <c r="M91" s="6" t="str">
        <f>IF(A91="","",IFERROR(INDEX(Реестр!$E$7:$E$106,MATCH(B91,Реестр!$A$7:$A$106,0)),"Нет связи"))</f>
        <v/>
      </c>
      <c r="N91" s="6">
        <f>IF(AND(A91&lt;&gt;"",H91&lt;&gt;"Закрыто",L91&lt;&gt;"Нет связи"),IF(INDEX(Реестр!$V$7:$V$106,MATCH(B91,Реестр!$A$7:$A$106,0))="Закрыто",0,1),0)</f>
        <v>0</v>
      </c>
      <c r="O91" s="12">
        <f>IF(N91=0,0,IF(F91="","Нет срока",MAX(0,(Продажи!$D$4-F91)*24)))</f>
        <v>0</v>
      </c>
      <c r="P91" s="6">
        <f>IF(AND(N91=1,ISNUMBER(F91),F91&lt;=Продажи!$D$4+2,OR(G91="Подача",G91="Дозапрос",G91="Обеспечение",G91="Обязательство клиенту")),1,0)</f>
        <v>0</v>
      </c>
      <c r="Q91" s="6">
        <f t="shared" si="6"/>
        <v>0</v>
      </c>
      <c r="R91" s="6">
        <f t="shared" si="7"/>
        <v>0</v>
      </c>
      <c r="S91" s="6">
        <f>IF(AND(N91=1,OR(Продажи!$I$4="Все",L91=Продажи!$I$4),OR(Продажи!$O$4="Все",M91=Продажи!$O$4)),1,0)</f>
        <v>0</v>
      </c>
      <c r="T91" s="6">
        <f>IF(S91=0,0,IF(P91=1,1,IF(AND(ISNUMBER(O91),O91&gt;0),2,IF(AND(ISNUMBER(F91),INT(F91)=INT(Продажи!$D$4)),3,IF(OR(I91="Да",F91=""),4,0)))))</f>
        <v>0</v>
      </c>
      <c r="U91" s="6" t="str">
        <f>IF(T91=0,"",COUNTIFS($T$7:$T$106,"&gt;0",$T$7:$T$106,"&lt;"&amp;T91)+COUNTIFS($T$7:$T$106,T91,$Y$7:$Y$106,"&lt;"&amp;Y91)+COUNTIFS($T$7:T91,T91,$Y$7:Y91,Y91))</f>
        <v/>
      </c>
      <c r="V91" s="6" t="str">
        <f>IF(A91="","",IFERROR(INDEX(Реестр!$W$7:$W$106,MATCH(B91,Реестр!$A$7:$A$106,0)),"Нет связи"))</f>
        <v/>
      </c>
      <c r="W91" s="6" t="str">
        <f>IF(A91="","",IFERROR(INDEX(Реестр!$C$7:$C$106,MATCH(B91,Реестр!$A$7:$A$106,0)),"Нет связи"))</f>
        <v/>
      </c>
      <c r="X91" s="14" t="str">
        <f>IF(AND(S91=1,I91="Да"),COUNTIFS($S$7:$S$106,1,$I$7:$I$106,"Да",$Y$7:$Y$106,"&lt;"&amp;Y91)+COUNTIFS($S$7:S91,1,$I$7:I91,"Да",$Y$7:Y91,Y91),"")</f>
        <v/>
      </c>
      <c r="Y91" s="14" t="str">
        <f t="shared" si="8"/>
        <v/>
      </c>
    </row>
    <row r="92" spans="1:25" ht="25" customHeight="1">
      <c r="A92" s="5"/>
      <c r="B92" s="5"/>
      <c r="C92" s="5"/>
      <c r="D92" s="5"/>
      <c r="E92" s="5"/>
      <c r="F92" s="7"/>
      <c r="G92" s="5"/>
      <c r="H92" s="5"/>
      <c r="I92" s="5"/>
      <c r="J92" s="5"/>
      <c r="K92" s="5"/>
      <c r="L92" s="6" t="str">
        <f>IF(A92="","",IFERROR(INDEX(Реестр!$D$7:$D$106,MATCH(B92,Реестр!$A$7:$A$106,0)),"Нет связи"))</f>
        <v/>
      </c>
      <c r="M92" s="6" t="str">
        <f>IF(A92="","",IFERROR(INDEX(Реестр!$E$7:$E$106,MATCH(B92,Реестр!$A$7:$A$106,0)),"Нет связи"))</f>
        <v/>
      </c>
      <c r="N92" s="6">
        <f>IF(AND(A92&lt;&gt;"",H92&lt;&gt;"Закрыто",L92&lt;&gt;"Нет связи"),IF(INDEX(Реестр!$V$7:$V$106,MATCH(B92,Реестр!$A$7:$A$106,0))="Закрыто",0,1),0)</f>
        <v>0</v>
      </c>
      <c r="O92" s="12">
        <f>IF(N92=0,0,IF(F92="","Нет срока",MAX(0,(Продажи!$D$4-F92)*24)))</f>
        <v>0</v>
      </c>
      <c r="P92" s="6">
        <f>IF(AND(N92=1,ISNUMBER(F92),F92&lt;=Продажи!$D$4+2,OR(G92="Подача",G92="Дозапрос",G92="Обеспечение",G92="Обязательство клиенту")),1,0)</f>
        <v>0</v>
      </c>
      <c r="Q92" s="6">
        <f t="shared" si="6"/>
        <v>0</v>
      </c>
      <c r="R92" s="6">
        <f t="shared" si="7"/>
        <v>0</v>
      </c>
      <c r="S92" s="6">
        <f>IF(AND(N92=1,OR(Продажи!$I$4="Все",L92=Продажи!$I$4),OR(Продажи!$O$4="Все",M92=Продажи!$O$4)),1,0)</f>
        <v>0</v>
      </c>
      <c r="T92" s="6">
        <f>IF(S92=0,0,IF(P92=1,1,IF(AND(ISNUMBER(O92),O92&gt;0),2,IF(AND(ISNUMBER(F92),INT(F92)=INT(Продажи!$D$4)),3,IF(OR(I92="Да",F92=""),4,0)))))</f>
        <v>0</v>
      </c>
      <c r="U92" s="6" t="str">
        <f>IF(T92=0,"",COUNTIFS($T$7:$T$106,"&gt;0",$T$7:$T$106,"&lt;"&amp;T92)+COUNTIFS($T$7:$T$106,T92,$Y$7:$Y$106,"&lt;"&amp;Y92)+COUNTIFS($T$7:T92,T92,$Y$7:Y92,Y92))</f>
        <v/>
      </c>
      <c r="V92" s="6" t="str">
        <f>IF(A92="","",IFERROR(INDEX(Реестр!$W$7:$W$106,MATCH(B92,Реестр!$A$7:$A$106,0)),"Нет связи"))</f>
        <v/>
      </c>
      <c r="W92" s="6" t="str">
        <f>IF(A92="","",IFERROR(INDEX(Реестр!$C$7:$C$106,MATCH(B92,Реестр!$A$7:$A$106,0)),"Нет связи"))</f>
        <v/>
      </c>
      <c r="X92" s="14" t="str">
        <f>IF(AND(S92=1,I92="Да"),COUNTIFS($S$7:$S$106,1,$I$7:$I$106,"Да",$Y$7:$Y$106,"&lt;"&amp;Y92)+COUNTIFS($S$7:S92,1,$I$7:I92,"Да",$Y$7:Y92,Y92),"")</f>
        <v/>
      </c>
      <c r="Y92" s="14" t="str">
        <f t="shared" si="8"/>
        <v/>
      </c>
    </row>
    <row r="93" spans="1:25" ht="25" customHeight="1">
      <c r="A93" s="5"/>
      <c r="B93" s="5"/>
      <c r="C93" s="5"/>
      <c r="D93" s="5"/>
      <c r="E93" s="5"/>
      <c r="F93" s="7"/>
      <c r="G93" s="5"/>
      <c r="H93" s="5"/>
      <c r="I93" s="5"/>
      <c r="J93" s="5"/>
      <c r="K93" s="5"/>
      <c r="L93" s="6" t="str">
        <f>IF(A93="","",IFERROR(INDEX(Реестр!$D$7:$D$106,MATCH(B93,Реестр!$A$7:$A$106,0)),"Нет связи"))</f>
        <v/>
      </c>
      <c r="M93" s="6" t="str">
        <f>IF(A93="","",IFERROR(INDEX(Реестр!$E$7:$E$106,MATCH(B93,Реестр!$A$7:$A$106,0)),"Нет связи"))</f>
        <v/>
      </c>
      <c r="N93" s="6">
        <f>IF(AND(A93&lt;&gt;"",H93&lt;&gt;"Закрыто",L93&lt;&gt;"Нет связи"),IF(INDEX(Реестр!$V$7:$V$106,MATCH(B93,Реестр!$A$7:$A$106,0))="Закрыто",0,1),0)</f>
        <v>0</v>
      </c>
      <c r="O93" s="12">
        <f>IF(N93=0,0,IF(F93="","Нет срока",MAX(0,(Продажи!$D$4-F93)*24)))</f>
        <v>0</v>
      </c>
      <c r="P93" s="6">
        <f>IF(AND(N93=1,ISNUMBER(F93),F93&lt;=Продажи!$D$4+2,OR(G93="Подача",G93="Дозапрос",G93="Обеспечение",G93="Обязательство клиенту")),1,0)</f>
        <v>0</v>
      </c>
      <c r="Q93" s="6">
        <f t="shared" si="6"/>
        <v>0</v>
      </c>
      <c r="R93" s="6">
        <f t="shared" si="7"/>
        <v>0</v>
      </c>
      <c r="S93" s="6">
        <f>IF(AND(N93=1,OR(Продажи!$I$4="Все",L93=Продажи!$I$4),OR(Продажи!$O$4="Все",M93=Продажи!$O$4)),1,0)</f>
        <v>0</v>
      </c>
      <c r="T93" s="6">
        <f>IF(S93=0,0,IF(P93=1,1,IF(AND(ISNUMBER(O93),O93&gt;0),2,IF(AND(ISNUMBER(F93),INT(F93)=INT(Продажи!$D$4)),3,IF(OR(I93="Да",F93=""),4,0)))))</f>
        <v>0</v>
      </c>
      <c r="U93" s="6" t="str">
        <f>IF(T93=0,"",COUNTIFS($T$7:$T$106,"&gt;0",$T$7:$T$106,"&lt;"&amp;T93)+COUNTIFS($T$7:$T$106,T93,$Y$7:$Y$106,"&lt;"&amp;Y93)+COUNTIFS($T$7:T93,T93,$Y$7:Y93,Y93))</f>
        <v/>
      </c>
      <c r="V93" s="6" t="str">
        <f>IF(A93="","",IFERROR(INDEX(Реестр!$W$7:$W$106,MATCH(B93,Реестр!$A$7:$A$106,0)),"Нет связи"))</f>
        <v/>
      </c>
      <c r="W93" s="6" t="str">
        <f>IF(A93="","",IFERROR(INDEX(Реестр!$C$7:$C$106,MATCH(B93,Реестр!$A$7:$A$106,0)),"Нет связи"))</f>
        <v/>
      </c>
      <c r="X93" s="14" t="str">
        <f>IF(AND(S93=1,I93="Да"),COUNTIFS($S$7:$S$106,1,$I$7:$I$106,"Да",$Y$7:$Y$106,"&lt;"&amp;Y93)+COUNTIFS($S$7:S93,1,$I$7:I93,"Да",$Y$7:Y93,Y93),"")</f>
        <v/>
      </c>
      <c r="Y93" s="14" t="str">
        <f t="shared" si="8"/>
        <v/>
      </c>
    </row>
    <row r="94" spans="1:25" ht="25" customHeight="1">
      <c r="A94" s="5"/>
      <c r="B94" s="5"/>
      <c r="C94" s="5"/>
      <c r="D94" s="5"/>
      <c r="E94" s="5"/>
      <c r="F94" s="7"/>
      <c r="G94" s="5"/>
      <c r="H94" s="5"/>
      <c r="I94" s="5"/>
      <c r="J94" s="5"/>
      <c r="K94" s="5"/>
      <c r="L94" s="6" t="str">
        <f>IF(A94="","",IFERROR(INDEX(Реестр!$D$7:$D$106,MATCH(B94,Реестр!$A$7:$A$106,0)),"Нет связи"))</f>
        <v/>
      </c>
      <c r="M94" s="6" t="str">
        <f>IF(A94="","",IFERROR(INDEX(Реестр!$E$7:$E$106,MATCH(B94,Реестр!$A$7:$A$106,0)),"Нет связи"))</f>
        <v/>
      </c>
      <c r="N94" s="6">
        <f>IF(AND(A94&lt;&gt;"",H94&lt;&gt;"Закрыто",L94&lt;&gt;"Нет связи"),IF(INDEX(Реестр!$V$7:$V$106,MATCH(B94,Реестр!$A$7:$A$106,0))="Закрыто",0,1),0)</f>
        <v>0</v>
      </c>
      <c r="O94" s="12">
        <f>IF(N94=0,0,IF(F94="","Нет срока",MAX(0,(Продажи!$D$4-F94)*24)))</f>
        <v>0</v>
      </c>
      <c r="P94" s="6">
        <f>IF(AND(N94=1,ISNUMBER(F94),F94&lt;=Продажи!$D$4+2,OR(G94="Подача",G94="Дозапрос",G94="Обеспечение",G94="Обязательство клиенту")),1,0)</f>
        <v>0</v>
      </c>
      <c r="Q94" s="6">
        <f t="shared" si="6"/>
        <v>0</v>
      </c>
      <c r="R94" s="6">
        <f t="shared" si="7"/>
        <v>0</v>
      </c>
      <c r="S94" s="6">
        <f>IF(AND(N94=1,OR(Продажи!$I$4="Все",L94=Продажи!$I$4),OR(Продажи!$O$4="Все",M94=Продажи!$O$4)),1,0)</f>
        <v>0</v>
      </c>
      <c r="T94" s="6">
        <f>IF(S94=0,0,IF(P94=1,1,IF(AND(ISNUMBER(O94),O94&gt;0),2,IF(AND(ISNUMBER(F94),INT(F94)=INT(Продажи!$D$4)),3,IF(OR(I94="Да",F94=""),4,0)))))</f>
        <v>0</v>
      </c>
      <c r="U94" s="6" t="str">
        <f>IF(T94=0,"",COUNTIFS($T$7:$T$106,"&gt;0",$T$7:$T$106,"&lt;"&amp;T94)+COUNTIFS($T$7:$T$106,T94,$Y$7:$Y$106,"&lt;"&amp;Y94)+COUNTIFS($T$7:T94,T94,$Y$7:Y94,Y94))</f>
        <v/>
      </c>
      <c r="V94" s="6" t="str">
        <f>IF(A94="","",IFERROR(INDEX(Реестр!$W$7:$W$106,MATCH(B94,Реестр!$A$7:$A$106,0)),"Нет связи"))</f>
        <v/>
      </c>
      <c r="W94" s="6" t="str">
        <f>IF(A94="","",IFERROR(INDEX(Реестр!$C$7:$C$106,MATCH(B94,Реестр!$A$7:$A$106,0)),"Нет связи"))</f>
        <v/>
      </c>
      <c r="X94" s="14" t="str">
        <f>IF(AND(S94=1,I94="Да"),COUNTIFS($S$7:$S$106,1,$I$7:$I$106,"Да",$Y$7:$Y$106,"&lt;"&amp;Y94)+COUNTIFS($S$7:S94,1,$I$7:I94,"Да",$Y$7:Y94,Y94),"")</f>
        <v/>
      </c>
      <c r="Y94" s="14" t="str">
        <f t="shared" si="8"/>
        <v/>
      </c>
    </row>
    <row r="95" spans="1:25" ht="25" customHeight="1">
      <c r="A95" s="5"/>
      <c r="B95" s="5"/>
      <c r="C95" s="5"/>
      <c r="D95" s="5"/>
      <c r="E95" s="5"/>
      <c r="F95" s="7"/>
      <c r="G95" s="5"/>
      <c r="H95" s="5"/>
      <c r="I95" s="5"/>
      <c r="J95" s="5"/>
      <c r="K95" s="5"/>
      <c r="L95" s="6" t="str">
        <f>IF(A95="","",IFERROR(INDEX(Реестр!$D$7:$D$106,MATCH(B95,Реестр!$A$7:$A$106,0)),"Нет связи"))</f>
        <v/>
      </c>
      <c r="M95" s="6" t="str">
        <f>IF(A95="","",IFERROR(INDEX(Реестр!$E$7:$E$106,MATCH(B95,Реестр!$A$7:$A$106,0)),"Нет связи"))</f>
        <v/>
      </c>
      <c r="N95" s="6">
        <f>IF(AND(A95&lt;&gt;"",H95&lt;&gt;"Закрыто",L95&lt;&gt;"Нет связи"),IF(INDEX(Реестр!$V$7:$V$106,MATCH(B95,Реестр!$A$7:$A$106,0))="Закрыто",0,1),0)</f>
        <v>0</v>
      </c>
      <c r="O95" s="12">
        <f>IF(N95=0,0,IF(F95="","Нет срока",MAX(0,(Продажи!$D$4-F95)*24)))</f>
        <v>0</v>
      </c>
      <c r="P95" s="6">
        <f>IF(AND(N95=1,ISNUMBER(F95),F95&lt;=Продажи!$D$4+2,OR(G95="Подача",G95="Дозапрос",G95="Обеспечение",G95="Обязательство клиенту")),1,0)</f>
        <v>0</v>
      </c>
      <c r="Q95" s="6">
        <f t="shared" si="6"/>
        <v>0</v>
      </c>
      <c r="R95" s="6">
        <f t="shared" si="7"/>
        <v>0</v>
      </c>
      <c r="S95" s="6">
        <f>IF(AND(N95=1,OR(Продажи!$I$4="Все",L95=Продажи!$I$4),OR(Продажи!$O$4="Все",M95=Продажи!$O$4)),1,0)</f>
        <v>0</v>
      </c>
      <c r="T95" s="6">
        <f>IF(S95=0,0,IF(P95=1,1,IF(AND(ISNUMBER(O95),O95&gt;0),2,IF(AND(ISNUMBER(F95),INT(F95)=INT(Продажи!$D$4)),3,IF(OR(I95="Да",F95=""),4,0)))))</f>
        <v>0</v>
      </c>
      <c r="U95" s="6" t="str">
        <f>IF(T95=0,"",COUNTIFS($T$7:$T$106,"&gt;0",$T$7:$T$106,"&lt;"&amp;T95)+COUNTIFS($T$7:$T$106,T95,$Y$7:$Y$106,"&lt;"&amp;Y95)+COUNTIFS($T$7:T95,T95,$Y$7:Y95,Y95))</f>
        <v/>
      </c>
      <c r="V95" s="6" t="str">
        <f>IF(A95="","",IFERROR(INDEX(Реестр!$W$7:$W$106,MATCH(B95,Реестр!$A$7:$A$106,0)),"Нет связи"))</f>
        <v/>
      </c>
      <c r="W95" s="6" t="str">
        <f>IF(A95="","",IFERROR(INDEX(Реестр!$C$7:$C$106,MATCH(B95,Реестр!$A$7:$A$106,0)),"Нет связи"))</f>
        <v/>
      </c>
      <c r="X95" s="14" t="str">
        <f>IF(AND(S95=1,I95="Да"),COUNTIFS($S$7:$S$106,1,$I$7:$I$106,"Да",$Y$7:$Y$106,"&lt;"&amp;Y95)+COUNTIFS($S$7:S95,1,$I$7:I95,"Да",$Y$7:Y95,Y95),"")</f>
        <v/>
      </c>
      <c r="Y95" s="14" t="str">
        <f t="shared" si="8"/>
        <v/>
      </c>
    </row>
    <row r="96" spans="1:25" ht="25" customHeight="1">
      <c r="A96" s="5"/>
      <c r="B96" s="5"/>
      <c r="C96" s="5"/>
      <c r="D96" s="5"/>
      <c r="E96" s="5"/>
      <c r="F96" s="7"/>
      <c r="G96" s="5"/>
      <c r="H96" s="5"/>
      <c r="I96" s="5"/>
      <c r="J96" s="5"/>
      <c r="K96" s="5"/>
      <c r="L96" s="6" t="str">
        <f>IF(A96="","",IFERROR(INDEX(Реестр!$D$7:$D$106,MATCH(B96,Реестр!$A$7:$A$106,0)),"Нет связи"))</f>
        <v/>
      </c>
      <c r="M96" s="6" t="str">
        <f>IF(A96="","",IFERROR(INDEX(Реестр!$E$7:$E$106,MATCH(B96,Реестр!$A$7:$A$106,0)),"Нет связи"))</f>
        <v/>
      </c>
      <c r="N96" s="6">
        <f>IF(AND(A96&lt;&gt;"",H96&lt;&gt;"Закрыто",L96&lt;&gt;"Нет связи"),IF(INDEX(Реестр!$V$7:$V$106,MATCH(B96,Реестр!$A$7:$A$106,0))="Закрыто",0,1),0)</f>
        <v>0</v>
      </c>
      <c r="O96" s="12">
        <f>IF(N96=0,0,IF(F96="","Нет срока",MAX(0,(Продажи!$D$4-F96)*24)))</f>
        <v>0</v>
      </c>
      <c r="P96" s="6">
        <f>IF(AND(N96=1,ISNUMBER(F96),F96&lt;=Продажи!$D$4+2,OR(G96="Подача",G96="Дозапрос",G96="Обеспечение",G96="Обязательство клиенту")),1,0)</f>
        <v>0</v>
      </c>
      <c r="Q96" s="6">
        <f t="shared" si="6"/>
        <v>0</v>
      </c>
      <c r="R96" s="6">
        <f t="shared" si="7"/>
        <v>0</v>
      </c>
      <c r="S96" s="6">
        <f>IF(AND(N96=1,OR(Продажи!$I$4="Все",L96=Продажи!$I$4),OR(Продажи!$O$4="Все",M96=Продажи!$O$4)),1,0)</f>
        <v>0</v>
      </c>
      <c r="T96" s="6">
        <f>IF(S96=0,0,IF(P96=1,1,IF(AND(ISNUMBER(O96),O96&gt;0),2,IF(AND(ISNUMBER(F96),INT(F96)=INT(Продажи!$D$4)),3,IF(OR(I96="Да",F96=""),4,0)))))</f>
        <v>0</v>
      </c>
      <c r="U96" s="6" t="str">
        <f>IF(T96=0,"",COUNTIFS($T$7:$T$106,"&gt;0",$T$7:$T$106,"&lt;"&amp;T96)+COUNTIFS($T$7:$T$106,T96,$Y$7:$Y$106,"&lt;"&amp;Y96)+COUNTIFS($T$7:T96,T96,$Y$7:Y96,Y96))</f>
        <v/>
      </c>
      <c r="V96" s="6" t="str">
        <f>IF(A96="","",IFERROR(INDEX(Реестр!$W$7:$W$106,MATCH(B96,Реестр!$A$7:$A$106,0)),"Нет связи"))</f>
        <v/>
      </c>
      <c r="W96" s="6" t="str">
        <f>IF(A96="","",IFERROR(INDEX(Реестр!$C$7:$C$106,MATCH(B96,Реестр!$A$7:$A$106,0)),"Нет связи"))</f>
        <v/>
      </c>
      <c r="X96" s="14" t="str">
        <f>IF(AND(S96=1,I96="Да"),COUNTIFS($S$7:$S$106,1,$I$7:$I$106,"Да",$Y$7:$Y$106,"&lt;"&amp;Y96)+COUNTIFS($S$7:S96,1,$I$7:I96,"Да",$Y$7:Y96,Y96),"")</f>
        <v/>
      </c>
      <c r="Y96" s="14" t="str">
        <f t="shared" si="8"/>
        <v/>
      </c>
    </row>
    <row r="97" spans="1:25" ht="25" customHeight="1">
      <c r="A97" s="5"/>
      <c r="B97" s="5"/>
      <c r="C97" s="5"/>
      <c r="D97" s="5"/>
      <c r="E97" s="5"/>
      <c r="F97" s="7"/>
      <c r="G97" s="5"/>
      <c r="H97" s="5"/>
      <c r="I97" s="5"/>
      <c r="J97" s="5"/>
      <c r="K97" s="5"/>
      <c r="L97" s="6" t="str">
        <f>IF(A97="","",IFERROR(INDEX(Реестр!$D$7:$D$106,MATCH(B97,Реестр!$A$7:$A$106,0)),"Нет связи"))</f>
        <v/>
      </c>
      <c r="M97" s="6" t="str">
        <f>IF(A97="","",IFERROR(INDEX(Реестр!$E$7:$E$106,MATCH(B97,Реестр!$A$7:$A$106,0)),"Нет связи"))</f>
        <v/>
      </c>
      <c r="N97" s="6">
        <f>IF(AND(A97&lt;&gt;"",H97&lt;&gt;"Закрыто",L97&lt;&gt;"Нет связи"),IF(INDEX(Реестр!$V$7:$V$106,MATCH(B97,Реестр!$A$7:$A$106,0))="Закрыто",0,1),0)</f>
        <v>0</v>
      </c>
      <c r="O97" s="12">
        <f>IF(N97=0,0,IF(F97="","Нет срока",MAX(0,(Продажи!$D$4-F97)*24)))</f>
        <v>0</v>
      </c>
      <c r="P97" s="6">
        <f>IF(AND(N97=1,ISNUMBER(F97),F97&lt;=Продажи!$D$4+2,OR(G97="Подача",G97="Дозапрос",G97="Обеспечение",G97="Обязательство клиенту")),1,0)</f>
        <v>0</v>
      </c>
      <c r="Q97" s="6">
        <f t="shared" si="6"/>
        <v>0</v>
      </c>
      <c r="R97" s="6">
        <f t="shared" si="7"/>
        <v>0</v>
      </c>
      <c r="S97" s="6">
        <f>IF(AND(N97=1,OR(Продажи!$I$4="Все",L97=Продажи!$I$4),OR(Продажи!$O$4="Все",M97=Продажи!$O$4)),1,0)</f>
        <v>0</v>
      </c>
      <c r="T97" s="6">
        <f>IF(S97=0,0,IF(P97=1,1,IF(AND(ISNUMBER(O97),O97&gt;0),2,IF(AND(ISNUMBER(F97),INT(F97)=INT(Продажи!$D$4)),3,IF(OR(I97="Да",F97=""),4,0)))))</f>
        <v>0</v>
      </c>
      <c r="U97" s="6" t="str">
        <f>IF(T97=0,"",COUNTIFS($T$7:$T$106,"&gt;0",$T$7:$T$106,"&lt;"&amp;T97)+COUNTIFS($T$7:$T$106,T97,$Y$7:$Y$106,"&lt;"&amp;Y97)+COUNTIFS($T$7:T97,T97,$Y$7:Y97,Y97))</f>
        <v/>
      </c>
      <c r="V97" s="6" t="str">
        <f>IF(A97="","",IFERROR(INDEX(Реестр!$W$7:$W$106,MATCH(B97,Реестр!$A$7:$A$106,0)),"Нет связи"))</f>
        <v/>
      </c>
      <c r="W97" s="6" t="str">
        <f>IF(A97="","",IFERROR(INDEX(Реестр!$C$7:$C$106,MATCH(B97,Реестр!$A$7:$A$106,0)),"Нет связи"))</f>
        <v/>
      </c>
      <c r="X97" s="14" t="str">
        <f>IF(AND(S97=1,I97="Да"),COUNTIFS($S$7:$S$106,1,$I$7:$I$106,"Да",$Y$7:$Y$106,"&lt;"&amp;Y97)+COUNTIFS($S$7:S97,1,$I$7:I97,"Да",$Y$7:Y97,Y97),"")</f>
        <v/>
      </c>
      <c r="Y97" s="14" t="str">
        <f t="shared" si="8"/>
        <v/>
      </c>
    </row>
    <row r="98" spans="1:25" ht="25" customHeight="1">
      <c r="A98" s="5"/>
      <c r="B98" s="5"/>
      <c r="C98" s="5"/>
      <c r="D98" s="5"/>
      <c r="E98" s="5"/>
      <c r="F98" s="7"/>
      <c r="G98" s="5"/>
      <c r="H98" s="5"/>
      <c r="I98" s="5"/>
      <c r="J98" s="5"/>
      <c r="K98" s="5"/>
      <c r="L98" s="6" t="str">
        <f>IF(A98="","",IFERROR(INDEX(Реестр!$D$7:$D$106,MATCH(B98,Реестр!$A$7:$A$106,0)),"Нет связи"))</f>
        <v/>
      </c>
      <c r="M98" s="6" t="str">
        <f>IF(A98="","",IFERROR(INDEX(Реестр!$E$7:$E$106,MATCH(B98,Реестр!$A$7:$A$106,0)),"Нет связи"))</f>
        <v/>
      </c>
      <c r="N98" s="6">
        <f>IF(AND(A98&lt;&gt;"",H98&lt;&gt;"Закрыто",L98&lt;&gt;"Нет связи"),IF(INDEX(Реестр!$V$7:$V$106,MATCH(B98,Реестр!$A$7:$A$106,0))="Закрыто",0,1),0)</f>
        <v>0</v>
      </c>
      <c r="O98" s="12">
        <f>IF(N98=0,0,IF(F98="","Нет срока",MAX(0,(Продажи!$D$4-F98)*24)))</f>
        <v>0</v>
      </c>
      <c r="P98" s="6">
        <f>IF(AND(N98=1,ISNUMBER(F98),F98&lt;=Продажи!$D$4+2,OR(G98="Подача",G98="Дозапрос",G98="Обеспечение",G98="Обязательство клиенту")),1,0)</f>
        <v>0</v>
      </c>
      <c r="Q98" s="6">
        <f t="shared" si="6"/>
        <v>0</v>
      </c>
      <c r="R98" s="6">
        <f t="shared" si="7"/>
        <v>0</v>
      </c>
      <c r="S98" s="6">
        <f>IF(AND(N98=1,OR(Продажи!$I$4="Все",L98=Продажи!$I$4),OR(Продажи!$O$4="Все",M98=Продажи!$O$4)),1,0)</f>
        <v>0</v>
      </c>
      <c r="T98" s="6">
        <f>IF(S98=0,0,IF(P98=1,1,IF(AND(ISNUMBER(O98),O98&gt;0),2,IF(AND(ISNUMBER(F98),INT(F98)=INT(Продажи!$D$4)),3,IF(OR(I98="Да",F98=""),4,0)))))</f>
        <v>0</v>
      </c>
      <c r="U98" s="6" t="str">
        <f>IF(T98=0,"",COUNTIFS($T$7:$T$106,"&gt;0",$T$7:$T$106,"&lt;"&amp;T98)+COUNTIFS($T$7:$T$106,T98,$Y$7:$Y$106,"&lt;"&amp;Y98)+COUNTIFS($T$7:T98,T98,$Y$7:Y98,Y98))</f>
        <v/>
      </c>
      <c r="V98" s="6" t="str">
        <f>IF(A98="","",IFERROR(INDEX(Реестр!$W$7:$W$106,MATCH(B98,Реестр!$A$7:$A$106,0)),"Нет связи"))</f>
        <v/>
      </c>
      <c r="W98" s="6" t="str">
        <f>IF(A98="","",IFERROR(INDEX(Реестр!$C$7:$C$106,MATCH(B98,Реестр!$A$7:$A$106,0)),"Нет связи"))</f>
        <v/>
      </c>
      <c r="X98" s="14" t="str">
        <f>IF(AND(S98=1,I98="Да"),COUNTIFS($S$7:$S$106,1,$I$7:$I$106,"Да",$Y$7:$Y$106,"&lt;"&amp;Y98)+COUNTIFS($S$7:S98,1,$I$7:I98,"Да",$Y$7:Y98,Y98),"")</f>
        <v/>
      </c>
      <c r="Y98" s="14" t="str">
        <f t="shared" si="8"/>
        <v/>
      </c>
    </row>
    <row r="99" spans="1:25" ht="25" customHeight="1">
      <c r="A99" s="5"/>
      <c r="B99" s="5"/>
      <c r="C99" s="5"/>
      <c r="D99" s="5"/>
      <c r="E99" s="5"/>
      <c r="F99" s="7"/>
      <c r="G99" s="5"/>
      <c r="H99" s="5"/>
      <c r="I99" s="5"/>
      <c r="J99" s="5"/>
      <c r="K99" s="5"/>
      <c r="L99" s="6" t="str">
        <f>IF(A99="","",IFERROR(INDEX(Реестр!$D$7:$D$106,MATCH(B99,Реестр!$A$7:$A$106,0)),"Нет связи"))</f>
        <v/>
      </c>
      <c r="M99" s="6" t="str">
        <f>IF(A99="","",IFERROR(INDEX(Реестр!$E$7:$E$106,MATCH(B99,Реестр!$A$7:$A$106,0)),"Нет связи"))</f>
        <v/>
      </c>
      <c r="N99" s="6">
        <f>IF(AND(A99&lt;&gt;"",H99&lt;&gt;"Закрыто",L99&lt;&gt;"Нет связи"),IF(INDEX(Реестр!$V$7:$V$106,MATCH(B99,Реестр!$A$7:$A$106,0))="Закрыто",0,1),0)</f>
        <v>0</v>
      </c>
      <c r="O99" s="12">
        <f>IF(N99=0,0,IF(F99="","Нет срока",MAX(0,(Продажи!$D$4-F99)*24)))</f>
        <v>0</v>
      </c>
      <c r="P99" s="6">
        <f>IF(AND(N99=1,ISNUMBER(F99),F99&lt;=Продажи!$D$4+2,OR(G99="Подача",G99="Дозапрос",G99="Обеспечение",G99="Обязательство клиенту")),1,0)</f>
        <v>0</v>
      </c>
      <c r="Q99" s="6">
        <f t="shared" si="6"/>
        <v>0</v>
      </c>
      <c r="R99" s="6">
        <f t="shared" si="7"/>
        <v>0</v>
      </c>
      <c r="S99" s="6">
        <f>IF(AND(N99=1,OR(Продажи!$I$4="Все",L99=Продажи!$I$4),OR(Продажи!$O$4="Все",M99=Продажи!$O$4)),1,0)</f>
        <v>0</v>
      </c>
      <c r="T99" s="6">
        <f>IF(S99=0,0,IF(P99=1,1,IF(AND(ISNUMBER(O99),O99&gt;0),2,IF(AND(ISNUMBER(F99),INT(F99)=INT(Продажи!$D$4)),3,IF(OR(I99="Да",F99=""),4,0)))))</f>
        <v>0</v>
      </c>
      <c r="U99" s="6" t="str">
        <f>IF(T99=0,"",COUNTIFS($T$7:$T$106,"&gt;0",$T$7:$T$106,"&lt;"&amp;T99)+COUNTIFS($T$7:$T$106,T99,$Y$7:$Y$106,"&lt;"&amp;Y99)+COUNTIFS($T$7:T99,T99,$Y$7:Y99,Y99))</f>
        <v/>
      </c>
      <c r="V99" s="6" t="str">
        <f>IF(A99="","",IFERROR(INDEX(Реестр!$W$7:$W$106,MATCH(B99,Реестр!$A$7:$A$106,0)),"Нет связи"))</f>
        <v/>
      </c>
      <c r="W99" s="6" t="str">
        <f>IF(A99="","",IFERROR(INDEX(Реестр!$C$7:$C$106,MATCH(B99,Реестр!$A$7:$A$106,0)),"Нет связи"))</f>
        <v/>
      </c>
      <c r="X99" s="14" t="str">
        <f>IF(AND(S99=1,I99="Да"),COUNTIFS($S$7:$S$106,1,$I$7:$I$106,"Да",$Y$7:$Y$106,"&lt;"&amp;Y99)+COUNTIFS($S$7:S99,1,$I$7:I99,"Да",$Y$7:Y99,Y99),"")</f>
        <v/>
      </c>
      <c r="Y99" s="14" t="str">
        <f t="shared" si="8"/>
        <v/>
      </c>
    </row>
    <row r="100" spans="1:25" ht="25" customHeight="1">
      <c r="A100" s="5"/>
      <c r="B100" s="5"/>
      <c r="C100" s="5"/>
      <c r="D100" s="5"/>
      <c r="E100" s="5"/>
      <c r="F100" s="7"/>
      <c r="G100" s="5"/>
      <c r="H100" s="5"/>
      <c r="I100" s="5"/>
      <c r="J100" s="5"/>
      <c r="K100" s="5"/>
      <c r="L100" s="6" t="str">
        <f>IF(A100="","",IFERROR(INDEX(Реестр!$D$7:$D$106,MATCH(B100,Реестр!$A$7:$A$106,0)),"Нет связи"))</f>
        <v/>
      </c>
      <c r="M100" s="6" t="str">
        <f>IF(A100="","",IFERROR(INDEX(Реестр!$E$7:$E$106,MATCH(B100,Реестр!$A$7:$A$106,0)),"Нет связи"))</f>
        <v/>
      </c>
      <c r="N100" s="6">
        <f>IF(AND(A100&lt;&gt;"",H100&lt;&gt;"Закрыто",L100&lt;&gt;"Нет связи"),IF(INDEX(Реестр!$V$7:$V$106,MATCH(B100,Реестр!$A$7:$A$106,0))="Закрыто",0,1),0)</f>
        <v>0</v>
      </c>
      <c r="O100" s="12">
        <f>IF(N100=0,0,IF(F100="","Нет срока",MAX(0,(Продажи!$D$4-F100)*24)))</f>
        <v>0</v>
      </c>
      <c r="P100" s="6">
        <f>IF(AND(N100=1,ISNUMBER(F100),F100&lt;=Продажи!$D$4+2,OR(G100="Подача",G100="Дозапрос",G100="Обеспечение",G100="Обязательство клиенту")),1,0)</f>
        <v>0</v>
      </c>
      <c r="Q100" s="6">
        <f t="shared" si="6"/>
        <v>0</v>
      </c>
      <c r="R100" s="6">
        <f t="shared" si="7"/>
        <v>0</v>
      </c>
      <c r="S100" s="6">
        <f>IF(AND(N100=1,OR(Продажи!$I$4="Все",L100=Продажи!$I$4),OR(Продажи!$O$4="Все",M100=Продажи!$O$4)),1,0)</f>
        <v>0</v>
      </c>
      <c r="T100" s="6">
        <f>IF(S100=0,0,IF(P100=1,1,IF(AND(ISNUMBER(O100),O100&gt;0),2,IF(AND(ISNUMBER(F100),INT(F100)=INT(Продажи!$D$4)),3,IF(OR(I100="Да",F100=""),4,0)))))</f>
        <v>0</v>
      </c>
      <c r="U100" s="6" t="str">
        <f>IF(T100=0,"",COUNTIFS($T$7:$T$106,"&gt;0",$T$7:$T$106,"&lt;"&amp;T100)+COUNTIFS($T$7:$T$106,T100,$Y$7:$Y$106,"&lt;"&amp;Y100)+COUNTIFS($T$7:T100,T100,$Y$7:Y100,Y100))</f>
        <v/>
      </c>
      <c r="V100" s="6" t="str">
        <f>IF(A100="","",IFERROR(INDEX(Реестр!$W$7:$W$106,MATCH(B100,Реестр!$A$7:$A$106,0)),"Нет связи"))</f>
        <v/>
      </c>
      <c r="W100" s="6" t="str">
        <f>IF(A100="","",IFERROR(INDEX(Реестр!$C$7:$C$106,MATCH(B100,Реестр!$A$7:$A$106,0)),"Нет связи"))</f>
        <v/>
      </c>
      <c r="X100" s="14" t="str">
        <f>IF(AND(S100=1,I100="Да"),COUNTIFS($S$7:$S$106,1,$I$7:$I$106,"Да",$Y$7:$Y$106,"&lt;"&amp;Y100)+COUNTIFS($S$7:S100,1,$I$7:I100,"Да",$Y$7:Y100,Y100),"")</f>
        <v/>
      </c>
      <c r="Y100" s="14" t="str">
        <f t="shared" si="8"/>
        <v/>
      </c>
    </row>
    <row r="101" spans="1:25" ht="25" customHeight="1">
      <c r="A101" s="5"/>
      <c r="B101" s="5"/>
      <c r="C101" s="5"/>
      <c r="D101" s="5"/>
      <c r="E101" s="5"/>
      <c r="F101" s="7"/>
      <c r="G101" s="5"/>
      <c r="H101" s="5"/>
      <c r="I101" s="5"/>
      <c r="J101" s="5"/>
      <c r="K101" s="5"/>
      <c r="L101" s="6" t="str">
        <f>IF(A101="","",IFERROR(INDEX(Реестр!$D$7:$D$106,MATCH(B101,Реестр!$A$7:$A$106,0)),"Нет связи"))</f>
        <v/>
      </c>
      <c r="M101" s="6" t="str">
        <f>IF(A101="","",IFERROR(INDEX(Реестр!$E$7:$E$106,MATCH(B101,Реестр!$A$7:$A$106,0)),"Нет связи"))</f>
        <v/>
      </c>
      <c r="N101" s="6">
        <f>IF(AND(A101&lt;&gt;"",H101&lt;&gt;"Закрыто",L101&lt;&gt;"Нет связи"),IF(INDEX(Реестр!$V$7:$V$106,MATCH(B101,Реестр!$A$7:$A$106,0))="Закрыто",0,1),0)</f>
        <v>0</v>
      </c>
      <c r="O101" s="12">
        <f>IF(N101=0,0,IF(F101="","Нет срока",MAX(0,(Продажи!$D$4-F101)*24)))</f>
        <v>0</v>
      </c>
      <c r="P101" s="6">
        <f>IF(AND(N101=1,ISNUMBER(F101),F101&lt;=Продажи!$D$4+2,OR(G101="Подача",G101="Дозапрос",G101="Обеспечение",G101="Обязательство клиенту")),1,0)</f>
        <v>0</v>
      </c>
      <c r="Q101" s="6">
        <f t="shared" si="6"/>
        <v>0</v>
      </c>
      <c r="R101" s="6">
        <f t="shared" si="7"/>
        <v>0</v>
      </c>
      <c r="S101" s="6">
        <f>IF(AND(N101=1,OR(Продажи!$I$4="Все",L101=Продажи!$I$4),OR(Продажи!$O$4="Все",M101=Продажи!$O$4)),1,0)</f>
        <v>0</v>
      </c>
      <c r="T101" s="6">
        <f>IF(S101=0,0,IF(P101=1,1,IF(AND(ISNUMBER(O101),O101&gt;0),2,IF(AND(ISNUMBER(F101),INT(F101)=INT(Продажи!$D$4)),3,IF(OR(I101="Да",F101=""),4,0)))))</f>
        <v>0</v>
      </c>
      <c r="U101" s="6" t="str">
        <f>IF(T101=0,"",COUNTIFS($T$7:$T$106,"&gt;0",$T$7:$T$106,"&lt;"&amp;T101)+COUNTIFS($T$7:$T$106,T101,$Y$7:$Y$106,"&lt;"&amp;Y101)+COUNTIFS($T$7:T101,T101,$Y$7:Y101,Y101))</f>
        <v/>
      </c>
      <c r="V101" s="6" t="str">
        <f>IF(A101="","",IFERROR(INDEX(Реестр!$W$7:$W$106,MATCH(B101,Реестр!$A$7:$A$106,0)),"Нет связи"))</f>
        <v/>
      </c>
      <c r="W101" s="6" t="str">
        <f>IF(A101="","",IFERROR(INDEX(Реестр!$C$7:$C$106,MATCH(B101,Реестр!$A$7:$A$106,0)),"Нет связи"))</f>
        <v/>
      </c>
      <c r="X101" s="14" t="str">
        <f>IF(AND(S101=1,I101="Да"),COUNTIFS($S$7:$S$106,1,$I$7:$I$106,"Да",$Y$7:$Y$106,"&lt;"&amp;Y101)+COUNTIFS($S$7:S101,1,$I$7:I101,"Да",$Y$7:Y101,Y101),"")</f>
        <v/>
      </c>
      <c r="Y101" s="14" t="str">
        <f t="shared" si="8"/>
        <v/>
      </c>
    </row>
    <row r="102" spans="1:25" ht="25" customHeight="1">
      <c r="A102" s="5"/>
      <c r="B102" s="5"/>
      <c r="C102" s="5"/>
      <c r="D102" s="5"/>
      <c r="E102" s="5"/>
      <c r="F102" s="7"/>
      <c r="G102" s="5"/>
      <c r="H102" s="5"/>
      <c r="I102" s="5"/>
      <c r="J102" s="5"/>
      <c r="K102" s="5"/>
      <c r="L102" s="6" t="str">
        <f>IF(A102="","",IFERROR(INDEX(Реестр!$D$7:$D$106,MATCH(B102,Реестр!$A$7:$A$106,0)),"Нет связи"))</f>
        <v/>
      </c>
      <c r="M102" s="6" t="str">
        <f>IF(A102="","",IFERROR(INDEX(Реестр!$E$7:$E$106,MATCH(B102,Реестр!$A$7:$A$106,0)),"Нет связи"))</f>
        <v/>
      </c>
      <c r="N102" s="6">
        <f>IF(AND(A102&lt;&gt;"",H102&lt;&gt;"Закрыто",L102&lt;&gt;"Нет связи"),IF(INDEX(Реестр!$V$7:$V$106,MATCH(B102,Реестр!$A$7:$A$106,0))="Закрыто",0,1),0)</f>
        <v>0</v>
      </c>
      <c r="O102" s="12">
        <f>IF(N102=0,0,IF(F102="","Нет срока",MAX(0,(Продажи!$D$4-F102)*24)))</f>
        <v>0</v>
      </c>
      <c r="P102" s="6">
        <f>IF(AND(N102=1,ISNUMBER(F102),F102&lt;=Продажи!$D$4+2,OR(G102="Подача",G102="Дозапрос",G102="Обеспечение",G102="Обязательство клиенту")),1,0)</f>
        <v>0</v>
      </c>
      <c r="Q102" s="6">
        <f t="shared" si="6"/>
        <v>0</v>
      </c>
      <c r="R102" s="6">
        <f t="shared" si="7"/>
        <v>0</v>
      </c>
      <c r="S102" s="6">
        <f>IF(AND(N102=1,OR(Продажи!$I$4="Все",L102=Продажи!$I$4),OR(Продажи!$O$4="Все",M102=Продажи!$O$4)),1,0)</f>
        <v>0</v>
      </c>
      <c r="T102" s="6">
        <f>IF(S102=0,0,IF(P102=1,1,IF(AND(ISNUMBER(O102),O102&gt;0),2,IF(AND(ISNUMBER(F102),INT(F102)=INT(Продажи!$D$4)),3,IF(OR(I102="Да",F102=""),4,0)))))</f>
        <v>0</v>
      </c>
      <c r="U102" s="6" t="str">
        <f>IF(T102=0,"",COUNTIFS($T$7:$T$106,"&gt;0",$T$7:$T$106,"&lt;"&amp;T102)+COUNTIFS($T$7:$T$106,T102,$Y$7:$Y$106,"&lt;"&amp;Y102)+COUNTIFS($T$7:T102,T102,$Y$7:Y102,Y102))</f>
        <v/>
      </c>
      <c r="V102" s="6" t="str">
        <f>IF(A102="","",IFERROR(INDEX(Реестр!$W$7:$W$106,MATCH(B102,Реестр!$A$7:$A$106,0)),"Нет связи"))</f>
        <v/>
      </c>
      <c r="W102" s="6" t="str">
        <f>IF(A102="","",IFERROR(INDEX(Реестр!$C$7:$C$106,MATCH(B102,Реестр!$A$7:$A$106,0)),"Нет связи"))</f>
        <v/>
      </c>
      <c r="X102" s="14" t="str">
        <f>IF(AND(S102=1,I102="Да"),COUNTIFS($S$7:$S$106,1,$I$7:$I$106,"Да",$Y$7:$Y$106,"&lt;"&amp;Y102)+COUNTIFS($S$7:S102,1,$I$7:I102,"Да",$Y$7:Y102,Y102),"")</f>
        <v/>
      </c>
      <c r="Y102" s="14" t="str">
        <f t="shared" si="8"/>
        <v/>
      </c>
    </row>
    <row r="103" spans="1:25" ht="25" customHeight="1">
      <c r="A103" s="5"/>
      <c r="B103" s="5"/>
      <c r="C103" s="5"/>
      <c r="D103" s="5"/>
      <c r="E103" s="5"/>
      <c r="F103" s="7"/>
      <c r="G103" s="5"/>
      <c r="H103" s="5"/>
      <c r="I103" s="5"/>
      <c r="J103" s="5"/>
      <c r="K103" s="5"/>
      <c r="L103" s="6" t="str">
        <f>IF(A103="","",IFERROR(INDEX(Реестр!$D$7:$D$106,MATCH(B103,Реестр!$A$7:$A$106,0)),"Нет связи"))</f>
        <v/>
      </c>
      <c r="M103" s="6" t="str">
        <f>IF(A103="","",IFERROR(INDEX(Реестр!$E$7:$E$106,MATCH(B103,Реестр!$A$7:$A$106,0)),"Нет связи"))</f>
        <v/>
      </c>
      <c r="N103" s="6">
        <f>IF(AND(A103&lt;&gt;"",H103&lt;&gt;"Закрыто",L103&lt;&gt;"Нет связи"),IF(INDEX(Реестр!$V$7:$V$106,MATCH(B103,Реестр!$A$7:$A$106,0))="Закрыто",0,1),0)</f>
        <v>0</v>
      </c>
      <c r="O103" s="12">
        <f>IF(N103=0,0,IF(F103="","Нет срока",MAX(0,(Продажи!$D$4-F103)*24)))</f>
        <v>0</v>
      </c>
      <c r="P103" s="6">
        <f>IF(AND(N103=1,ISNUMBER(F103),F103&lt;=Продажи!$D$4+2,OR(G103="Подача",G103="Дозапрос",G103="Обеспечение",G103="Обязательство клиенту")),1,0)</f>
        <v>0</v>
      </c>
      <c r="Q103" s="6">
        <f t="shared" si="6"/>
        <v>0</v>
      </c>
      <c r="R103" s="6">
        <f t="shared" si="7"/>
        <v>0</v>
      </c>
      <c r="S103" s="6">
        <f>IF(AND(N103=1,OR(Продажи!$I$4="Все",L103=Продажи!$I$4),OR(Продажи!$O$4="Все",M103=Продажи!$O$4)),1,0)</f>
        <v>0</v>
      </c>
      <c r="T103" s="6">
        <f>IF(S103=0,0,IF(P103=1,1,IF(AND(ISNUMBER(O103),O103&gt;0),2,IF(AND(ISNUMBER(F103),INT(F103)=INT(Продажи!$D$4)),3,IF(OR(I103="Да",F103=""),4,0)))))</f>
        <v>0</v>
      </c>
      <c r="U103" s="6" t="str">
        <f>IF(T103=0,"",COUNTIFS($T$7:$T$106,"&gt;0",$T$7:$T$106,"&lt;"&amp;T103)+COUNTIFS($T$7:$T$106,T103,$Y$7:$Y$106,"&lt;"&amp;Y103)+COUNTIFS($T$7:T103,T103,$Y$7:Y103,Y103))</f>
        <v/>
      </c>
      <c r="V103" s="6" t="str">
        <f>IF(A103="","",IFERROR(INDEX(Реестр!$W$7:$W$106,MATCH(B103,Реестр!$A$7:$A$106,0)),"Нет связи"))</f>
        <v/>
      </c>
      <c r="W103" s="6" t="str">
        <f>IF(A103="","",IFERROR(INDEX(Реестр!$C$7:$C$106,MATCH(B103,Реестр!$A$7:$A$106,0)),"Нет связи"))</f>
        <v/>
      </c>
      <c r="X103" s="14" t="str">
        <f>IF(AND(S103=1,I103="Да"),COUNTIFS($S$7:$S$106,1,$I$7:$I$106,"Да",$Y$7:$Y$106,"&lt;"&amp;Y103)+COUNTIFS($S$7:S103,1,$I$7:I103,"Да",$Y$7:Y103,Y103),"")</f>
        <v/>
      </c>
      <c r="Y103" s="14" t="str">
        <f t="shared" si="8"/>
        <v/>
      </c>
    </row>
    <row r="104" spans="1:25" ht="25" customHeight="1">
      <c r="A104" s="5"/>
      <c r="B104" s="5"/>
      <c r="C104" s="5"/>
      <c r="D104" s="5"/>
      <c r="E104" s="5"/>
      <c r="F104" s="7"/>
      <c r="G104" s="5"/>
      <c r="H104" s="5"/>
      <c r="I104" s="5"/>
      <c r="J104" s="5"/>
      <c r="K104" s="5"/>
      <c r="L104" s="6" t="str">
        <f>IF(A104="","",IFERROR(INDEX(Реестр!$D$7:$D$106,MATCH(B104,Реестр!$A$7:$A$106,0)),"Нет связи"))</f>
        <v/>
      </c>
      <c r="M104" s="6" t="str">
        <f>IF(A104="","",IFERROR(INDEX(Реестр!$E$7:$E$106,MATCH(B104,Реестр!$A$7:$A$106,0)),"Нет связи"))</f>
        <v/>
      </c>
      <c r="N104" s="6">
        <f>IF(AND(A104&lt;&gt;"",H104&lt;&gt;"Закрыто",L104&lt;&gt;"Нет связи"),IF(INDEX(Реестр!$V$7:$V$106,MATCH(B104,Реестр!$A$7:$A$106,0))="Закрыто",0,1),0)</f>
        <v>0</v>
      </c>
      <c r="O104" s="12">
        <f>IF(N104=0,0,IF(F104="","Нет срока",MAX(0,(Продажи!$D$4-F104)*24)))</f>
        <v>0</v>
      </c>
      <c r="P104" s="6">
        <f>IF(AND(N104=1,ISNUMBER(F104),F104&lt;=Продажи!$D$4+2,OR(G104="Подача",G104="Дозапрос",G104="Обеспечение",G104="Обязательство клиенту")),1,0)</f>
        <v>0</v>
      </c>
      <c r="Q104" s="6">
        <f t="shared" si="6"/>
        <v>0</v>
      </c>
      <c r="R104" s="6">
        <f t="shared" si="7"/>
        <v>0</v>
      </c>
      <c r="S104" s="6">
        <f>IF(AND(N104=1,OR(Продажи!$I$4="Все",L104=Продажи!$I$4),OR(Продажи!$O$4="Все",M104=Продажи!$O$4)),1,0)</f>
        <v>0</v>
      </c>
      <c r="T104" s="6">
        <f>IF(S104=0,0,IF(P104=1,1,IF(AND(ISNUMBER(O104),O104&gt;0),2,IF(AND(ISNUMBER(F104),INT(F104)=INT(Продажи!$D$4)),3,IF(OR(I104="Да",F104=""),4,0)))))</f>
        <v>0</v>
      </c>
      <c r="U104" s="6" t="str">
        <f>IF(T104=0,"",COUNTIFS($T$7:$T$106,"&gt;0",$T$7:$T$106,"&lt;"&amp;T104)+COUNTIFS($T$7:$T$106,T104,$Y$7:$Y$106,"&lt;"&amp;Y104)+COUNTIFS($T$7:T104,T104,$Y$7:Y104,Y104))</f>
        <v/>
      </c>
      <c r="V104" s="6" t="str">
        <f>IF(A104="","",IFERROR(INDEX(Реестр!$W$7:$W$106,MATCH(B104,Реестр!$A$7:$A$106,0)),"Нет связи"))</f>
        <v/>
      </c>
      <c r="W104" s="6" t="str">
        <f>IF(A104="","",IFERROR(INDEX(Реестр!$C$7:$C$106,MATCH(B104,Реестр!$A$7:$A$106,0)),"Нет связи"))</f>
        <v/>
      </c>
      <c r="X104" s="14" t="str">
        <f>IF(AND(S104=1,I104="Да"),COUNTIFS($S$7:$S$106,1,$I$7:$I$106,"Да",$Y$7:$Y$106,"&lt;"&amp;Y104)+COUNTIFS($S$7:S104,1,$I$7:I104,"Да",$Y$7:Y104,Y104),"")</f>
        <v/>
      </c>
      <c r="Y104" s="14" t="str">
        <f t="shared" si="8"/>
        <v/>
      </c>
    </row>
    <row r="105" spans="1:25" ht="25" customHeight="1">
      <c r="A105" s="5"/>
      <c r="B105" s="5"/>
      <c r="C105" s="5"/>
      <c r="D105" s="5"/>
      <c r="E105" s="5"/>
      <c r="F105" s="7"/>
      <c r="G105" s="5"/>
      <c r="H105" s="5"/>
      <c r="I105" s="5"/>
      <c r="J105" s="5"/>
      <c r="K105" s="5"/>
      <c r="L105" s="6" t="str">
        <f>IF(A105="","",IFERROR(INDEX(Реестр!$D$7:$D$106,MATCH(B105,Реестр!$A$7:$A$106,0)),"Нет связи"))</f>
        <v/>
      </c>
      <c r="M105" s="6" t="str">
        <f>IF(A105="","",IFERROR(INDEX(Реестр!$E$7:$E$106,MATCH(B105,Реестр!$A$7:$A$106,0)),"Нет связи"))</f>
        <v/>
      </c>
      <c r="N105" s="6">
        <f>IF(AND(A105&lt;&gt;"",H105&lt;&gt;"Закрыто",L105&lt;&gt;"Нет связи"),IF(INDEX(Реестр!$V$7:$V$106,MATCH(B105,Реестр!$A$7:$A$106,0))="Закрыто",0,1),0)</f>
        <v>0</v>
      </c>
      <c r="O105" s="12">
        <f>IF(N105=0,0,IF(F105="","Нет срока",MAX(0,(Продажи!$D$4-F105)*24)))</f>
        <v>0</v>
      </c>
      <c r="P105" s="6">
        <f>IF(AND(N105=1,ISNUMBER(F105),F105&lt;=Продажи!$D$4+2,OR(G105="Подача",G105="Дозапрос",G105="Обеспечение",G105="Обязательство клиенту")),1,0)</f>
        <v>0</v>
      </c>
      <c r="Q105" s="6">
        <f t="shared" si="6"/>
        <v>0</v>
      </c>
      <c r="R105" s="6">
        <f t="shared" si="7"/>
        <v>0</v>
      </c>
      <c r="S105" s="6">
        <f>IF(AND(N105=1,OR(Продажи!$I$4="Все",L105=Продажи!$I$4),OR(Продажи!$O$4="Все",M105=Продажи!$O$4)),1,0)</f>
        <v>0</v>
      </c>
      <c r="T105" s="6">
        <f>IF(S105=0,0,IF(P105=1,1,IF(AND(ISNUMBER(O105),O105&gt;0),2,IF(AND(ISNUMBER(F105),INT(F105)=INT(Продажи!$D$4)),3,IF(OR(I105="Да",F105=""),4,0)))))</f>
        <v>0</v>
      </c>
      <c r="U105" s="6" t="str">
        <f>IF(T105=0,"",COUNTIFS($T$7:$T$106,"&gt;0",$T$7:$T$106,"&lt;"&amp;T105)+COUNTIFS($T$7:$T$106,T105,$Y$7:$Y$106,"&lt;"&amp;Y105)+COUNTIFS($T$7:T105,T105,$Y$7:Y105,Y105))</f>
        <v/>
      </c>
      <c r="V105" s="6" t="str">
        <f>IF(A105="","",IFERROR(INDEX(Реестр!$W$7:$W$106,MATCH(B105,Реестр!$A$7:$A$106,0)),"Нет связи"))</f>
        <v/>
      </c>
      <c r="W105" s="6" t="str">
        <f>IF(A105="","",IFERROR(INDEX(Реестр!$C$7:$C$106,MATCH(B105,Реестр!$A$7:$A$106,0)),"Нет связи"))</f>
        <v/>
      </c>
      <c r="X105" s="14" t="str">
        <f>IF(AND(S105=1,I105="Да"),COUNTIFS($S$7:$S$106,1,$I$7:$I$106,"Да",$Y$7:$Y$106,"&lt;"&amp;Y105)+COUNTIFS($S$7:S105,1,$I$7:I105,"Да",$Y$7:Y105,Y105),"")</f>
        <v/>
      </c>
      <c r="Y105" s="14" t="str">
        <f t="shared" si="8"/>
        <v/>
      </c>
    </row>
    <row r="106" spans="1:25" ht="25" customHeight="1">
      <c r="A106" s="5"/>
      <c r="B106" s="5"/>
      <c r="C106" s="5"/>
      <c r="D106" s="5"/>
      <c r="E106" s="5"/>
      <c r="F106" s="7"/>
      <c r="G106" s="5"/>
      <c r="H106" s="5"/>
      <c r="I106" s="5"/>
      <c r="J106" s="5"/>
      <c r="K106" s="5"/>
      <c r="L106" s="6" t="str">
        <f>IF(A106="","",IFERROR(INDEX(Реестр!$D$7:$D$106,MATCH(B106,Реестр!$A$7:$A$106,0)),"Нет связи"))</f>
        <v/>
      </c>
      <c r="M106" s="6" t="str">
        <f>IF(A106="","",IFERROR(INDEX(Реестр!$E$7:$E$106,MATCH(B106,Реестр!$A$7:$A$106,0)),"Нет связи"))</f>
        <v/>
      </c>
      <c r="N106" s="6">
        <f>IF(AND(A106&lt;&gt;"",H106&lt;&gt;"Закрыто",L106&lt;&gt;"Нет связи"),IF(INDEX(Реестр!$V$7:$V$106,MATCH(B106,Реестр!$A$7:$A$106,0))="Закрыто",0,1),0)</f>
        <v>0</v>
      </c>
      <c r="O106" s="12">
        <f>IF(N106=0,0,IF(F106="","Нет срока",MAX(0,(Продажи!$D$4-F106)*24)))</f>
        <v>0</v>
      </c>
      <c r="P106" s="6">
        <f>IF(AND(N106=1,ISNUMBER(F106),F106&lt;=Продажи!$D$4+2,OR(G106="Подача",G106="Дозапрос",G106="Обеспечение",G106="Обязательство клиенту")),1,0)</f>
        <v>0</v>
      </c>
      <c r="Q106" s="6">
        <f t="shared" si="6"/>
        <v>0</v>
      </c>
      <c r="R106" s="6">
        <f t="shared" si="7"/>
        <v>0</v>
      </c>
      <c r="S106" s="6">
        <f>IF(AND(N106=1,OR(Продажи!$I$4="Все",L106=Продажи!$I$4),OR(Продажи!$O$4="Все",M106=Продажи!$O$4)),1,0)</f>
        <v>0</v>
      </c>
      <c r="T106" s="6">
        <f>IF(S106=0,0,IF(P106=1,1,IF(AND(ISNUMBER(O106),O106&gt;0),2,IF(AND(ISNUMBER(F106),INT(F106)=INT(Продажи!$D$4)),3,IF(OR(I106="Да",F106=""),4,0)))))</f>
        <v>0</v>
      </c>
      <c r="U106" s="6" t="str">
        <f>IF(T106=0,"",COUNTIFS($T$7:$T$106,"&gt;0",$T$7:$T$106,"&lt;"&amp;T106)+COUNTIFS($T$7:$T$106,T106,$Y$7:$Y$106,"&lt;"&amp;Y106)+COUNTIFS($T$7:T106,T106,$Y$7:Y106,Y106))</f>
        <v/>
      </c>
      <c r="V106" s="6" t="str">
        <f>IF(A106="","",IFERROR(INDEX(Реестр!$W$7:$W$106,MATCH(B106,Реестр!$A$7:$A$106,0)),"Нет связи"))</f>
        <v/>
      </c>
      <c r="W106" s="6" t="str">
        <f>IF(A106="","",IFERROR(INDEX(Реестр!$C$7:$C$106,MATCH(B106,Реестр!$A$7:$A$106,0)),"Нет связи"))</f>
        <v/>
      </c>
      <c r="X106" s="14" t="str">
        <f>IF(AND(S106=1,I106="Да"),COUNTIFS($S$7:$S$106,1,$I$7:$I$106,"Да",$Y$7:$Y$106,"&lt;"&amp;Y106)+COUNTIFS($S$7:S106,1,$I$7:I106,"Да",$Y$7:Y106,Y106),"")</f>
        <v/>
      </c>
      <c r="Y106" s="14" t="str">
        <f t="shared" si="8"/>
        <v/>
      </c>
    </row>
    <row r="107" spans="1:25" ht="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5" ht="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5" ht="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5" ht="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5" ht="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5" ht="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</sheetData>
  <mergeCells count="3">
    <mergeCell ref="A2:K2"/>
    <mergeCell ref="A3:K3"/>
    <mergeCell ref="A4:K4"/>
  </mergeCells>
  <conditionalFormatting sqref="O7:O106">
    <cfRule type="cellIs" dxfId="0" priority="1" operator="greaterThan">
      <formula>0</formula>
    </cfRule>
  </conditionalFormatting>
  <dataValidations count="4">
    <dataValidation type="list" sqref="D7:D106" xr:uid="{00000000-0002-0000-0200-000000000000}">
      <formula1>"Продажи,Снабжение,Логистика,Юрист,Финансы,Клиент,Площадка"</formula1>
    </dataValidation>
    <dataValidation type="list" sqref="G7:G106" xr:uid="{00000000-0002-0000-0200-000001000000}">
      <formula1>"Контакт,Требования,Расчёт,Согласование,Договор,Подача,Дозапрос,Обеспечение,Передача заказа,Обязательство клиенту,Документы,Оплата,Внутренняя задача"</formula1>
    </dataValidation>
    <dataValidation type="list" sqref="H7:H106" xr:uid="{00000000-0002-0000-0200-000002000000}">
      <formula1>"Открыто,Ожидание,Закрыто"</formula1>
    </dataValidation>
    <dataValidation type="list" sqref="I7:I106" xr:uid="{00000000-0002-0000-0200-000003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1CD7-53EC-544A-9466-99CA99EFCDBA}">
  <sheetPr>
    <tabColor rgb="FF203C5C"/>
  </sheetPr>
  <dimension ref="A1"/>
  <sheetViews>
    <sheetView tabSelected="1" workbookViewId="0">
      <selection activeCell="N4" sqref="N4"/>
    </sheetView>
  </sheetViews>
  <sheetFormatPr baseColWidth="10" defaultRowHeight="1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Продажи</vt:lpstr>
      <vt:lpstr>Реестр</vt:lpstr>
      <vt:lpstr>Действия</vt:lpstr>
      <vt:lpstr>Визуальное оформление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Валентина</cp:lastModifiedBy>
  <dcterms:modified xsi:type="dcterms:W3CDTF">2026-10-26T06:11:56Z</dcterms:modified>
</cp:coreProperties>
</file>