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157307_ad_unsw_edu_au/Documents/Year 4, Sem 1/Project - Thesis/Testing/Link Budget/"/>
    </mc:Choice>
  </mc:AlternateContent>
  <xr:revisionPtr revIDLastSave="9" documentId="8_{C0F39170-9D0C-4E6E-A40C-2BDEF385EA52}" xr6:coauthVersionLast="45" xr6:coauthVersionMax="45" xr10:uidLastSave="{2F3ED78D-6EFF-4364-96D5-B31B1FC62293}"/>
  <bookViews>
    <workbookView xWindow="-98" yWindow="-98" windowWidth="22695" windowHeight="14595" activeTab="1" xr2:uid="{48F06994-4FC5-4C13-B64A-524440252DE1}"/>
  </bookViews>
  <sheets>
    <sheet name="settings" sheetId="1" r:id="rId1"/>
    <sheet name=" Link Budget" sheetId="7" r:id="rId2"/>
    <sheet name="Summary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4" l="1"/>
  <c r="F21" i="14"/>
  <c r="G21" i="14"/>
  <c r="H21" i="14"/>
  <c r="I21" i="14"/>
  <c r="J21" i="14"/>
  <c r="K21" i="14"/>
  <c r="D21" i="14"/>
  <c r="D27" i="14" l="1"/>
  <c r="D29" i="14" s="1"/>
  <c r="D25" i="14"/>
  <c r="D16" i="14"/>
  <c r="D17" i="14" s="1"/>
  <c r="D19" i="14" s="1"/>
  <c r="D23" i="14" s="1"/>
  <c r="D11" i="14"/>
  <c r="D5" i="14"/>
  <c r="D9" i="14" s="1"/>
  <c r="J27" i="7"/>
  <c r="J28" i="7" s="1"/>
  <c r="J25" i="7"/>
  <c r="J21" i="7"/>
  <c r="J15" i="7"/>
  <c r="J16" i="7" s="1"/>
  <c r="J18" i="7" s="1"/>
  <c r="J10" i="7"/>
  <c r="J4" i="7"/>
  <c r="J8" i="7" s="1"/>
  <c r="K27" i="14"/>
  <c r="K29" i="14" s="1"/>
  <c r="J27" i="14"/>
  <c r="I27" i="14"/>
  <c r="H27" i="14"/>
  <c r="H29" i="14" s="1"/>
  <c r="K25" i="14"/>
  <c r="J25" i="14"/>
  <c r="I25" i="14"/>
  <c r="H25" i="14"/>
  <c r="K16" i="14"/>
  <c r="K17" i="14" s="1"/>
  <c r="K19" i="14" s="1"/>
  <c r="K23" i="14" s="1"/>
  <c r="K30" i="14" s="1"/>
  <c r="J16" i="14"/>
  <c r="J17" i="14" s="1"/>
  <c r="J19" i="14" s="1"/>
  <c r="J23" i="14" s="1"/>
  <c r="J30" i="14" s="1"/>
  <c r="I16" i="14"/>
  <c r="I17" i="14" s="1"/>
  <c r="I19" i="14" s="1"/>
  <c r="I23" i="14" s="1"/>
  <c r="I30" i="14" s="1"/>
  <c r="H16" i="14"/>
  <c r="H17" i="14" s="1"/>
  <c r="H19" i="14" s="1"/>
  <c r="H23" i="14" s="1"/>
  <c r="H30" i="14" s="1"/>
  <c r="K11" i="14"/>
  <c r="J11" i="14"/>
  <c r="I11" i="14"/>
  <c r="H11" i="14"/>
  <c r="K5" i="14"/>
  <c r="K9" i="14" s="1"/>
  <c r="J5" i="14"/>
  <c r="J9" i="14" s="1"/>
  <c r="I5" i="14"/>
  <c r="I9" i="14" s="1"/>
  <c r="H5" i="14"/>
  <c r="H9" i="14" s="1"/>
  <c r="G27" i="14"/>
  <c r="F27" i="14"/>
  <c r="F29" i="14" s="1"/>
  <c r="E27" i="14"/>
  <c r="E29" i="14" s="1"/>
  <c r="G25" i="14"/>
  <c r="F25" i="14"/>
  <c r="E25" i="14"/>
  <c r="G16" i="14"/>
  <c r="G17" i="14" s="1"/>
  <c r="G19" i="14" s="1"/>
  <c r="F16" i="14"/>
  <c r="F17" i="14" s="1"/>
  <c r="F19" i="14" s="1"/>
  <c r="E16" i="14"/>
  <c r="E17" i="14" s="1"/>
  <c r="E19" i="14" s="1"/>
  <c r="E23" i="14" s="1"/>
  <c r="E30" i="14" s="1"/>
  <c r="G11" i="14"/>
  <c r="F11" i="14"/>
  <c r="E11" i="14"/>
  <c r="G5" i="14"/>
  <c r="G9" i="14" s="1"/>
  <c r="F5" i="14"/>
  <c r="F9" i="14" s="1"/>
  <c r="E5" i="14"/>
  <c r="E9" i="14" s="1"/>
  <c r="R10" i="7"/>
  <c r="S10" i="7"/>
  <c r="T10" i="7"/>
  <c r="Q10" i="7"/>
  <c r="D10" i="7"/>
  <c r="E10" i="7"/>
  <c r="F10" i="7"/>
  <c r="C10" i="7"/>
  <c r="K10" i="7"/>
  <c r="L10" i="7"/>
  <c r="M10" i="7"/>
  <c r="J29" i="7" l="1"/>
  <c r="J12" i="7"/>
  <c r="J23" i="7"/>
  <c r="J30" i="7" s="1"/>
  <c r="J31" i="7" s="1"/>
  <c r="J32" i="7" s="1"/>
  <c r="K13" i="14"/>
  <c r="K34" i="14" s="1"/>
  <c r="K36" i="14" s="1"/>
  <c r="D13" i="14"/>
  <c r="D34" i="14" s="1"/>
  <c r="D36" i="14" s="1"/>
  <c r="G28" i="14"/>
  <c r="F13" i="14"/>
  <c r="F34" i="14" s="1"/>
  <c r="F36" i="14" s="1"/>
  <c r="G29" i="14"/>
  <c r="J13" i="14"/>
  <c r="J34" i="14" s="1"/>
  <c r="J36" i="14" s="1"/>
  <c r="F28" i="14"/>
  <c r="I28" i="14"/>
  <c r="K31" i="14"/>
  <c r="J28" i="14"/>
  <c r="G13" i="14"/>
  <c r="G34" i="14" s="1"/>
  <c r="G36" i="14" s="1"/>
  <c r="H13" i="14"/>
  <c r="H34" i="14" s="1"/>
  <c r="H36" i="14" s="1"/>
  <c r="I13" i="14"/>
  <c r="I34" i="14" s="1"/>
  <c r="I36" i="14" s="1"/>
  <c r="F23" i="14"/>
  <c r="F30" i="14" s="1"/>
  <c r="E28" i="14"/>
  <c r="E13" i="14"/>
  <c r="E34" i="14" s="1"/>
  <c r="E36" i="14" s="1"/>
  <c r="G23" i="14"/>
  <c r="G30" i="14" s="1"/>
  <c r="K28" i="14"/>
  <c r="D30" i="14"/>
  <c r="D28" i="14"/>
  <c r="J34" i="7"/>
  <c r="J36" i="7" s="1"/>
  <c r="I29" i="14"/>
  <c r="J29" i="14"/>
  <c r="H28" i="14"/>
  <c r="K21" i="7"/>
  <c r="L21" i="7"/>
  <c r="M21" i="7"/>
  <c r="R25" i="7"/>
  <c r="S25" i="7"/>
  <c r="T25" i="7"/>
  <c r="Q25" i="7"/>
  <c r="K27" i="7"/>
  <c r="K25" i="7"/>
  <c r="L25" i="7"/>
  <c r="M25" i="7"/>
  <c r="T27" i="7"/>
  <c r="T28" i="7" s="1"/>
  <c r="S27" i="7"/>
  <c r="R27" i="7"/>
  <c r="Q27" i="7"/>
  <c r="M27" i="7"/>
  <c r="L27" i="7"/>
  <c r="F27" i="7"/>
  <c r="E27" i="7"/>
  <c r="E29" i="7" s="1"/>
  <c r="D27" i="7"/>
  <c r="C27" i="7"/>
  <c r="C29" i="7" s="1"/>
  <c r="F25" i="7"/>
  <c r="E25" i="7"/>
  <c r="D25" i="7"/>
  <c r="C25" i="7"/>
  <c r="F31" i="14" l="1"/>
  <c r="F32" i="14" s="1"/>
  <c r="D31" i="14"/>
  <c r="D32" i="14" s="1"/>
  <c r="J31" i="14"/>
  <c r="J32" i="14" s="1"/>
  <c r="K32" i="14"/>
  <c r="E31" i="14"/>
  <c r="E32" i="14" s="1"/>
  <c r="G31" i="14"/>
  <c r="G32" i="14" s="1"/>
  <c r="H31" i="14"/>
  <c r="H32" i="14" s="1"/>
  <c r="I31" i="14"/>
  <c r="I32" i="14" s="1"/>
  <c r="S28" i="7"/>
  <c r="R28" i="7"/>
  <c r="Q28" i="7"/>
  <c r="Q29" i="7"/>
  <c r="S29" i="7"/>
  <c r="R29" i="7"/>
  <c r="T29" i="7"/>
  <c r="K28" i="7"/>
  <c r="L28" i="7"/>
  <c r="M28" i="7"/>
  <c r="K29" i="7"/>
  <c r="L29" i="7"/>
  <c r="M29" i="7"/>
  <c r="F28" i="7"/>
  <c r="D28" i="7"/>
  <c r="C28" i="7"/>
  <c r="F29" i="7"/>
  <c r="D29" i="7"/>
  <c r="E28" i="7"/>
  <c r="T21" i="7"/>
  <c r="S21" i="7"/>
  <c r="R21" i="7"/>
  <c r="Q21" i="7"/>
  <c r="T15" i="7"/>
  <c r="T16" i="7" s="1"/>
  <c r="T18" i="7" s="1"/>
  <c r="T23" i="7" s="1"/>
  <c r="S15" i="7"/>
  <c r="S16" i="7" s="1"/>
  <c r="S18" i="7" s="1"/>
  <c r="R15" i="7"/>
  <c r="R16" i="7" s="1"/>
  <c r="R18" i="7" s="1"/>
  <c r="Q15" i="7"/>
  <c r="Q16" i="7" s="1"/>
  <c r="Q18" i="7" s="1"/>
  <c r="T4" i="7"/>
  <c r="T8" i="7" s="1"/>
  <c r="T12" i="7" s="1"/>
  <c r="S4" i="7"/>
  <c r="S8" i="7" s="1"/>
  <c r="R4" i="7"/>
  <c r="R8" i="7" s="1"/>
  <c r="Q4" i="7"/>
  <c r="Q8" i="7" s="1"/>
  <c r="M15" i="7"/>
  <c r="M16" i="7" s="1"/>
  <c r="M18" i="7" s="1"/>
  <c r="M23" i="7" s="1"/>
  <c r="L15" i="7"/>
  <c r="L16" i="7" s="1"/>
  <c r="L18" i="7" s="1"/>
  <c r="L23" i="7" s="1"/>
  <c r="K15" i="7"/>
  <c r="K16" i="7" s="1"/>
  <c r="K18" i="7" s="1"/>
  <c r="K23" i="7" s="1"/>
  <c r="M4" i="7"/>
  <c r="M8" i="7" s="1"/>
  <c r="M12" i="7" s="1"/>
  <c r="L4" i="7"/>
  <c r="L8" i="7" s="1"/>
  <c r="K4" i="7"/>
  <c r="K8" i="7" s="1"/>
  <c r="S23" i="7" l="1"/>
  <c r="Q12" i="7"/>
  <c r="Q34" i="7" s="1"/>
  <c r="R12" i="7"/>
  <c r="R34" i="7" s="1"/>
  <c r="K12" i="7"/>
  <c r="K34" i="7" s="1"/>
  <c r="S12" i="7"/>
  <c r="S34" i="7" s="1"/>
  <c r="L12" i="7"/>
  <c r="L34" i="7" s="1"/>
  <c r="M34" i="7"/>
  <c r="T34" i="7"/>
  <c r="Q23" i="7"/>
  <c r="Q30" i="7" s="1"/>
  <c r="R23" i="7"/>
  <c r="R30" i="7" s="1"/>
  <c r="S30" i="7"/>
  <c r="K30" i="7"/>
  <c r="T30" i="7"/>
  <c r="M30" i="7"/>
  <c r="L30" i="7"/>
  <c r="F15" i="7"/>
  <c r="F16" i="7" s="1"/>
  <c r="F18" i="7" s="1"/>
  <c r="F23" i="7" s="1"/>
  <c r="D4" i="7"/>
  <c r="D8" i="7" s="1"/>
  <c r="D12" i="7" s="1"/>
  <c r="E4" i="7"/>
  <c r="E8" i="7" s="1"/>
  <c r="E12" i="7" s="1"/>
  <c r="F4" i="7"/>
  <c r="F8" i="7" s="1"/>
  <c r="F12" i="7" s="1"/>
  <c r="C4" i="7"/>
  <c r="C8" i="7" s="1"/>
  <c r="F21" i="7"/>
  <c r="E21" i="7"/>
  <c r="E15" i="7"/>
  <c r="E16" i="7" s="1"/>
  <c r="E18" i="7" s="1"/>
  <c r="E23" i="7" s="1"/>
  <c r="D21" i="7"/>
  <c r="D15" i="7"/>
  <c r="D16" i="7" s="1"/>
  <c r="D18" i="7" s="1"/>
  <c r="C21" i="7"/>
  <c r="C15" i="7"/>
  <c r="C16" i="7" s="1"/>
  <c r="C18" i="7" s="1"/>
  <c r="C23" i="7" s="1"/>
  <c r="C30" i="7" s="1"/>
  <c r="D23" i="7" l="1"/>
  <c r="D30" i="7" s="1"/>
  <c r="D34" i="7"/>
  <c r="F34" i="7"/>
  <c r="E34" i="7"/>
  <c r="C12" i="7"/>
  <c r="C34" i="7" s="1"/>
  <c r="T36" i="7"/>
  <c r="T31" i="7"/>
  <c r="T32" i="7" s="1"/>
  <c r="S36" i="7"/>
  <c r="S31" i="7"/>
  <c r="S32" i="7" s="1"/>
  <c r="R36" i="7"/>
  <c r="R31" i="7"/>
  <c r="R32" i="7" s="1"/>
  <c r="Q36" i="7"/>
  <c r="Q31" i="7"/>
  <c r="Q32" i="7" s="1"/>
  <c r="K36" i="7"/>
  <c r="K31" i="7"/>
  <c r="K32" i="7" s="1"/>
  <c r="M36" i="7"/>
  <c r="M31" i="7"/>
  <c r="M32" i="7" s="1"/>
  <c r="L36" i="7"/>
  <c r="L31" i="7"/>
  <c r="L32" i="7" s="1"/>
  <c r="E30" i="7"/>
  <c r="F30" i="7"/>
  <c r="C31" i="7" l="1"/>
  <c r="C32" i="7" s="1"/>
  <c r="C36" i="7"/>
  <c r="D36" i="7"/>
  <c r="D31" i="7"/>
  <c r="D32" i="7" s="1"/>
  <c r="E36" i="7"/>
  <c r="E31" i="7"/>
  <c r="E32" i="7" s="1"/>
  <c r="F36" i="7"/>
  <c r="F31" i="7"/>
  <c r="F3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Travis McKee</author>
  </authors>
  <commentList>
    <comment ref="A12" authorId="0" shapeId="0" xr:uid="{D3B50B3A-9F57-4546-BC20-3BD8A6D34E46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This can be compared against LoRa datasheet for 168dB max link budget</t>
        </r>
      </text>
    </comment>
    <comment ref="H12" authorId="0" shapeId="0" xr:uid="{E735A40D-8783-4C2D-9DE2-DBA39FA38669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This can be compared against LoRa datasheet for 168dB max link budget</t>
        </r>
      </text>
    </comment>
    <comment ref="O12" authorId="0" shapeId="0" xr:uid="{30F97E73-F5AF-4F3B-AC0E-371006D96FEA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This can be compared against LoRa datasheet for 168dB max link budget</t>
        </r>
      </text>
    </comment>
    <comment ref="A17" authorId="0" shapeId="0" xr:uid="{5CF2BEAC-52EC-4C55-982F-19E901493C00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I also have a cheap 12dBi antenna that can be used, but I have no data sheet for directivity
</t>
        </r>
      </text>
    </comment>
    <comment ref="H17" authorId="0" shapeId="0" xr:uid="{075929DB-BFC4-4F8B-A107-D5CDB137AF6D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I also have a cheap 12dBi antenna that can be used, but I have no data sheet for directivity
</t>
        </r>
      </text>
    </comment>
    <comment ref="O17" authorId="0" shapeId="0" xr:uid="{E58877B6-BCD5-4201-AD3D-E543DD43C9C3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I also have a cheap 12dBi antenna that can be used, but I have no data sheet for directivity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Travis McKee</author>
  </authors>
  <commentList>
    <comment ref="A13" authorId="0" shapeId="0" xr:uid="{4B04DE58-CD7E-48F5-90DA-1AC470F58A1F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This can be compared against LoRa datasheet for 168dB max link budget</t>
        </r>
      </text>
    </comment>
    <comment ref="A18" authorId="0" shapeId="0" xr:uid="{0C21A735-B491-4F24-AB08-8D36489085B4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I also have a cheap 12dBi antenna that can be used, but I have no data sheet for directivity
</t>
        </r>
      </text>
    </comment>
  </commentList>
</comments>
</file>

<file path=xl/sharedStrings.xml><?xml version="1.0" encoding="utf-8"?>
<sst xmlns="http://schemas.openxmlformats.org/spreadsheetml/2006/main" count="382" uniqueCount="137">
  <si>
    <t>Bandwidth</t>
  </si>
  <si>
    <t>Coding rate</t>
  </si>
  <si>
    <t>Spreading factor</t>
  </si>
  <si>
    <t>Preamble length</t>
  </si>
  <si>
    <t>4/8</t>
  </si>
  <si>
    <t>4/5</t>
  </si>
  <si>
    <t>10 (512 chips/symbol)</t>
  </si>
  <si>
    <t>12 (4096 chips/symbol)</t>
  </si>
  <si>
    <t>RadioHead default setting</t>
  </si>
  <si>
    <t>Parameter</t>
  </si>
  <si>
    <t>Symbol</t>
  </si>
  <si>
    <t>Downlink</t>
  </si>
  <si>
    <t>Pamp (dB)</t>
  </si>
  <si>
    <t>Frequency (GHz)</t>
  </si>
  <si>
    <t>f</t>
  </si>
  <si>
    <t>Gt (dB)</t>
  </si>
  <si>
    <t>Transmitter Feeder Loss (dB)</t>
  </si>
  <si>
    <t>Lft</t>
  </si>
  <si>
    <t>Transmitter EIRP (dB)</t>
  </si>
  <si>
    <t>EIRP</t>
  </si>
  <si>
    <t>Slant Range (km)</t>
  </si>
  <si>
    <t>ds</t>
  </si>
  <si>
    <t>Free Space Loss (dB)</t>
  </si>
  <si>
    <t>Lfs</t>
  </si>
  <si>
    <t>Atmospheric Loss (dB)</t>
  </si>
  <si>
    <t>La</t>
  </si>
  <si>
    <t>Carrier Power Density (dBW)</t>
  </si>
  <si>
    <t>C'</t>
  </si>
  <si>
    <t>Receiver Noise Figure</t>
  </si>
  <si>
    <t>NF</t>
  </si>
  <si>
    <t>Receiver Environmental Temperature (K)</t>
  </si>
  <si>
    <t>T</t>
  </si>
  <si>
    <t>Equivalent Noise Temperature (K)</t>
  </si>
  <si>
    <t>Te</t>
  </si>
  <si>
    <t>Equivalent Noise Temperature (dBK)</t>
  </si>
  <si>
    <t>Te (dBK)</t>
  </si>
  <si>
    <t>Gr (dB)</t>
  </si>
  <si>
    <t>Receiver G/Te (dBK-1)</t>
  </si>
  <si>
    <t>G/Te</t>
  </si>
  <si>
    <t>Receiver Feeder Loss (dB)</t>
  </si>
  <si>
    <t>Lfr</t>
  </si>
  <si>
    <t>Boltzmann's Constant (JK-1)</t>
  </si>
  <si>
    <t>k</t>
  </si>
  <si>
    <t>Boltzmann's Constant (dBJK-1)</t>
  </si>
  <si>
    <t>10*log(k)</t>
  </si>
  <si>
    <t>C/No</t>
  </si>
  <si>
    <t>fb</t>
  </si>
  <si>
    <t>Eb/No</t>
  </si>
  <si>
    <t>Red are assumed values</t>
  </si>
  <si>
    <t>Blue is from data sheets</t>
  </si>
  <si>
    <t>Black is calculated values</t>
  </si>
  <si>
    <t>Transmitter Antenna Gain (dBi)</t>
  </si>
  <si>
    <t>Receiver Antenna Gain (dBi)</t>
  </si>
  <si>
    <t>Maximum bit-rate (bit/s)</t>
  </si>
  <si>
    <t>Transmitter Power (dBm)</t>
  </si>
  <si>
    <t>Transmitter Power (dB)</t>
  </si>
  <si>
    <t>Pamp (dBm)</t>
  </si>
  <si>
    <t>Constant</t>
  </si>
  <si>
    <t>Link Budget for LoRa RFM96 with (0) default settings</t>
  </si>
  <si>
    <t>Link Budget for LoRa RFM96 with (3) long range settings</t>
  </si>
  <si>
    <t>Link Budget for LoRa RFM96 with (2) long range settings</t>
  </si>
  <si>
    <t>125 kHz</t>
  </si>
  <si>
    <t>31.25 kHz</t>
  </si>
  <si>
    <t>Long range, slow data rate</t>
  </si>
  <si>
    <t xml:space="preserve">Medium range &amp; data rate </t>
  </si>
  <si>
    <t>(0) Bw125Cr45Sf128</t>
  </si>
  <si>
    <t>(2) Bw31_25Cr48Sf512</t>
  </si>
  <si>
    <t>(3) Bw125Cr48Sf4096</t>
  </si>
  <si>
    <t>183.11 bps</t>
  </si>
  <si>
    <t>152.59 bps</t>
  </si>
  <si>
    <t>Estimated Bit rate</t>
  </si>
  <si>
    <t>LoRa module radio configuration</t>
  </si>
  <si>
    <t>N0</t>
  </si>
  <si>
    <t>bandwidth (Hz)</t>
  </si>
  <si>
    <t>BW</t>
  </si>
  <si>
    <t>Fec code rate</t>
  </si>
  <si>
    <t>CR</t>
  </si>
  <si>
    <t>spreading factor</t>
  </si>
  <si>
    <t>SF</t>
  </si>
  <si>
    <t>raw bit rate (bit/s)</t>
  </si>
  <si>
    <t>effective bit rate (bit/s)</t>
  </si>
  <si>
    <t>Bandwidth efficiency (bit/Hz)</t>
  </si>
  <si>
    <t>N</t>
  </si>
  <si>
    <t xml:space="preserve">C/N </t>
  </si>
  <si>
    <t>Eb/N0</t>
  </si>
  <si>
    <t>η</t>
  </si>
  <si>
    <t>Noise Density (dBW/Hz)</t>
  </si>
  <si>
    <t>Total Noise Power (dBW)</t>
  </si>
  <si>
    <t>FEC code rate</t>
  </si>
  <si>
    <t>Rb</t>
  </si>
  <si>
    <t>Rb eff</t>
  </si>
  <si>
    <t>Carrier to Noise (dB)</t>
  </si>
  <si>
    <t>Equation</t>
  </si>
  <si>
    <t>Lfs = 92.44 + 20Log(ds*f)</t>
  </si>
  <si>
    <t>C' = EIRP - Lfs - La</t>
  </si>
  <si>
    <t>Te = T*(NF-1)</t>
  </si>
  <si>
    <t>10*Log(Te[k])</t>
  </si>
  <si>
    <t>Pamp = Pamp[dBm] - 30</t>
  </si>
  <si>
    <t>EIRP = Pamp[dB] - Lf + Gt</t>
  </si>
  <si>
    <t>G/Te = Gr - Te[dBk]</t>
  </si>
  <si>
    <t xml:space="preserve">Carrier to Noise Density (dB) </t>
  </si>
  <si>
    <t>Eb/No = C/No - 10Log(fb)</t>
  </si>
  <si>
    <t>C/No = C' + G/Te - 10Log(k) - Lfr</t>
  </si>
  <si>
    <t>Method of calculation using the LoRa calulcator maximum bit rate</t>
  </si>
  <si>
    <t>Method of calculation using the manually calculated maximum bit rate</t>
  </si>
  <si>
    <t>Carrier to Noise Density (dB)</t>
  </si>
  <si>
    <t>Method of calculation using the LoRa calculator maximum bit rate</t>
  </si>
  <si>
    <t>(3) Long Range Settings</t>
  </si>
  <si>
    <t>(2) Long Range Settings</t>
  </si>
  <si>
    <t>LoRa module RadioHead default settings used</t>
  </si>
  <si>
    <t>N0 = G/Te - 10*log(k) - Lrf</t>
  </si>
  <si>
    <t>Rb = SF*BW/(2*SF)</t>
  </si>
  <si>
    <t>Rb eff = Rb*CR</t>
  </si>
  <si>
    <t>η = Rb/BW</t>
  </si>
  <si>
    <t>N = N0 + 10*log(BW)</t>
  </si>
  <si>
    <t>C/N = C' - N</t>
  </si>
  <si>
    <t>Eb/N0 = C/N + 10*log(BW/Rb eff)</t>
  </si>
  <si>
    <t>k = 1.38E-23[JK-1]</t>
  </si>
  <si>
    <t>RadioHead default settings used</t>
  </si>
  <si>
    <t>Link Budget calculations for the satellite radio beacon communications link</t>
  </si>
  <si>
    <t>Bit energy to Carrier noise ratio</t>
  </si>
  <si>
    <t>Bit energy to carrier noise ratio</t>
  </si>
  <si>
    <t>(0) Medium Range Settings</t>
  </si>
  <si>
    <t>Link Budget calculations for the satellite radio beacon communications link at 2000kms</t>
  </si>
  <si>
    <t>7 (128 chips/symbol)</t>
  </si>
  <si>
    <t>5469 bps</t>
  </si>
  <si>
    <t>(0)</t>
  </si>
  <si>
    <t>(2)</t>
  </si>
  <si>
    <t>(3)</t>
  </si>
  <si>
    <t>Carrier Power Density (dBW), C'</t>
  </si>
  <si>
    <t xml:space="preserve">Bit Enegy/Noise Density Ratio, Eb/No </t>
  </si>
  <si>
    <t>Transmitter Power, Pamp (dBm)</t>
  </si>
  <si>
    <t>Estimated receiver sensistivity (dBm)</t>
  </si>
  <si>
    <t>-124</t>
  </si>
  <si>
    <t>-139.4</t>
  </si>
  <si>
    <t>-138</t>
  </si>
  <si>
    <t>Estimated Link Budget with 5dBm TX power(dB)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</si>
</sst>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729FCF"/>
      <name val="Calibri"/>
      <family val="2"/>
      <charset val="1"/>
    </font>
    <font>
      <b/>
      <sz val="10"/>
      <color rgb="FF000000"/>
      <name val="Calibri"/>
      <family val="2"/>
    </font>
    <font>
      <sz val="10"/>
      <color rgb="FF7030A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rgb="FF7030A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0" fontId="9" fillId="0" borderId="1" xfId="0" applyFont="1" applyBorder="1" applyAlignment="1">
      <alignment horizontal="center"/>
    </xf>
    <xf numFmtId="11" fontId="6" fillId="0" borderId="1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6" xfId="0" applyFont="1" applyBorder="1"/>
    <xf numFmtId="0" fontId="6" fillId="0" borderId="7" xfId="0" applyFont="1" applyBorder="1" applyAlignment="1">
      <alignment horizontal="center"/>
    </xf>
    <xf numFmtId="0" fontId="9" fillId="0" borderId="6" xfId="0" applyFont="1" applyBorder="1"/>
    <xf numFmtId="0" fontId="7" fillId="0" borderId="6" xfId="0" applyFont="1" applyBorder="1"/>
    <xf numFmtId="0" fontId="6" fillId="0" borderId="6" xfId="0" applyFont="1" applyBorder="1"/>
    <xf numFmtId="0" fontId="8" fillId="0" borderId="6" xfId="0" applyFont="1" applyBorder="1"/>
    <xf numFmtId="0" fontId="9" fillId="0" borderId="7" xfId="0" applyFont="1" applyBorder="1" applyAlignment="1">
      <alignment horizontal="center"/>
    </xf>
    <xf numFmtId="11" fontId="6" fillId="0" borderId="7" xfId="0" applyNumberFormat="1" applyFont="1" applyBorder="1" applyAlignment="1">
      <alignment horizontal="center"/>
    </xf>
    <xf numFmtId="0" fontId="6" fillId="0" borderId="11" xfId="0" applyFont="1" applyBorder="1"/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1" fontId="17" fillId="0" borderId="1" xfId="0" applyNumberFormat="1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5" fillId="0" borderId="6" xfId="0" applyFont="1" applyBorder="1"/>
    <xf numFmtId="0" fontId="17" fillId="0" borderId="7" xfId="0" applyFont="1" applyBorder="1" applyAlignment="1">
      <alignment horizontal="center"/>
    </xf>
    <xf numFmtId="0" fontId="18" fillId="0" borderId="6" xfId="0" applyFont="1" applyBorder="1"/>
    <xf numFmtId="11" fontId="17" fillId="0" borderId="7" xfId="0" applyNumberFormat="1" applyFont="1" applyBorder="1" applyAlignment="1">
      <alignment horizontal="center"/>
    </xf>
    <xf numFmtId="0" fontId="17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7" fillId="0" borderId="6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8" fillId="0" borderId="20" xfId="0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5" fillId="0" borderId="24" xfId="0" applyFont="1" applyBorder="1"/>
    <xf numFmtId="0" fontId="16" fillId="0" borderId="18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6" fillId="0" borderId="24" xfId="0" applyFont="1" applyBorder="1"/>
    <xf numFmtId="0" fontId="5" fillId="0" borderId="1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17" fillId="0" borderId="6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17" fillId="0" borderId="7" xfId="0" applyNumberFormat="1" applyFont="1" applyBorder="1" applyAlignment="1">
      <alignment horizontal="center"/>
    </xf>
    <xf numFmtId="2" fontId="17" fillId="0" borderId="24" xfId="0" applyNumberFormat="1" applyFont="1" applyBorder="1" applyAlignment="1">
      <alignment horizontal="center"/>
    </xf>
    <xf numFmtId="2" fontId="17" fillId="0" borderId="18" xfId="0" applyNumberFormat="1" applyFont="1" applyBorder="1" applyAlignment="1">
      <alignment horizontal="center"/>
    </xf>
    <xf numFmtId="2" fontId="17" fillId="0" borderId="19" xfId="0" applyNumberFormat="1" applyFont="1" applyBorder="1" applyAlignment="1">
      <alignment horizontal="center"/>
    </xf>
    <xf numFmtId="1" fontId="17" fillId="0" borderId="6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" fontId="17" fillId="0" borderId="7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19" fillId="0" borderId="20" xfId="0" applyNumberFormat="1" applyFont="1" applyBorder="1" applyAlignment="1">
      <alignment horizontal="center"/>
    </xf>
    <xf numFmtId="166" fontId="19" fillId="0" borderId="21" xfId="0" applyNumberFormat="1" applyFont="1" applyBorder="1" applyAlignment="1">
      <alignment horizontal="center"/>
    </xf>
    <xf numFmtId="166" fontId="19" fillId="0" borderId="23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1" fontId="17" fillId="0" borderId="3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17" fillId="0" borderId="11" xfId="0" applyNumberFormat="1" applyFont="1" applyBorder="1" applyAlignment="1">
      <alignment horizontal="center"/>
    </xf>
    <xf numFmtId="0" fontId="17" fillId="0" borderId="12" xfId="0" applyNumberFormat="1" applyFont="1" applyBorder="1" applyAlignment="1">
      <alignment horizontal="center"/>
    </xf>
    <xf numFmtId="0" fontId="17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7" fillId="0" borderId="1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49" fontId="25" fillId="0" borderId="7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49" fontId="25" fillId="0" borderId="13" xfId="0" applyNumberFormat="1" applyFont="1" applyBorder="1" applyAlignment="1">
      <alignment horizontal="center"/>
    </xf>
    <xf numFmtId="49" fontId="26" fillId="0" borderId="6" xfId="0" applyNumberFormat="1" applyFont="1" applyBorder="1" applyAlignment="1">
      <alignment horizontal="center"/>
    </xf>
    <xf numFmtId="49" fontId="26" fillId="0" borderId="11" xfId="0" applyNumberFormat="1" applyFont="1" applyBorder="1" applyAlignment="1">
      <alignment horizontal="center"/>
    </xf>
    <xf numFmtId="0" fontId="27" fillId="0" borderId="6" xfId="0" applyFont="1" applyBorder="1"/>
    <xf numFmtId="0" fontId="5" fillId="0" borderId="6" xfId="0" applyFont="1" applyBorder="1"/>
    <xf numFmtId="0" fontId="5" fillId="0" borderId="11" xfId="0" applyFont="1" applyBorder="1"/>
    <xf numFmtId="0" fontId="24" fillId="0" borderId="3" xfId="0" applyFont="1" applyBorder="1" applyAlignment="1"/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17" xfId="0" applyFont="1" applyBorder="1" applyAlignment="1">
      <alignment horizontal="right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5" fillId="0" borderId="11" xfId="0" applyFont="1" applyBorder="1"/>
    <xf numFmtId="0" fontId="6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4CB6-A22E-4CF7-B568-35A570D4A720}">
  <dimension ref="A1:J6"/>
  <sheetViews>
    <sheetView topLeftCell="B1" workbookViewId="0">
      <selection activeCell="I17" sqref="I17"/>
    </sheetView>
  </sheetViews>
  <sheetFormatPr defaultRowHeight="14.25" x14ac:dyDescent="0.45"/>
  <cols>
    <col min="1" max="1" width="19.06640625" style="1" customWidth="1"/>
    <col min="2" max="2" width="13.33203125" style="1" customWidth="1"/>
    <col min="3" max="3" width="22.19921875" style="1" customWidth="1"/>
    <col min="4" max="4" width="10.19921875" style="1" customWidth="1"/>
    <col min="5" max="5" width="7.59765625" style="1" customWidth="1"/>
    <col min="6" max="6" width="19" style="1" customWidth="1"/>
    <col min="7" max="7" width="8.796875" customWidth="1"/>
    <col min="8" max="8" width="12.1328125" customWidth="1"/>
    <col min="9" max="9" width="16.3984375" customWidth="1"/>
    <col min="10" max="10" width="15.86328125" customWidth="1"/>
  </cols>
  <sheetData>
    <row r="1" spans="1:10" ht="14.65" thickBot="1" x14ac:dyDescent="0.5"/>
    <row r="2" spans="1:10" ht="28.25" customHeight="1" x14ac:dyDescent="0.45">
      <c r="A2" s="97" t="s">
        <v>8</v>
      </c>
      <c r="B2" s="99" t="s">
        <v>8</v>
      </c>
      <c r="C2" s="100" t="s">
        <v>71</v>
      </c>
      <c r="D2" s="105" t="s">
        <v>0</v>
      </c>
      <c r="E2" s="100" t="s">
        <v>1</v>
      </c>
      <c r="F2" s="105" t="s">
        <v>2</v>
      </c>
      <c r="G2" s="100" t="s">
        <v>3</v>
      </c>
      <c r="H2" s="101" t="s">
        <v>70</v>
      </c>
      <c r="I2" s="101" t="s">
        <v>136</v>
      </c>
      <c r="J2" s="102" t="s">
        <v>132</v>
      </c>
    </row>
    <row r="3" spans="1:10" x14ac:dyDescent="0.45">
      <c r="A3" s="98" t="s">
        <v>65</v>
      </c>
      <c r="B3" s="113" t="s">
        <v>126</v>
      </c>
      <c r="C3" s="2" t="s">
        <v>64</v>
      </c>
      <c r="D3" s="2" t="s">
        <v>61</v>
      </c>
      <c r="E3" s="3" t="s">
        <v>5</v>
      </c>
      <c r="F3" s="2" t="s">
        <v>124</v>
      </c>
      <c r="G3" s="2">
        <v>12</v>
      </c>
      <c r="H3" s="108" t="s">
        <v>125</v>
      </c>
      <c r="I3" s="108">
        <v>129</v>
      </c>
      <c r="J3" s="109" t="s">
        <v>133</v>
      </c>
    </row>
    <row r="4" spans="1:10" x14ac:dyDescent="0.45">
      <c r="A4" s="98" t="s">
        <v>66</v>
      </c>
      <c r="B4" s="113" t="s">
        <v>127</v>
      </c>
      <c r="C4" s="2" t="s">
        <v>63</v>
      </c>
      <c r="D4" s="2" t="s">
        <v>62</v>
      </c>
      <c r="E4" s="3" t="s">
        <v>4</v>
      </c>
      <c r="F4" s="2" t="s">
        <v>6</v>
      </c>
      <c r="G4" s="2">
        <v>12</v>
      </c>
      <c r="H4" s="110" t="s">
        <v>69</v>
      </c>
      <c r="I4" s="110">
        <v>144.4</v>
      </c>
      <c r="J4" s="109" t="s">
        <v>134</v>
      </c>
    </row>
    <row r="5" spans="1:10" ht="14.65" thickBot="1" x14ac:dyDescent="0.5">
      <c r="A5" s="98" t="s">
        <v>67</v>
      </c>
      <c r="B5" s="114" t="s">
        <v>128</v>
      </c>
      <c r="C5" s="103" t="s">
        <v>63</v>
      </c>
      <c r="D5" s="103" t="s">
        <v>61</v>
      </c>
      <c r="E5" s="104" t="s">
        <v>4</v>
      </c>
      <c r="F5" s="103" t="s">
        <v>7</v>
      </c>
      <c r="G5" s="103">
        <v>12</v>
      </c>
      <c r="H5" s="111" t="s">
        <v>68</v>
      </c>
      <c r="I5" s="111">
        <v>143</v>
      </c>
      <c r="J5" s="112" t="s">
        <v>135</v>
      </c>
    </row>
    <row r="6" spans="1:10" x14ac:dyDescent="0.45">
      <c r="G6" s="1"/>
      <c r="H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8650-A963-4084-95C5-C4215B481FA4}">
  <dimension ref="A1:T41"/>
  <sheetViews>
    <sheetView tabSelected="1" zoomScale="85" zoomScaleNormal="85" workbookViewId="0">
      <selection activeCell="L9" sqref="L9"/>
    </sheetView>
  </sheetViews>
  <sheetFormatPr defaultRowHeight="14.25" x14ac:dyDescent="0.45"/>
  <cols>
    <col min="1" max="1" width="33.33203125" customWidth="1"/>
    <col min="2" max="2" width="9.73046875" customWidth="1"/>
    <col min="3" max="6" width="11" customWidth="1"/>
    <col min="8" max="8" width="33.33203125" customWidth="1"/>
    <col min="9" max="9" width="9.73046875" customWidth="1"/>
    <col min="10" max="13" width="10.73046875" customWidth="1"/>
    <col min="15" max="15" width="33.33203125" customWidth="1"/>
    <col min="16" max="16" width="9.73046875" customWidth="1"/>
    <col min="17" max="20" width="11.265625" customWidth="1"/>
  </cols>
  <sheetData>
    <row r="1" spans="1:20" ht="21" x14ac:dyDescent="0.65">
      <c r="A1" s="122" t="s">
        <v>58</v>
      </c>
      <c r="B1" s="123"/>
      <c r="C1" s="123"/>
      <c r="D1" s="123"/>
      <c r="E1" s="123"/>
      <c r="F1" s="124"/>
      <c r="H1" s="122" t="s">
        <v>60</v>
      </c>
      <c r="I1" s="123"/>
      <c r="J1" s="123"/>
      <c r="K1" s="123"/>
      <c r="L1" s="123"/>
      <c r="M1" s="124"/>
      <c r="O1" s="122" t="s">
        <v>59</v>
      </c>
      <c r="P1" s="123"/>
      <c r="Q1" s="123"/>
      <c r="R1" s="123"/>
      <c r="S1" s="123"/>
      <c r="T1" s="124"/>
    </row>
    <row r="2" spans="1:20" ht="15.75" x14ac:dyDescent="0.5">
      <c r="A2" s="12" t="s">
        <v>9</v>
      </c>
      <c r="B2" s="4" t="s">
        <v>10</v>
      </c>
      <c r="C2" s="4" t="s">
        <v>11</v>
      </c>
      <c r="D2" s="4" t="s">
        <v>11</v>
      </c>
      <c r="E2" s="4" t="s">
        <v>11</v>
      </c>
      <c r="F2" s="13" t="s">
        <v>11</v>
      </c>
      <c r="H2" s="12" t="s">
        <v>9</v>
      </c>
      <c r="I2" s="4" t="s">
        <v>10</v>
      </c>
      <c r="J2" s="4" t="s">
        <v>11</v>
      </c>
      <c r="K2" s="4" t="s">
        <v>11</v>
      </c>
      <c r="L2" s="4" t="s">
        <v>11</v>
      </c>
      <c r="M2" s="13" t="s">
        <v>11</v>
      </c>
      <c r="O2" s="12" t="s">
        <v>9</v>
      </c>
      <c r="P2" s="4" t="s">
        <v>10</v>
      </c>
      <c r="Q2" s="4" t="s">
        <v>11</v>
      </c>
      <c r="R2" s="4" t="s">
        <v>11</v>
      </c>
      <c r="S2" s="4" t="s">
        <v>11</v>
      </c>
      <c r="T2" s="13" t="s">
        <v>11</v>
      </c>
    </row>
    <row r="3" spans="1:20" x14ac:dyDescent="0.45">
      <c r="A3" s="19" t="s">
        <v>54</v>
      </c>
      <c r="B3" s="5" t="s">
        <v>56</v>
      </c>
      <c r="C3" s="6">
        <v>5</v>
      </c>
      <c r="D3" s="6">
        <v>10</v>
      </c>
      <c r="E3" s="6">
        <v>15</v>
      </c>
      <c r="F3" s="15">
        <v>20</v>
      </c>
      <c r="H3" s="19" t="s">
        <v>54</v>
      </c>
      <c r="I3" s="5" t="s">
        <v>56</v>
      </c>
      <c r="J3" s="6">
        <v>5</v>
      </c>
      <c r="K3" s="6">
        <v>10</v>
      </c>
      <c r="L3" s="6">
        <v>15</v>
      </c>
      <c r="M3" s="15">
        <v>20</v>
      </c>
      <c r="O3" s="19" t="s">
        <v>54</v>
      </c>
      <c r="P3" s="5" t="s">
        <v>56</v>
      </c>
      <c r="Q3" s="6">
        <v>5</v>
      </c>
      <c r="R3" s="6">
        <v>10</v>
      </c>
      <c r="S3" s="6">
        <v>15</v>
      </c>
      <c r="T3" s="15">
        <v>20</v>
      </c>
    </row>
    <row r="4" spans="1:20" x14ac:dyDescent="0.45">
      <c r="A4" s="16" t="s">
        <v>55</v>
      </c>
      <c r="B4" s="5" t="s">
        <v>12</v>
      </c>
      <c r="C4" s="6">
        <f>C3-30</f>
        <v>-25</v>
      </c>
      <c r="D4" s="6">
        <f t="shared" ref="D4:F4" si="0">D3-30</f>
        <v>-20</v>
      </c>
      <c r="E4" s="6">
        <f t="shared" si="0"/>
        <v>-15</v>
      </c>
      <c r="F4" s="15">
        <f t="shared" si="0"/>
        <v>-10</v>
      </c>
      <c r="H4" s="16" t="s">
        <v>55</v>
      </c>
      <c r="I4" s="5" t="s">
        <v>12</v>
      </c>
      <c r="J4" s="6">
        <f>J3-30</f>
        <v>-25</v>
      </c>
      <c r="K4" s="6">
        <f>K3-30</f>
        <v>-20</v>
      </c>
      <c r="L4" s="6">
        <f>L3-30</f>
        <v>-15</v>
      </c>
      <c r="M4" s="15">
        <f>M3-30</f>
        <v>-10</v>
      </c>
      <c r="O4" s="16" t="s">
        <v>55</v>
      </c>
      <c r="P4" s="5" t="s">
        <v>12</v>
      </c>
      <c r="Q4" s="6">
        <f>Q3-30</f>
        <v>-25</v>
      </c>
      <c r="R4" s="6">
        <f t="shared" ref="R4:T4" si="1">R3-30</f>
        <v>-20</v>
      </c>
      <c r="S4" s="6">
        <f t="shared" si="1"/>
        <v>-15</v>
      </c>
      <c r="T4" s="15">
        <f t="shared" si="1"/>
        <v>-10</v>
      </c>
    </row>
    <row r="5" spans="1:20" x14ac:dyDescent="0.45">
      <c r="A5" s="19" t="s">
        <v>13</v>
      </c>
      <c r="B5" s="5" t="s">
        <v>14</v>
      </c>
      <c r="C5" s="6">
        <v>0.437</v>
      </c>
      <c r="D5" s="6">
        <v>0.437</v>
      </c>
      <c r="E5" s="6">
        <v>0.437</v>
      </c>
      <c r="F5" s="15">
        <v>0.437</v>
      </c>
      <c r="H5" s="19" t="s">
        <v>13</v>
      </c>
      <c r="I5" s="5" t="s">
        <v>14</v>
      </c>
      <c r="J5" s="6">
        <v>0.437</v>
      </c>
      <c r="K5" s="6">
        <v>0.437</v>
      </c>
      <c r="L5" s="6">
        <v>0.437</v>
      </c>
      <c r="M5" s="15">
        <v>0.437</v>
      </c>
      <c r="O5" s="19" t="s">
        <v>13</v>
      </c>
      <c r="P5" s="5" t="s">
        <v>14</v>
      </c>
      <c r="Q5" s="6">
        <v>0.437</v>
      </c>
      <c r="R5" s="6">
        <v>0.437</v>
      </c>
      <c r="S5" s="6">
        <v>0.437</v>
      </c>
      <c r="T5" s="15">
        <v>0.437</v>
      </c>
    </row>
    <row r="6" spans="1:20" x14ac:dyDescent="0.45">
      <c r="A6" s="14" t="s">
        <v>51</v>
      </c>
      <c r="B6" s="5" t="s">
        <v>15</v>
      </c>
      <c r="C6" s="6">
        <v>3.5</v>
      </c>
      <c r="D6" s="6">
        <v>3.5</v>
      </c>
      <c r="E6" s="6">
        <v>3.5</v>
      </c>
      <c r="F6" s="15">
        <v>3.5</v>
      </c>
      <c r="H6" s="14" t="s">
        <v>51</v>
      </c>
      <c r="I6" s="5" t="s">
        <v>15</v>
      </c>
      <c r="J6" s="6">
        <v>3.5</v>
      </c>
      <c r="K6" s="6">
        <v>3.5</v>
      </c>
      <c r="L6" s="6">
        <v>3.5</v>
      </c>
      <c r="M6" s="15">
        <v>3.5</v>
      </c>
      <c r="O6" s="14" t="s">
        <v>51</v>
      </c>
      <c r="P6" s="5" t="s">
        <v>15</v>
      </c>
      <c r="Q6" s="6">
        <v>3.5</v>
      </c>
      <c r="R6" s="6">
        <v>3.5</v>
      </c>
      <c r="S6" s="6">
        <v>3.5</v>
      </c>
      <c r="T6" s="15">
        <v>3.5</v>
      </c>
    </row>
    <row r="7" spans="1:20" x14ac:dyDescent="0.45">
      <c r="A7" s="17" t="s">
        <v>16</v>
      </c>
      <c r="B7" s="5" t="s">
        <v>17</v>
      </c>
      <c r="C7" s="6">
        <v>0.5</v>
      </c>
      <c r="D7" s="6">
        <v>0.5</v>
      </c>
      <c r="E7" s="6">
        <v>0.5</v>
      </c>
      <c r="F7" s="15">
        <v>0.5</v>
      </c>
      <c r="H7" s="17" t="s">
        <v>16</v>
      </c>
      <c r="I7" s="5" t="s">
        <v>17</v>
      </c>
      <c r="J7" s="6">
        <v>0.5</v>
      </c>
      <c r="K7" s="6">
        <v>0.5</v>
      </c>
      <c r="L7" s="6">
        <v>0.5</v>
      </c>
      <c r="M7" s="15">
        <v>0.5</v>
      </c>
      <c r="O7" s="17" t="s">
        <v>16</v>
      </c>
      <c r="P7" s="5" t="s">
        <v>17</v>
      </c>
      <c r="Q7" s="6">
        <v>0.5</v>
      </c>
      <c r="R7" s="6">
        <v>0.5</v>
      </c>
      <c r="S7" s="6">
        <v>0.5</v>
      </c>
      <c r="T7" s="15">
        <v>0.5</v>
      </c>
    </row>
    <row r="8" spans="1:20" x14ac:dyDescent="0.45">
      <c r="A8" s="18" t="s">
        <v>18</v>
      </c>
      <c r="B8" s="5" t="s">
        <v>19</v>
      </c>
      <c r="C8" s="6">
        <f>C4-C7+C6</f>
        <v>-22</v>
      </c>
      <c r="D8" s="6">
        <f t="shared" ref="D8:F8" si="2">D4-D7+D6</f>
        <v>-17</v>
      </c>
      <c r="E8" s="6">
        <f t="shared" si="2"/>
        <v>-12</v>
      </c>
      <c r="F8" s="15">
        <f t="shared" si="2"/>
        <v>-7</v>
      </c>
      <c r="H8" s="18" t="s">
        <v>18</v>
      </c>
      <c r="I8" s="5" t="s">
        <v>19</v>
      </c>
      <c r="J8" s="6">
        <f t="shared" ref="J8:L8" si="3">J4-J7+J6</f>
        <v>-22</v>
      </c>
      <c r="K8" s="6">
        <f t="shared" si="3"/>
        <v>-17</v>
      </c>
      <c r="L8" s="6">
        <f t="shared" si="3"/>
        <v>-12</v>
      </c>
      <c r="M8" s="15">
        <f>M4-M7+M6</f>
        <v>-7</v>
      </c>
      <c r="O8" s="18" t="s">
        <v>18</v>
      </c>
      <c r="P8" s="5" t="s">
        <v>19</v>
      </c>
      <c r="Q8" s="6">
        <f>Q4-Q7+Q6</f>
        <v>-22</v>
      </c>
      <c r="R8" s="6">
        <f t="shared" ref="R8:T8" si="4">R4-R7+R6</f>
        <v>-17</v>
      </c>
      <c r="S8" s="6">
        <f t="shared" si="4"/>
        <v>-12</v>
      </c>
      <c r="T8" s="15">
        <f t="shared" si="4"/>
        <v>-7</v>
      </c>
    </row>
    <row r="9" spans="1:20" x14ac:dyDescent="0.45">
      <c r="A9" s="19" t="s">
        <v>20</v>
      </c>
      <c r="B9" s="5" t="s">
        <v>21</v>
      </c>
      <c r="C9" s="6">
        <v>2000</v>
      </c>
      <c r="D9" s="6">
        <v>2000</v>
      </c>
      <c r="E9" s="6">
        <v>2000</v>
      </c>
      <c r="F9" s="15">
        <v>2000</v>
      </c>
      <c r="H9" s="19" t="s">
        <v>20</v>
      </c>
      <c r="I9" s="5" t="s">
        <v>21</v>
      </c>
      <c r="J9" s="6">
        <v>2000</v>
      </c>
      <c r="K9" s="6">
        <v>2000</v>
      </c>
      <c r="L9" s="6">
        <v>3300</v>
      </c>
      <c r="M9" s="15">
        <v>2000</v>
      </c>
      <c r="O9" s="19" t="s">
        <v>20</v>
      </c>
      <c r="P9" s="5" t="s">
        <v>21</v>
      </c>
      <c r="Q9" s="6">
        <v>2000</v>
      </c>
      <c r="R9" s="6">
        <v>2000</v>
      </c>
      <c r="S9" s="6">
        <v>2000</v>
      </c>
      <c r="T9" s="15">
        <v>2000</v>
      </c>
    </row>
    <row r="10" spans="1:20" x14ac:dyDescent="0.45">
      <c r="A10" s="18" t="s">
        <v>22</v>
      </c>
      <c r="B10" s="5" t="s">
        <v>23</v>
      </c>
      <c r="C10" s="6">
        <f>( 92.44+20*LOG(C9*C5) )</f>
        <v>151.27022865268805</v>
      </c>
      <c r="D10" s="6">
        <f t="shared" ref="D10:F10" si="5">( 92.44+20*LOG(D9*D5) )</f>
        <v>151.27022865268805</v>
      </c>
      <c r="E10" s="6">
        <f t="shared" si="5"/>
        <v>151.27022865268805</v>
      </c>
      <c r="F10" s="15">
        <f t="shared" si="5"/>
        <v>151.27022865268805</v>
      </c>
      <c r="H10" s="18" t="s">
        <v>22</v>
      </c>
      <c r="I10" s="5" t="s">
        <v>23</v>
      </c>
      <c r="J10" s="6">
        <f t="shared" ref="J10:M10" si="6">( 92.44+20*LOG(J9*J5) )</f>
        <v>151.27022865268805</v>
      </c>
      <c r="K10" s="6">
        <f t="shared" si="6"/>
        <v>151.27022865268805</v>
      </c>
      <c r="L10" s="6">
        <f t="shared" si="6"/>
        <v>155.6199075369662</v>
      </c>
      <c r="M10" s="15">
        <f t="shared" si="6"/>
        <v>151.27022865268805</v>
      </c>
      <c r="O10" s="18" t="s">
        <v>22</v>
      </c>
      <c r="P10" s="5" t="s">
        <v>23</v>
      </c>
      <c r="Q10" s="6">
        <f>( 92.44+20*LOG(Q9*Q5) )</f>
        <v>151.27022865268805</v>
      </c>
      <c r="R10" s="6">
        <f t="shared" ref="R10:T10" si="7">( 92.44+20*LOG(R9*R5) )</f>
        <v>151.27022865268805</v>
      </c>
      <c r="S10" s="6">
        <f t="shared" si="7"/>
        <v>151.27022865268805</v>
      </c>
      <c r="T10" s="15">
        <f t="shared" si="7"/>
        <v>151.27022865268805</v>
      </c>
    </row>
    <row r="11" spans="1:20" x14ac:dyDescent="0.45">
      <c r="A11" s="17" t="s">
        <v>24</v>
      </c>
      <c r="B11" s="5" t="s">
        <v>25</v>
      </c>
      <c r="C11" s="6">
        <v>0.5</v>
      </c>
      <c r="D11" s="6">
        <v>0.5</v>
      </c>
      <c r="E11" s="6">
        <v>0.5</v>
      </c>
      <c r="F11" s="15">
        <v>0.5</v>
      </c>
      <c r="H11" s="17" t="s">
        <v>24</v>
      </c>
      <c r="I11" s="5" t="s">
        <v>25</v>
      </c>
      <c r="J11" s="6">
        <v>0.5</v>
      </c>
      <c r="K11" s="6">
        <v>0.5</v>
      </c>
      <c r="L11" s="6">
        <v>0.5</v>
      </c>
      <c r="M11" s="15">
        <v>0.5</v>
      </c>
      <c r="O11" s="17" t="s">
        <v>24</v>
      </c>
      <c r="P11" s="5" t="s">
        <v>25</v>
      </c>
      <c r="Q11" s="6">
        <v>0.5</v>
      </c>
      <c r="R11" s="6">
        <v>0.5</v>
      </c>
      <c r="S11" s="6">
        <v>0.5</v>
      </c>
      <c r="T11" s="15">
        <v>0.5</v>
      </c>
    </row>
    <row r="12" spans="1:20" x14ac:dyDescent="0.45">
      <c r="A12" s="18" t="s">
        <v>26</v>
      </c>
      <c r="B12" s="5" t="s">
        <v>27</v>
      </c>
      <c r="C12" s="6">
        <f>C8-C10-C11</f>
        <v>-173.77022865268805</v>
      </c>
      <c r="D12" s="6">
        <f t="shared" ref="D12:F12" si="8">D8-D10-D11</f>
        <v>-168.77022865268805</v>
      </c>
      <c r="E12" s="6">
        <f t="shared" si="8"/>
        <v>-163.77022865268805</v>
      </c>
      <c r="F12" s="15">
        <f t="shared" si="8"/>
        <v>-158.77022865268805</v>
      </c>
      <c r="H12" s="18" t="s">
        <v>26</v>
      </c>
      <c r="I12" s="5" t="s">
        <v>27</v>
      </c>
      <c r="J12" s="6">
        <f>J8-J10-J11</f>
        <v>-173.77022865268805</v>
      </c>
      <c r="K12" s="6">
        <f t="shared" ref="K12:M12" si="9">K8-K10-K11</f>
        <v>-168.77022865268805</v>
      </c>
      <c r="L12" s="6">
        <f t="shared" si="9"/>
        <v>-168.1199075369662</v>
      </c>
      <c r="M12" s="15">
        <f t="shared" si="9"/>
        <v>-158.77022865268805</v>
      </c>
      <c r="O12" s="18" t="s">
        <v>26</v>
      </c>
      <c r="P12" s="5" t="s">
        <v>27</v>
      </c>
      <c r="Q12" s="6">
        <f>Q8-Q10-Q11</f>
        <v>-173.77022865268805</v>
      </c>
      <c r="R12" s="6">
        <f t="shared" ref="R12:T12" si="10">R8-R10-R11</f>
        <v>-168.77022865268805</v>
      </c>
      <c r="S12" s="6">
        <f t="shared" si="10"/>
        <v>-163.77022865268805</v>
      </c>
      <c r="T12" s="15">
        <f t="shared" si="10"/>
        <v>-158.77022865268805</v>
      </c>
    </row>
    <row r="13" spans="1:20" x14ac:dyDescent="0.45">
      <c r="A13" s="14" t="s">
        <v>28</v>
      </c>
      <c r="B13" s="5" t="s">
        <v>29</v>
      </c>
      <c r="C13" s="6">
        <v>6</v>
      </c>
      <c r="D13" s="6">
        <v>6</v>
      </c>
      <c r="E13" s="6">
        <v>6</v>
      </c>
      <c r="F13" s="15">
        <v>6</v>
      </c>
      <c r="H13" s="14" t="s">
        <v>28</v>
      </c>
      <c r="I13" s="5" t="s">
        <v>29</v>
      </c>
      <c r="J13" s="6">
        <v>6</v>
      </c>
      <c r="K13" s="6">
        <v>6</v>
      </c>
      <c r="L13" s="6">
        <v>6</v>
      </c>
      <c r="M13" s="15">
        <v>6</v>
      </c>
      <c r="O13" s="14" t="s">
        <v>28</v>
      </c>
      <c r="P13" s="5" t="s">
        <v>29</v>
      </c>
      <c r="Q13" s="6">
        <v>6</v>
      </c>
      <c r="R13" s="6">
        <v>6</v>
      </c>
      <c r="S13" s="6">
        <v>6</v>
      </c>
      <c r="T13" s="15">
        <v>6</v>
      </c>
    </row>
    <row r="14" spans="1:20" x14ac:dyDescent="0.45">
      <c r="A14" s="17" t="s">
        <v>30</v>
      </c>
      <c r="B14" s="5" t="s">
        <v>31</v>
      </c>
      <c r="C14" s="6">
        <v>290</v>
      </c>
      <c r="D14" s="6">
        <v>290</v>
      </c>
      <c r="E14" s="6">
        <v>290</v>
      </c>
      <c r="F14" s="15">
        <v>290</v>
      </c>
      <c r="H14" s="17" t="s">
        <v>30</v>
      </c>
      <c r="I14" s="5" t="s">
        <v>31</v>
      </c>
      <c r="J14" s="6">
        <v>290</v>
      </c>
      <c r="K14" s="6">
        <v>290</v>
      </c>
      <c r="L14" s="6">
        <v>290</v>
      </c>
      <c r="M14" s="15">
        <v>290</v>
      </c>
      <c r="O14" s="17" t="s">
        <v>30</v>
      </c>
      <c r="P14" s="5" t="s">
        <v>31</v>
      </c>
      <c r="Q14" s="6">
        <v>290</v>
      </c>
      <c r="R14" s="6">
        <v>290</v>
      </c>
      <c r="S14" s="6">
        <v>290</v>
      </c>
      <c r="T14" s="15">
        <v>290</v>
      </c>
    </row>
    <row r="15" spans="1:20" x14ac:dyDescent="0.45">
      <c r="A15" s="18" t="s">
        <v>32</v>
      </c>
      <c r="B15" s="5" t="s">
        <v>33</v>
      </c>
      <c r="C15" s="6">
        <f t="shared" ref="C15:D15" si="11">C14*(C13-1)</f>
        <v>1450</v>
      </c>
      <c r="D15" s="6">
        <f t="shared" si="11"/>
        <v>1450</v>
      </c>
      <c r="E15" s="6">
        <f t="shared" ref="E15" si="12">E14*(E13-1)</f>
        <v>1450</v>
      </c>
      <c r="F15" s="15">
        <f>F14*(F13-1)</f>
        <v>1450</v>
      </c>
      <c r="H15" s="18" t="s">
        <v>32</v>
      </c>
      <c r="I15" s="5" t="s">
        <v>33</v>
      </c>
      <c r="J15" s="6">
        <f>J14*(J13-1)</f>
        <v>1450</v>
      </c>
      <c r="K15" s="6">
        <f>K14*(K13-1)</f>
        <v>1450</v>
      </c>
      <c r="L15" s="6">
        <f>L14*(L13-1)</f>
        <v>1450</v>
      </c>
      <c r="M15" s="15">
        <f>M14*(M13-1)</f>
        <v>1450</v>
      </c>
      <c r="O15" s="18" t="s">
        <v>32</v>
      </c>
      <c r="P15" s="5" t="s">
        <v>33</v>
      </c>
      <c r="Q15" s="6">
        <f t="shared" ref="Q15:T15" si="13">Q14*(Q13-1)</f>
        <v>1450</v>
      </c>
      <c r="R15" s="6">
        <f t="shared" si="13"/>
        <v>1450</v>
      </c>
      <c r="S15" s="6">
        <f t="shared" si="13"/>
        <v>1450</v>
      </c>
      <c r="T15" s="15">
        <f t="shared" si="13"/>
        <v>1450</v>
      </c>
    </row>
    <row r="16" spans="1:20" x14ac:dyDescent="0.45">
      <c r="A16" s="18" t="s">
        <v>34</v>
      </c>
      <c r="B16" s="5" t="s">
        <v>35</v>
      </c>
      <c r="C16" s="6">
        <f t="shared" ref="C16:D16" si="14">10*LOG(C15)</f>
        <v>31.613680022349747</v>
      </c>
      <c r="D16" s="6">
        <f t="shared" si="14"/>
        <v>31.613680022349747</v>
      </c>
      <c r="E16" s="6">
        <f t="shared" ref="E16:F16" si="15">10*LOG(E15)</f>
        <v>31.613680022349747</v>
      </c>
      <c r="F16" s="15">
        <f t="shared" si="15"/>
        <v>31.613680022349747</v>
      </c>
      <c r="H16" s="18" t="s">
        <v>34</v>
      </c>
      <c r="I16" s="5" t="s">
        <v>35</v>
      </c>
      <c r="J16" s="6">
        <f>10*LOG(J15)</f>
        <v>31.613680022349747</v>
      </c>
      <c r="K16" s="6">
        <f>10*LOG(K15)</f>
        <v>31.613680022349747</v>
      </c>
      <c r="L16" s="6">
        <f>10*LOG(L15)</f>
        <v>31.613680022349747</v>
      </c>
      <c r="M16" s="15">
        <f>10*LOG(M15)</f>
        <v>31.613680022349747</v>
      </c>
      <c r="O16" s="18" t="s">
        <v>34</v>
      </c>
      <c r="P16" s="5" t="s">
        <v>35</v>
      </c>
      <c r="Q16" s="6">
        <f t="shared" ref="Q16:T16" si="16">10*LOG(Q15)</f>
        <v>31.613680022349747</v>
      </c>
      <c r="R16" s="6">
        <f t="shared" si="16"/>
        <v>31.613680022349747</v>
      </c>
      <c r="S16" s="6">
        <f t="shared" si="16"/>
        <v>31.613680022349747</v>
      </c>
      <c r="T16" s="15">
        <f t="shared" si="16"/>
        <v>31.613680022349747</v>
      </c>
    </row>
    <row r="17" spans="1:20" x14ac:dyDescent="0.45">
      <c r="A17" s="14" t="s">
        <v>52</v>
      </c>
      <c r="B17" s="5" t="s">
        <v>36</v>
      </c>
      <c r="C17" s="6">
        <v>3.5</v>
      </c>
      <c r="D17" s="6">
        <v>3.5</v>
      </c>
      <c r="E17" s="6">
        <v>3.5</v>
      </c>
      <c r="F17" s="15">
        <v>3.5</v>
      </c>
      <c r="H17" s="14" t="s">
        <v>52</v>
      </c>
      <c r="I17" s="5" t="s">
        <v>36</v>
      </c>
      <c r="J17" s="6">
        <v>3.5</v>
      </c>
      <c r="K17" s="6">
        <v>3.5</v>
      </c>
      <c r="L17" s="6">
        <v>3.5</v>
      </c>
      <c r="M17" s="15">
        <v>3.5</v>
      </c>
      <c r="O17" s="14" t="s">
        <v>52</v>
      </c>
      <c r="P17" s="5" t="s">
        <v>36</v>
      </c>
      <c r="Q17" s="6">
        <v>3.5</v>
      </c>
      <c r="R17" s="6">
        <v>3.5</v>
      </c>
      <c r="S17" s="6">
        <v>3.5</v>
      </c>
      <c r="T17" s="15">
        <v>3.5</v>
      </c>
    </row>
    <row r="18" spans="1:20" x14ac:dyDescent="0.45">
      <c r="A18" s="18" t="s">
        <v>37</v>
      </c>
      <c r="B18" s="5" t="s">
        <v>38</v>
      </c>
      <c r="C18" s="10">
        <f>C17-C16</f>
        <v>-28.113680022349747</v>
      </c>
      <c r="D18" s="10">
        <f>D17-D16</f>
        <v>-28.113680022349747</v>
      </c>
      <c r="E18" s="10">
        <f>E17-E16</f>
        <v>-28.113680022349747</v>
      </c>
      <c r="F18" s="20">
        <f>F17-F16</f>
        <v>-28.113680022349747</v>
      </c>
      <c r="H18" s="18" t="s">
        <v>37</v>
      </c>
      <c r="I18" s="5" t="s">
        <v>38</v>
      </c>
      <c r="J18" s="10">
        <f>J17-J16</f>
        <v>-28.113680022349747</v>
      </c>
      <c r="K18" s="10">
        <f>K17-K16</f>
        <v>-28.113680022349747</v>
      </c>
      <c r="L18" s="10">
        <f>L17-L16</f>
        <v>-28.113680022349747</v>
      </c>
      <c r="M18" s="20">
        <f>M17-M16</f>
        <v>-28.113680022349747</v>
      </c>
      <c r="O18" s="18" t="s">
        <v>37</v>
      </c>
      <c r="P18" s="5" t="s">
        <v>38</v>
      </c>
      <c r="Q18" s="10">
        <f>Q17-Q16</f>
        <v>-28.113680022349747</v>
      </c>
      <c r="R18" s="10">
        <f>R17-R16</f>
        <v>-28.113680022349747</v>
      </c>
      <c r="S18" s="10">
        <f>S17-S16</f>
        <v>-28.113680022349747</v>
      </c>
      <c r="T18" s="20">
        <f>T17-T16</f>
        <v>-28.113680022349747</v>
      </c>
    </row>
    <row r="19" spans="1:20" x14ac:dyDescent="0.45">
      <c r="A19" s="17" t="s">
        <v>39</v>
      </c>
      <c r="B19" s="5" t="s">
        <v>40</v>
      </c>
      <c r="C19" s="6">
        <v>0.5</v>
      </c>
      <c r="D19" s="6">
        <v>0.5</v>
      </c>
      <c r="E19" s="6">
        <v>0.5</v>
      </c>
      <c r="F19" s="15">
        <v>0.5</v>
      </c>
      <c r="H19" s="17" t="s">
        <v>39</v>
      </c>
      <c r="I19" s="5" t="s">
        <v>40</v>
      </c>
      <c r="J19" s="6">
        <v>0.5</v>
      </c>
      <c r="K19" s="6">
        <v>0.5</v>
      </c>
      <c r="L19" s="6">
        <v>0.5</v>
      </c>
      <c r="M19" s="15">
        <v>0.5</v>
      </c>
      <c r="O19" s="17" t="s">
        <v>39</v>
      </c>
      <c r="P19" s="5" t="s">
        <v>40</v>
      </c>
      <c r="Q19" s="6">
        <v>0.5</v>
      </c>
      <c r="R19" s="6">
        <v>0.5</v>
      </c>
      <c r="S19" s="6">
        <v>0.5</v>
      </c>
      <c r="T19" s="15">
        <v>0.5</v>
      </c>
    </row>
    <row r="20" spans="1:20" x14ac:dyDescent="0.45">
      <c r="A20" s="19" t="s">
        <v>41</v>
      </c>
      <c r="B20" s="5" t="s">
        <v>42</v>
      </c>
      <c r="C20" s="11">
        <v>1.3800000000000001E-23</v>
      </c>
      <c r="D20" s="11">
        <v>1.3800000000000001E-23</v>
      </c>
      <c r="E20" s="11">
        <v>1.3800000000000001E-23</v>
      </c>
      <c r="F20" s="21">
        <v>1.3800000000000001E-23</v>
      </c>
      <c r="H20" s="19" t="s">
        <v>41</v>
      </c>
      <c r="I20" s="5" t="s">
        <v>42</v>
      </c>
      <c r="J20" s="11">
        <v>1.3800000000000001E-23</v>
      </c>
      <c r="K20" s="11">
        <v>1.3800000000000001E-23</v>
      </c>
      <c r="L20" s="11">
        <v>1.3800000000000001E-23</v>
      </c>
      <c r="M20" s="21">
        <v>1.3800000000000001E-23</v>
      </c>
      <c r="O20" s="19" t="s">
        <v>41</v>
      </c>
      <c r="P20" s="5" t="s">
        <v>42</v>
      </c>
      <c r="Q20" s="11">
        <v>1.3800000000000001E-23</v>
      </c>
      <c r="R20" s="11">
        <v>1.3800000000000001E-23</v>
      </c>
      <c r="S20" s="11">
        <v>1.3800000000000001E-23</v>
      </c>
      <c r="T20" s="21">
        <v>1.3800000000000001E-23</v>
      </c>
    </row>
    <row r="21" spans="1:20" x14ac:dyDescent="0.45">
      <c r="A21" s="19" t="s">
        <v>43</v>
      </c>
      <c r="B21" s="5" t="s">
        <v>44</v>
      </c>
      <c r="C21" s="6">
        <f t="shared" ref="C21:D21" si="17">10*LOG(C20)</f>
        <v>-228.60120913598763</v>
      </c>
      <c r="D21" s="6">
        <f t="shared" si="17"/>
        <v>-228.60120913598763</v>
      </c>
      <c r="E21" s="6">
        <f t="shared" ref="E21:F21" si="18">10*LOG(E20)</f>
        <v>-228.60120913598763</v>
      </c>
      <c r="F21" s="15">
        <f t="shared" si="18"/>
        <v>-228.60120913598763</v>
      </c>
      <c r="H21" s="19" t="s">
        <v>43</v>
      </c>
      <c r="I21" s="5" t="s">
        <v>44</v>
      </c>
      <c r="J21" s="6">
        <f>10*LOG(J20)</f>
        <v>-228.60120913598763</v>
      </c>
      <c r="K21" s="6">
        <f>10*LOG(K20)</f>
        <v>-228.60120913598763</v>
      </c>
      <c r="L21" s="6">
        <f>10*LOG(L20)</f>
        <v>-228.60120913598763</v>
      </c>
      <c r="M21" s="15">
        <f>10*LOG(M20)</f>
        <v>-228.60120913598763</v>
      </c>
      <c r="O21" s="19" t="s">
        <v>43</v>
      </c>
      <c r="P21" s="5" t="s">
        <v>44</v>
      </c>
      <c r="Q21" s="6">
        <f t="shared" ref="Q21:T21" si="19">10*LOG(Q20)</f>
        <v>-228.60120913598763</v>
      </c>
      <c r="R21" s="6">
        <f t="shared" si="19"/>
        <v>-228.60120913598763</v>
      </c>
      <c r="S21" s="6">
        <f t="shared" si="19"/>
        <v>-228.60120913598763</v>
      </c>
      <c r="T21" s="15">
        <f t="shared" si="19"/>
        <v>-228.60120913598763</v>
      </c>
    </row>
    <row r="22" spans="1:20" x14ac:dyDescent="0.45">
      <c r="A22" s="125" t="s">
        <v>104</v>
      </c>
      <c r="B22" s="126"/>
      <c r="C22" s="126"/>
      <c r="D22" s="126"/>
      <c r="E22" s="126"/>
      <c r="F22" s="127"/>
      <c r="H22" s="125" t="s">
        <v>104</v>
      </c>
      <c r="I22" s="126"/>
      <c r="J22" s="126"/>
      <c r="K22" s="126"/>
      <c r="L22" s="126"/>
      <c r="M22" s="127"/>
      <c r="O22" s="125" t="s">
        <v>104</v>
      </c>
      <c r="P22" s="126"/>
      <c r="Q22" s="126"/>
      <c r="R22" s="126"/>
      <c r="S22" s="126"/>
      <c r="T22" s="127"/>
    </row>
    <row r="23" spans="1:20" x14ac:dyDescent="0.45">
      <c r="A23" s="31" t="s">
        <v>86</v>
      </c>
      <c r="B23" s="26" t="s">
        <v>72</v>
      </c>
      <c r="C23" s="28">
        <f>-(C18-C21-C19)</f>
        <v>-199.98752911363789</v>
      </c>
      <c r="D23" s="28">
        <f t="shared" ref="D23:F23" si="20">-(D18-D21-D19)</f>
        <v>-199.98752911363789</v>
      </c>
      <c r="E23" s="28">
        <f t="shared" si="20"/>
        <v>-199.98752911363789</v>
      </c>
      <c r="F23" s="32">
        <f t="shared" si="20"/>
        <v>-199.98752911363789</v>
      </c>
      <c r="H23" s="31" t="s">
        <v>86</v>
      </c>
      <c r="I23" s="26" t="s">
        <v>72</v>
      </c>
      <c r="J23" s="30">
        <f>-(J18-J21-J19)</f>
        <v>-199.98752911363789</v>
      </c>
      <c r="K23" s="30">
        <f t="shared" ref="K23:L23" si="21">-(K18-K21-K19)</f>
        <v>-199.98752911363789</v>
      </c>
      <c r="L23" s="30">
        <f t="shared" si="21"/>
        <v>-199.98752911363789</v>
      </c>
      <c r="M23" s="35">
        <f>-(M18-M21-M19)</f>
        <v>-199.98752911363789</v>
      </c>
      <c r="O23" s="31" t="s">
        <v>86</v>
      </c>
      <c r="P23" s="26" t="s">
        <v>72</v>
      </c>
      <c r="Q23" s="28">
        <f>-(Q18-Q21-Q19)</f>
        <v>-199.98752911363789</v>
      </c>
      <c r="R23" s="28">
        <f t="shared" ref="R23:T23" si="22">-(R18-R21-R19)</f>
        <v>-199.98752911363789</v>
      </c>
      <c r="S23" s="28">
        <f t="shared" si="22"/>
        <v>-199.98752911363789</v>
      </c>
      <c r="T23" s="32">
        <f t="shared" si="22"/>
        <v>-199.98752911363789</v>
      </c>
    </row>
    <row r="24" spans="1:20" x14ac:dyDescent="0.45">
      <c r="A24" s="33" t="s">
        <v>73</v>
      </c>
      <c r="B24" s="26" t="s">
        <v>74</v>
      </c>
      <c r="C24" s="30">
        <v>125000</v>
      </c>
      <c r="D24" s="30">
        <v>125000</v>
      </c>
      <c r="E24" s="30">
        <v>125000</v>
      </c>
      <c r="F24" s="35">
        <v>125000</v>
      </c>
      <c r="H24" s="33" t="s">
        <v>73</v>
      </c>
      <c r="I24" s="26" t="s">
        <v>74</v>
      </c>
      <c r="J24" s="30">
        <v>31250</v>
      </c>
      <c r="K24" s="30">
        <v>31250</v>
      </c>
      <c r="L24" s="30">
        <v>31250</v>
      </c>
      <c r="M24" s="35">
        <v>31250</v>
      </c>
      <c r="O24" s="33" t="s">
        <v>73</v>
      </c>
      <c r="P24" s="26" t="s">
        <v>74</v>
      </c>
      <c r="Q24" s="29">
        <v>125000</v>
      </c>
      <c r="R24" s="29">
        <v>125001</v>
      </c>
      <c r="S24" s="29">
        <v>125002</v>
      </c>
      <c r="T24" s="34">
        <v>125003</v>
      </c>
    </row>
    <row r="25" spans="1:20" x14ac:dyDescent="0.45">
      <c r="A25" s="33" t="s">
        <v>88</v>
      </c>
      <c r="B25" s="26" t="s">
        <v>76</v>
      </c>
      <c r="C25" s="28">
        <f>4/5</f>
        <v>0.8</v>
      </c>
      <c r="D25" s="28">
        <f>4/5</f>
        <v>0.8</v>
      </c>
      <c r="E25" s="28">
        <f>4/5</f>
        <v>0.8</v>
      </c>
      <c r="F25" s="32">
        <f>4/5</f>
        <v>0.8</v>
      </c>
      <c r="H25" s="33" t="s">
        <v>75</v>
      </c>
      <c r="I25" s="26" t="s">
        <v>76</v>
      </c>
      <c r="J25" s="28">
        <f t="shared" ref="J25:M25" si="23">4/8</f>
        <v>0.5</v>
      </c>
      <c r="K25" s="28">
        <f t="shared" si="23"/>
        <v>0.5</v>
      </c>
      <c r="L25" s="28">
        <f t="shared" si="23"/>
        <v>0.5</v>
      </c>
      <c r="M25" s="32">
        <f t="shared" si="23"/>
        <v>0.5</v>
      </c>
      <c r="O25" s="33" t="s">
        <v>75</v>
      </c>
      <c r="P25" s="26" t="s">
        <v>76</v>
      </c>
      <c r="Q25" s="28">
        <f>4/8</f>
        <v>0.5</v>
      </c>
      <c r="R25" s="28">
        <f t="shared" ref="R25:T25" si="24">4/8</f>
        <v>0.5</v>
      </c>
      <c r="S25" s="28">
        <f t="shared" si="24"/>
        <v>0.5</v>
      </c>
      <c r="T25" s="32">
        <f t="shared" si="24"/>
        <v>0.5</v>
      </c>
    </row>
    <row r="26" spans="1:20" x14ac:dyDescent="0.45">
      <c r="A26" s="33" t="s">
        <v>77</v>
      </c>
      <c r="B26" s="26" t="s">
        <v>78</v>
      </c>
      <c r="C26" s="28">
        <v>7</v>
      </c>
      <c r="D26" s="28">
        <v>7</v>
      </c>
      <c r="E26" s="28">
        <v>7</v>
      </c>
      <c r="F26" s="32">
        <v>7</v>
      </c>
      <c r="H26" s="33" t="s">
        <v>77</v>
      </c>
      <c r="I26" s="26" t="s">
        <v>78</v>
      </c>
      <c r="J26" s="28">
        <v>10</v>
      </c>
      <c r="K26" s="28">
        <v>10</v>
      </c>
      <c r="L26" s="28">
        <v>10</v>
      </c>
      <c r="M26" s="32">
        <v>10</v>
      </c>
      <c r="O26" s="33" t="s">
        <v>77</v>
      </c>
      <c r="P26" s="26" t="s">
        <v>78</v>
      </c>
      <c r="Q26" s="28">
        <v>12</v>
      </c>
      <c r="R26" s="28">
        <v>12</v>
      </c>
      <c r="S26" s="28">
        <v>12</v>
      </c>
      <c r="T26" s="32">
        <v>12</v>
      </c>
    </row>
    <row r="27" spans="1:20" x14ac:dyDescent="0.45">
      <c r="A27" s="31" t="s">
        <v>79</v>
      </c>
      <c r="B27" s="26" t="s">
        <v>89</v>
      </c>
      <c r="C27" s="30">
        <f>C26*C24/(2^C26)</f>
        <v>6835.9375</v>
      </c>
      <c r="D27" s="28">
        <f>D26*D24/(2^D26)</f>
        <v>6835.9375</v>
      </c>
      <c r="E27" s="28">
        <f>E26*E24/(2^E26)</f>
        <v>6835.9375</v>
      </c>
      <c r="F27" s="32">
        <f>F26*F24/(2^F26)</f>
        <v>6835.9375</v>
      </c>
      <c r="H27" s="31" t="s">
        <v>79</v>
      </c>
      <c r="I27" s="26" t="s">
        <v>89</v>
      </c>
      <c r="J27" s="30">
        <f>J26*J24/(2^J26)</f>
        <v>305.17578125</v>
      </c>
      <c r="K27" s="30">
        <f>K26*K24/(2^K26)</f>
        <v>305.17578125</v>
      </c>
      <c r="L27" s="28">
        <f>L26*L24/(2^L26)</f>
        <v>305.17578125</v>
      </c>
      <c r="M27" s="32">
        <f>M26*M24/(2^M26)</f>
        <v>305.17578125</v>
      </c>
      <c r="O27" s="31" t="s">
        <v>79</v>
      </c>
      <c r="P27" s="26" t="s">
        <v>89</v>
      </c>
      <c r="Q27" s="30">
        <f>Q26*Q24/(2^Q26)</f>
        <v>366.2109375</v>
      </c>
      <c r="R27" s="28">
        <f>R26*R24/(2^R26)</f>
        <v>366.2138671875</v>
      </c>
      <c r="S27" s="28">
        <f>S26*S24/(2^S26)</f>
        <v>366.216796875</v>
      </c>
      <c r="T27" s="32">
        <f>T26*T24/(2^T26)</f>
        <v>366.2197265625</v>
      </c>
    </row>
    <row r="28" spans="1:20" x14ac:dyDescent="0.45">
      <c r="A28" s="31" t="s">
        <v>80</v>
      </c>
      <c r="B28" s="26" t="s">
        <v>90</v>
      </c>
      <c r="C28" s="30">
        <f>C27*C25</f>
        <v>5468.75</v>
      </c>
      <c r="D28" s="28">
        <f>D27*D25</f>
        <v>5468.75</v>
      </c>
      <c r="E28" s="28">
        <f>E27*E25</f>
        <v>5468.75</v>
      </c>
      <c r="F28" s="32">
        <f>F27*F25</f>
        <v>5468.75</v>
      </c>
      <c r="H28" s="31" t="s">
        <v>80</v>
      </c>
      <c r="I28" s="26" t="s">
        <v>90</v>
      </c>
      <c r="J28" s="28">
        <f>J27*J25</f>
        <v>152.587890625</v>
      </c>
      <c r="K28" s="28">
        <f>K27*K25</f>
        <v>152.587890625</v>
      </c>
      <c r="L28" s="28">
        <f>L27*L25</f>
        <v>152.587890625</v>
      </c>
      <c r="M28" s="32">
        <f>M27*M25</f>
        <v>152.587890625</v>
      </c>
      <c r="O28" s="31" t="s">
        <v>80</v>
      </c>
      <c r="P28" s="26" t="s">
        <v>90</v>
      </c>
      <c r="Q28" s="30">
        <f>Q27*Q25</f>
        <v>183.10546875</v>
      </c>
      <c r="R28" s="28">
        <f>R27*R25</f>
        <v>183.10693359375</v>
      </c>
      <c r="S28" s="28">
        <f>S27*S25</f>
        <v>183.1083984375</v>
      </c>
      <c r="T28" s="32">
        <f>T27*T25</f>
        <v>183.10986328125</v>
      </c>
    </row>
    <row r="29" spans="1:20" x14ac:dyDescent="0.45">
      <c r="A29" s="31" t="s">
        <v>81</v>
      </c>
      <c r="B29" s="27" t="s">
        <v>85</v>
      </c>
      <c r="C29" s="30">
        <f>C27/C24</f>
        <v>5.46875E-2</v>
      </c>
      <c r="D29" s="28">
        <f>D27/D24</f>
        <v>5.46875E-2</v>
      </c>
      <c r="E29" s="28">
        <f>E27/E24</f>
        <v>5.46875E-2</v>
      </c>
      <c r="F29" s="32">
        <f>F27/F24</f>
        <v>5.46875E-2</v>
      </c>
      <c r="H29" s="31" t="s">
        <v>81</v>
      </c>
      <c r="I29" s="27" t="s">
        <v>85</v>
      </c>
      <c r="J29" s="28">
        <f>J27/J24</f>
        <v>9.765625E-3</v>
      </c>
      <c r="K29" s="28">
        <f>K27/K24</f>
        <v>9.765625E-3</v>
      </c>
      <c r="L29" s="28">
        <f>L27/L24</f>
        <v>9.765625E-3</v>
      </c>
      <c r="M29" s="32">
        <f>M27/M24</f>
        <v>9.765625E-3</v>
      </c>
      <c r="O29" s="31" t="s">
        <v>81</v>
      </c>
      <c r="P29" s="27" t="s">
        <v>85</v>
      </c>
      <c r="Q29" s="30">
        <f>Q27/Q24</f>
        <v>2.9296875E-3</v>
      </c>
      <c r="R29" s="28">
        <f>R27/R24</f>
        <v>2.9296875E-3</v>
      </c>
      <c r="S29" s="28">
        <f>S27/S24</f>
        <v>2.9296875E-3</v>
      </c>
      <c r="T29" s="32">
        <f>T27/T24</f>
        <v>2.9296875E-3</v>
      </c>
    </row>
    <row r="30" spans="1:20" x14ac:dyDescent="0.45">
      <c r="A30" s="31" t="s">
        <v>87</v>
      </c>
      <c r="B30" s="26" t="s">
        <v>82</v>
      </c>
      <c r="C30" s="30">
        <f>C23+10*LOG10(C24)</f>
        <v>-149.01842898355733</v>
      </c>
      <c r="D30" s="28">
        <f>D23+10*LOG10(D24)</f>
        <v>-149.01842898355733</v>
      </c>
      <c r="E30" s="28">
        <f>E23+10*LOG10(E24)</f>
        <v>-149.01842898355733</v>
      </c>
      <c r="F30" s="32">
        <f>F23+10*LOG10(F24)</f>
        <v>-149.01842898355733</v>
      </c>
      <c r="H30" s="31" t="s">
        <v>87</v>
      </c>
      <c r="I30" s="26" t="s">
        <v>82</v>
      </c>
      <c r="J30" s="28">
        <f>J23+10*LOG10(J24)</f>
        <v>-155.03902889683695</v>
      </c>
      <c r="K30" s="28">
        <f>K23+10*LOG10(K24)</f>
        <v>-155.03902889683695</v>
      </c>
      <c r="L30" s="28">
        <f>L23+10*LOG10(L24)</f>
        <v>-155.03902889683695</v>
      </c>
      <c r="M30" s="32">
        <f>M23+10*LOG10(M24)</f>
        <v>-155.03902889683695</v>
      </c>
      <c r="O30" s="31" t="s">
        <v>87</v>
      </c>
      <c r="P30" s="26" t="s">
        <v>82</v>
      </c>
      <c r="Q30" s="30">
        <f>Q23+10*LOG10(Q24)</f>
        <v>-149.01842898355733</v>
      </c>
      <c r="R30" s="28">
        <f>R23+10*LOG10(R24)</f>
        <v>-149.01839424013775</v>
      </c>
      <c r="S30" s="28">
        <f>S23+10*LOG10(S24)</f>
        <v>-149.01835949699611</v>
      </c>
      <c r="T30" s="32">
        <f>T23+10*LOG10(T24)</f>
        <v>-149.01832475413241</v>
      </c>
    </row>
    <row r="31" spans="1:20" x14ac:dyDescent="0.45">
      <c r="A31" s="31" t="s">
        <v>91</v>
      </c>
      <c r="B31" s="26" t="s">
        <v>83</v>
      </c>
      <c r="C31" s="30">
        <f>C12-C30</f>
        <v>-24.751799669130719</v>
      </c>
      <c r="D31" s="28">
        <f>D12-D30</f>
        <v>-19.751799669130719</v>
      </c>
      <c r="E31" s="28">
        <f>E12-E30</f>
        <v>-14.751799669130719</v>
      </c>
      <c r="F31" s="32">
        <f>F12-F30</f>
        <v>-9.7517996691307189</v>
      </c>
      <c r="H31" s="31" t="s">
        <v>91</v>
      </c>
      <c r="I31" s="26" t="s">
        <v>83</v>
      </c>
      <c r="J31" s="28">
        <f>J12-J30</f>
        <v>-18.731199755851094</v>
      </c>
      <c r="K31" s="28">
        <f>K12-K30</f>
        <v>-13.731199755851094</v>
      </c>
      <c r="L31" s="28">
        <f>L12-L30</f>
        <v>-13.080878640129242</v>
      </c>
      <c r="M31" s="32">
        <f>M12-M30</f>
        <v>-3.7311997558510939</v>
      </c>
      <c r="O31" s="31" t="s">
        <v>91</v>
      </c>
      <c r="P31" s="26" t="s">
        <v>83</v>
      </c>
      <c r="Q31" s="28">
        <f>Q12-Q30</f>
        <v>-24.751799669130719</v>
      </c>
      <c r="R31" s="28">
        <f>R12-R30</f>
        <v>-19.751834412550295</v>
      </c>
      <c r="S31" s="28">
        <f>S12-S30</f>
        <v>-14.751869155691935</v>
      </c>
      <c r="T31" s="32">
        <f>T12-T30</f>
        <v>-9.7519038985556392</v>
      </c>
    </row>
    <row r="32" spans="1:20" x14ac:dyDescent="0.45">
      <c r="A32" s="31" t="s">
        <v>121</v>
      </c>
      <c r="B32" s="26" t="s">
        <v>84</v>
      </c>
      <c r="C32" s="30">
        <f>C31+10*LOG10(C24/C28)</f>
        <v>-11.16158024271404</v>
      </c>
      <c r="D32" s="30">
        <f t="shared" ref="D32:F32" si="25">D31+10*LOG10(D24/D28)</f>
        <v>-6.1615802427140398</v>
      </c>
      <c r="E32" s="30">
        <f t="shared" si="25"/>
        <v>-1.1615802427140398</v>
      </c>
      <c r="F32" s="35">
        <f t="shared" si="25"/>
        <v>3.8384197572859602</v>
      </c>
      <c r="H32" s="31" t="s">
        <v>121</v>
      </c>
      <c r="I32" s="26" t="s">
        <v>84</v>
      </c>
      <c r="J32" s="28">
        <f t="shared" ref="J32" si="26">J31+10*LOG10(J24/J28)</f>
        <v>4.3820997671868405</v>
      </c>
      <c r="K32" s="28">
        <f t="shared" ref="K32:M32" si="27">K31+10*LOG10(K24/K28)</f>
        <v>9.3820997671868405</v>
      </c>
      <c r="L32" s="28">
        <f t="shared" si="27"/>
        <v>10.032420882908692</v>
      </c>
      <c r="M32" s="32">
        <f t="shared" si="27"/>
        <v>19.38209976718684</v>
      </c>
      <c r="O32" s="31" t="s">
        <v>121</v>
      </c>
      <c r="P32" s="26" t="s">
        <v>84</v>
      </c>
      <c r="Q32" s="30">
        <f>Q31+10*LOG10(Q24/Q28)</f>
        <v>3.5902873067105894</v>
      </c>
      <c r="R32" s="30">
        <f t="shared" ref="R32:T32" si="28">R31+10*LOG10(R24/R28)</f>
        <v>8.5902525632910134</v>
      </c>
      <c r="S32" s="30">
        <f t="shared" si="28"/>
        <v>13.590217820149373</v>
      </c>
      <c r="T32" s="35">
        <f t="shared" si="28"/>
        <v>18.590183077285669</v>
      </c>
    </row>
    <row r="33" spans="1:20" x14ac:dyDescent="0.45">
      <c r="A33" s="125" t="s">
        <v>103</v>
      </c>
      <c r="B33" s="126"/>
      <c r="C33" s="126"/>
      <c r="D33" s="126"/>
      <c r="E33" s="126"/>
      <c r="F33" s="127"/>
      <c r="H33" s="125" t="s">
        <v>103</v>
      </c>
      <c r="I33" s="126"/>
      <c r="J33" s="126"/>
      <c r="K33" s="126"/>
      <c r="L33" s="126"/>
      <c r="M33" s="127"/>
      <c r="O33" s="125" t="s">
        <v>103</v>
      </c>
      <c r="P33" s="126"/>
      <c r="Q33" s="126"/>
      <c r="R33" s="126"/>
      <c r="S33" s="126"/>
      <c r="T33" s="127"/>
    </row>
    <row r="34" spans="1:20" x14ac:dyDescent="0.45">
      <c r="A34" s="18" t="s">
        <v>100</v>
      </c>
      <c r="B34" s="5" t="s">
        <v>45</v>
      </c>
      <c r="C34" s="6">
        <f>C12+C18-C21-C19</f>
        <v>26.217300460949843</v>
      </c>
      <c r="D34" s="6">
        <f t="shared" ref="D34:F34" si="29">D12+D18-D21-D19</f>
        <v>31.217300460949843</v>
      </c>
      <c r="E34" s="6">
        <f t="shared" si="29"/>
        <v>36.217300460949843</v>
      </c>
      <c r="F34" s="15">
        <f t="shared" si="29"/>
        <v>41.217300460949843</v>
      </c>
      <c r="H34" s="18" t="s">
        <v>100</v>
      </c>
      <c r="I34" s="5" t="s">
        <v>45</v>
      </c>
      <c r="J34" s="38">
        <f t="shared" ref="J34" si="30">J12+J18-J21-J19</f>
        <v>26.217300460949843</v>
      </c>
      <c r="K34" s="38">
        <f t="shared" ref="K34:M34" si="31">K12+K18-K21-K19</f>
        <v>31.217300460949843</v>
      </c>
      <c r="L34" s="38">
        <f t="shared" si="31"/>
        <v>31.867621576671695</v>
      </c>
      <c r="M34" s="141">
        <f t="shared" si="31"/>
        <v>41.217300460949843</v>
      </c>
      <c r="O34" s="18" t="s">
        <v>105</v>
      </c>
      <c r="P34" s="5" t="s">
        <v>45</v>
      </c>
      <c r="Q34" s="6">
        <f>Q12+Q18-Q21-Q19</f>
        <v>26.217300460949843</v>
      </c>
      <c r="R34" s="6">
        <f t="shared" ref="R34:T34" si="32">R12+R18-R21-R19</f>
        <v>31.217300460949843</v>
      </c>
      <c r="S34" s="6">
        <f t="shared" si="32"/>
        <v>36.217300460949843</v>
      </c>
      <c r="T34" s="15">
        <f t="shared" si="32"/>
        <v>41.217300460949843</v>
      </c>
    </row>
    <row r="35" spans="1:20" x14ac:dyDescent="0.45">
      <c r="A35" s="14" t="s">
        <v>53</v>
      </c>
      <c r="B35" s="5" t="s">
        <v>46</v>
      </c>
      <c r="C35" s="6">
        <v>5469</v>
      </c>
      <c r="D35" s="6">
        <v>5469</v>
      </c>
      <c r="E35" s="6">
        <v>5469</v>
      </c>
      <c r="F35" s="15">
        <v>5469</v>
      </c>
      <c r="H35" s="14" t="s">
        <v>53</v>
      </c>
      <c r="I35" s="5" t="s">
        <v>46</v>
      </c>
      <c r="J35" s="6">
        <v>152.6</v>
      </c>
      <c r="K35" s="6">
        <v>152.6</v>
      </c>
      <c r="L35" s="6">
        <v>152.6</v>
      </c>
      <c r="M35" s="15">
        <v>152.6</v>
      </c>
      <c r="O35" s="14" t="s">
        <v>53</v>
      </c>
      <c r="P35" s="5" t="s">
        <v>46</v>
      </c>
      <c r="Q35" s="6">
        <v>183.1</v>
      </c>
      <c r="R35" s="6">
        <v>183.1</v>
      </c>
      <c r="S35" s="6">
        <v>183.1</v>
      </c>
      <c r="T35" s="15">
        <v>183.1</v>
      </c>
    </row>
    <row r="36" spans="1:20" ht="14.65" thickBot="1" x14ac:dyDescent="0.5">
      <c r="A36" s="140" t="s">
        <v>121</v>
      </c>
      <c r="B36" s="23" t="s">
        <v>47</v>
      </c>
      <c r="C36" s="24">
        <f>C34-(10*LOG(C35))</f>
        <v>-11.161778772796545</v>
      </c>
      <c r="D36" s="24">
        <f>D34-(10*LOG(D35))</f>
        <v>-6.161778772796545</v>
      </c>
      <c r="E36" s="24">
        <f>E34-(10*LOG(E35))</f>
        <v>-1.161778772796545</v>
      </c>
      <c r="F36" s="25">
        <f>F34-(10*LOG(F35))</f>
        <v>3.838221227203455</v>
      </c>
      <c r="H36" s="140" t="s">
        <v>121</v>
      </c>
      <c r="I36" s="23" t="s">
        <v>47</v>
      </c>
      <c r="J36" s="24">
        <f>J34-(10*LOG(J35))</f>
        <v>4.3817551247612272</v>
      </c>
      <c r="K36" s="24">
        <f>K34-(10*LOG(K35))</f>
        <v>9.3817551247612272</v>
      </c>
      <c r="L36" s="24">
        <f>L34-(10*LOG(L35))</f>
        <v>10.032076240483079</v>
      </c>
      <c r="M36" s="25">
        <f>M34-(10*LOG(M35))</f>
        <v>19.381755124761227</v>
      </c>
      <c r="O36" s="140" t="s">
        <v>121</v>
      </c>
      <c r="P36" s="23" t="s">
        <v>47</v>
      </c>
      <c r="Q36" s="24">
        <f>Q34-(10*LOG(Q35))</f>
        <v>3.5904170179328787</v>
      </c>
      <c r="R36" s="24">
        <f>R34-(10*LOG(R35))</f>
        <v>8.5904170179328787</v>
      </c>
      <c r="S36" s="24">
        <f>S34-(10*LOG(S35))</f>
        <v>13.590417017932879</v>
      </c>
      <c r="T36" s="25">
        <f>T34-(10*LOG(T35))</f>
        <v>18.590417017932879</v>
      </c>
    </row>
    <row r="38" spans="1:20" x14ac:dyDescent="0.45">
      <c r="A38" s="7" t="s">
        <v>48</v>
      </c>
      <c r="H38" s="7" t="s">
        <v>48</v>
      </c>
      <c r="O38" s="7" t="s">
        <v>48</v>
      </c>
    </row>
    <row r="39" spans="1:20" x14ac:dyDescent="0.45">
      <c r="A39" s="8" t="s">
        <v>49</v>
      </c>
      <c r="H39" s="8" t="s">
        <v>49</v>
      </c>
      <c r="O39" s="8" t="s">
        <v>49</v>
      </c>
    </row>
    <row r="40" spans="1:20" x14ac:dyDescent="0.45">
      <c r="A40" t="s">
        <v>50</v>
      </c>
      <c r="H40" t="s">
        <v>50</v>
      </c>
      <c r="O40" t="s">
        <v>50</v>
      </c>
    </row>
    <row r="41" spans="1:20" x14ac:dyDescent="0.45">
      <c r="A41" s="9" t="s">
        <v>57</v>
      </c>
      <c r="H41" s="9" t="s">
        <v>57</v>
      </c>
      <c r="O41" s="9" t="s">
        <v>57</v>
      </c>
    </row>
  </sheetData>
  <mergeCells count="9">
    <mergeCell ref="A1:F1"/>
    <mergeCell ref="H1:M1"/>
    <mergeCell ref="O1:T1"/>
    <mergeCell ref="A22:F22"/>
    <mergeCell ref="A33:F33"/>
    <mergeCell ref="H22:M22"/>
    <mergeCell ref="H33:M33"/>
    <mergeCell ref="O22:T22"/>
    <mergeCell ref="O33:T3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3D10-EC48-4D3A-A84D-B03B58AFC1C9}">
  <dimension ref="A1:Y36"/>
  <sheetViews>
    <sheetView topLeftCell="D1" workbookViewId="0">
      <selection activeCell="J35" sqref="J35"/>
    </sheetView>
  </sheetViews>
  <sheetFormatPr defaultRowHeight="14.25" x14ac:dyDescent="0.45"/>
  <cols>
    <col min="1" max="1" width="30.19921875" customWidth="1"/>
    <col min="2" max="2" width="9.6640625" customWidth="1"/>
    <col min="3" max="3" width="25.796875" customWidth="1"/>
    <col min="4" max="11" width="8.06640625" customWidth="1"/>
    <col min="12" max="12" width="10" customWidth="1"/>
    <col min="13" max="13" width="31.1328125" customWidth="1"/>
    <col min="14" max="25" width="7.1328125" customWidth="1"/>
  </cols>
  <sheetData>
    <row r="1" spans="1:25" ht="22.15" customHeight="1" thickBot="1" x14ac:dyDescent="0.9">
      <c r="A1" s="137" t="s">
        <v>119</v>
      </c>
      <c r="B1" s="138"/>
      <c r="C1" s="138"/>
      <c r="D1" s="138"/>
      <c r="E1" s="138"/>
      <c r="F1" s="138"/>
      <c r="G1" s="138"/>
      <c r="H1" s="138"/>
      <c r="I1" s="138"/>
      <c r="J1" s="138"/>
      <c r="K1" s="139"/>
      <c r="M1" s="119" t="s">
        <v>123</v>
      </c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/>
    </row>
    <row r="2" spans="1:25" ht="21" x14ac:dyDescent="0.65">
      <c r="A2" s="131" t="s">
        <v>109</v>
      </c>
      <c r="B2" s="132"/>
      <c r="C2" s="133"/>
      <c r="D2" s="122" t="s">
        <v>108</v>
      </c>
      <c r="E2" s="123"/>
      <c r="F2" s="123"/>
      <c r="G2" s="123"/>
      <c r="H2" s="123" t="s">
        <v>107</v>
      </c>
      <c r="I2" s="123"/>
      <c r="J2" s="123"/>
      <c r="K2" s="124"/>
      <c r="M2" s="118" t="s">
        <v>118</v>
      </c>
      <c r="N2" s="134" t="s">
        <v>122</v>
      </c>
      <c r="O2" s="135"/>
      <c r="P2" s="135"/>
      <c r="Q2" s="136"/>
      <c r="R2" s="134" t="s">
        <v>108</v>
      </c>
      <c r="S2" s="135"/>
      <c r="T2" s="135"/>
      <c r="U2" s="136"/>
      <c r="V2" s="134" t="s">
        <v>107</v>
      </c>
      <c r="W2" s="135"/>
      <c r="X2" s="135"/>
      <c r="Y2" s="136"/>
    </row>
    <row r="3" spans="1:25" x14ac:dyDescent="0.45">
      <c r="A3" s="37" t="s">
        <v>9</v>
      </c>
      <c r="B3" s="36" t="s">
        <v>10</v>
      </c>
      <c r="C3" s="40" t="s">
        <v>92</v>
      </c>
      <c r="D3" s="42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39" t="s">
        <v>11</v>
      </c>
      <c r="M3" s="87" t="s">
        <v>9</v>
      </c>
      <c r="N3" s="91" t="s">
        <v>11</v>
      </c>
      <c r="O3" s="92" t="s">
        <v>11</v>
      </c>
      <c r="P3" s="92" t="s">
        <v>11</v>
      </c>
      <c r="Q3" s="93" t="s">
        <v>11</v>
      </c>
      <c r="R3" s="91" t="s">
        <v>11</v>
      </c>
      <c r="S3" s="92" t="s">
        <v>11</v>
      </c>
      <c r="T3" s="92" t="s">
        <v>11</v>
      </c>
      <c r="U3" s="93" t="s">
        <v>11</v>
      </c>
      <c r="V3" s="91" t="s">
        <v>11</v>
      </c>
      <c r="W3" s="92" t="s">
        <v>11</v>
      </c>
      <c r="X3" s="92" t="s">
        <v>11</v>
      </c>
      <c r="Y3" s="93" t="s">
        <v>11</v>
      </c>
    </row>
    <row r="4" spans="1:25" x14ac:dyDescent="0.45">
      <c r="A4" s="19" t="s">
        <v>54</v>
      </c>
      <c r="B4" s="5" t="s">
        <v>56</v>
      </c>
      <c r="C4" s="41"/>
      <c r="D4" s="43">
        <v>5</v>
      </c>
      <c r="E4" s="6">
        <v>10</v>
      </c>
      <c r="F4" s="6">
        <v>15</v>
      </c>
      <c r="G4" s="6">
        <v>20</v>
      </c>
      <c r="H4" s="6">
        <v>5</v>
      </c>
      <c r="I4" s="6">
        <v>10</v>
      </c>
      <c r="J4" s="6">
        <v>15</v>
      </c>
      <c r="K4" s="15">
        <v>20</v>
      </c>
      <c r="M4" s="115" t="s">
        <v>131</v>
      </c>
      <c r="N4" s="43">
        <v>5</v>
      </c>
      <c r="O4" s="6">
        <v>10</v>
      </c>
      <c r="P4" s="6">
        <v>15</v>
      </c>
      <c r="Q4" s="15">
        <v>20</v>
      </c>
      <c r="R4" s="43">
        <v>5</v>
      </c>
      <c r="S4" s="6">
        <v>10</v>
      </c>
      <c r="T4" s="107">
        <v>15</v>
      </c>
      <c r="U4" s="15">
        <v>20</v>
      </c>
      <c r="V4" s="43">
        <v>5</v>
      </c>
      <c r="W4" s="6">
        <v>10</v>
      </c>
      <c r="X4" s="6">
        <v>15</v>
      </c>
      <c r="Y4" s="15">
        <v>20</v>
      </c>
    </row>
    <row r="5" spans="1:25" x14ac:dyDescent="0.45">
      <c r="A5" s="16" t="s">
        <v>55</v>
      </c>
      <c r="B5" s="5" t="s">
        <v>12</v>
      </c>
      <c r="C5" s="41" t="s">
        <v>97</v>
      </c>
      <c r="D5" s="43">
        <f>D4-30</f>
        <v>-25</v>
      </c>
      <c r="E5" s="6">
        <f>E4-30</f>
        <v>-20</v>
      </c>
      <c r="F5" s="6">
        <f>F4-30</f>
        <v>-15</v>
      </c>
      <c r="G5" s="6">
        <f>G4-30</f>
        <v>-10</v>
      </c>
      <c r="H5" s="6">
        <f>H4-30</f>
        <v>-25</v>
      </c>
      <c r="I5" s="6">
        <f t="shared" ref="I5:K5" si="0">I4-30</f>
        <v>-20</v>
      </c>
      <c r="J5" s="6">
        <f t="shared" si="0"/>
        <v>-15</v>
      </c>
      <c r="K5" s="15">
        <f t="shared" si="0"/>
        <v>-10</v>
      </c>
      <c r="M5" s="116" t="s">
        <v>129</v>
      </c>
      <c r="N5" s="43">
        <v>-173.77</v>
      </c>
      <c r="O5" s="6">
        <v>-168.77</v>
      </c>
      <c r="P5" s="6">
        <v>-163.77000000000001</v>
      </c>
      <c r="Q5" s="15">
        <v>-158.77000000000001</v>
      </c>
      <c r="R5" s="43">
        <v>-173.77</v>
      </c>
      <c r="S5" s="6">
        <v>-168.77</v>
      </c>
      <c r="T5" s="6">
        <v>-163.77000000000001</v>
      </c>
      <c r="U5" s="6">
        <v>-158.77000000000001</v>
      </c>
      <c r="V5" s="43">
        <v>-173.77</v>
      </c>
      <c r="W5" s="6">
        <v>-168.77</v>
      </c>
      <c r="X5" s="6">
        <v>-163.77000000000001</v>
      </c>
      <c r="Y5" s="15">
        <v>-158.77000000000001</v>
      </c>
    </row>
    <row r="6" spans="1:25" ht="14.65" thickBot="1" x14ac:dyDescent="0.5">
      <c r="A6" s="19" t="s">
        <v>13</v>
      </c>
      <c r="B6" s="5" t="s">
        <v>14</v>
      </c>
      <c r="C6" s="41"/>
      <c r="D6" s="43">
        <v>0.437</v>
      </c>
      <c r="E6" s="6">
        <v>0.437</v>
      </c>
      <c r="F6" s="6">
        <v>0.437</v>
      </c>
      <c r="G6" s="6">
        <v>0.437</v>
      </c>
      <c r="H6" s="6">
        <v>0.437</v>
      </c>
      <c r="I6" s="6">
        <v>0.437</v>
      </c>
      <c r="J6" s="6">
        <v>0.437</v>
      </c>
      <c r="K6" s="15">
        <v>0.437</v>
      </c>
      <c r="M6" s="117" t="s">
        <v>130</v>
      </c>
      <c r="N6" s="94">
        <v>-8.73</v>
      </c>
      <c r="O6" s="95">
        <v>-3.73</v>
      </c>
      <c r="P6" s="95">
        <v>1.27</v>
      </c>
      <c r="Q6" s="96">
        <v>6.27</v>
      </c>
      <c r="R6" s="88">
        <v>4.3817551247612272</v>
      </c>
      <c r="S6" s="89">
        <v>9.3817551247612272</v>
      </c>
      <c r="T6" s="106">
        <v>14.381755124761227</v>
      </c>
      <c r="U6" s="90">
        <v>20.381755124761227</v>
      </c>
      <c r="V6" s="88">
        <v>3.5904170179328787</v>
      </c>
      <c r="W6" s="89">
        <v>8.5904170179328787</v>
      </c>
      <c r="X6" s="89">
        <v>13.590417017932879</v>
      </c>
      <c r="Y6" s="90">
        <v>18.590417017932879</v>
      </c>
    </row>
    <row r="7" spans="1:25" x14ac:dyDescent="0.45">
      <c r="A7" s="14" t="s">
        <v>51</v>
      </c>
      <c r="B7" s="5" t="s">
        <v>15</v>
      </c>
      <c r="C7" s="41"/>
      <c r="D7" s="43">
        <v>3.5</v>
      </c>
      <c r="E7" s="6">
        <v>3.5</v>
      </c>
      <c r="F7" s="6">
        <v>3.5</v>
      </c>
      <c r="G7" s="6">
        <v>3.5</v>
      </c>
      <c r="H7" s="6">
        <v>3.5</v>
      </c>
      <c r="I7" s="6">
        <v>3.5</v>
      </c>
      <c r="J7" s="6">
        <v>3.5</v>
      </c>
      <c r="K7" s="15">
        <v>3.5</v>
      </c>
    </row>
    <row r="8" spans="1:25" x14ac:dyDescent="0.45">
      <c r="A8" s="17" t="s">
        <v>16</v>
      </c>
      <c r="B8" s="5" t="s">
        <v>17</v>
      </c>
      <c r="C8" s="41"/>
      <c r="D8" s="43">
        <v>0.5</v>
      </c>
      <c r="E8" s="6">
        <v>0.5</v>
      </c>
      <c r="F8" s="6">
        <v>0.5</v>
      </c>
      <c r="G8" s="6">
        <v>0.5</v>
      </c>
      <c r="H8" s="6">
        <v>0.5</v>
      </c>
      <c r="I8" s="6">
        <v>0.5</v>
      </c>
      <c r="J8" s="6">
        <v>0.5</v>
      </c>
      <c r="K8" s="15">
        <v>0.5</v>
      </c>
    </row>
    <row r="9" spans="1:25" x14ac:dyDescent="0.45">
      <c r="A9" s="18" t="s">
        <v>18</v>
      </c>
      <c r="B9" s="5" t="s">
        <v>19</v>
      </c>
      <c r="C9" s="41" t="s">
        <v>98</v>
      </c>
      <c r="D9" s="43">
        <f t="shared" ref="D9" si="1">D5-D8+D7</f>
        <v>-22</v>
      </c>
      <c r="E9" s="6">
        <f t="shared" ref="E9:G9" si="2">E5-E8+E7</f>
        <v>-17</v>
      </c>
      <c r="F9" s="6">
        <f t="shared" si="2"/>
        <v>-12</v>
      </c>
      <c r="G9" s="6">
        <f t="shared" si="2"/>
        <v>-7</v>
      </c>
      <c r="H9" s="6">
        <f>H5-H8+H7</f>
        <v>-22</v>
      </c>
      <c r="I9" s="6">
        <f t="shared" ref="I9:K9" si="3">I5-I8+I7</f>
        <v>-17</v>
      </c>
      <c r="J9" s="6">
        <f t="shared" si="3"/>
        <v>-12</v>
      </c>
      <c r="K9" s="15">
        <f t="shared" si="3"/>
        <v>-7</v>
      </c>
    </row>
    <row r="10" spans="1:25" x14ac:dyDescent="0.45">
      <c r="A10" s="19" t="s">
        <v>20</v>
      </c>
      <c r="B10" s="5" t="s">
        <v>21</v>
      </c>
      <c r="C10" s="41"/>
      <c r="D10" s="43">
        <v>2000</v>
      </c>
      <c r="E10" s="6">
        <v>2000</v>
      </c>
      <c r="F10" s="6">
        <v>2000</v>
      </c>
      <c r="G10" s="6">
        <v>2000</v>
      </c>
      <c r="H10" s="6">
        <v>2000</v>
      </c>
      <c r="I10" s="6">
        <v>2000</v>
      </c>
      <c r="J10" s="6">
        <v>2000</v>
      </c>
      <c r="K10" s="15">
        <v>2000</v>
      </c>
    </row>
    <row r="11" spans="1:25" x14ac:dyDescent="0.45">
      <c r="A11" s="18" t="s">
        <v>22</v>
      </c>
      <c r="B11" s="5" t="s">
        <v>23</v>
      </c>
      <c r="C11" s="41" t="s">
        <v>93</v>
      </c>
      <c r="D11" s="63">
        <f t="shared" ref="D11" si="4">( 92.44+20*LOG(D10*D6) )</f>
        <v>151.27022865268805</v>
      </c>
      <c r="E11" s="64">
        <f t="shared" ref="E11:G11" si="5">( 92.44+20*LOG(E10*E6) )</f>
        <v>151.27022865268805</v>
      </c>
      <c r="F11" s="64">
        <f t="shared" si="5"/>
        <v>151.27022865268805</v>
      </c>
      <c r="G11" s="64">
        <f t="shared" si="5"/>
        <v>151.27022865268805</v>
      </c>
      <c r="H11" s="64">
        <f>( 92.44+20*LOG(H10*H6) )</f>
        <v>151.27022865268805</v>
      </c>
      <c r="I11" s="64">
        <f t="shared" ref="I11:K11" si="6">( 92.44+20*LOG(I10*I6) )</f>
        <v>151.27022865268805</v>
      </c>
      <c r="J11" s="64">
        <f t="shared" si="6"/>
        <v>151.27022865268805</v>
      </c>
      <c r="K11" s="65">
        <f t="shared" si="6"/>
        <v>151.27022865268805</v>
      </c>
    </row>
    <row r="12" spans="1:25" x14ac:dyDescent="0.45">
      <c r="A12" s="17" t="s">
        <v>24</v>
      </c>
      <c r="B12" s="5" t="s">
        <v>25</v>
      </c>
      <c r="C12" s="41"/>
      <c r="D12" s="43">
        <v>0.5</v>
      </c>
      <c r="E12" s="6">
        <v>0.5</v>
      </c>
      <c r="F12" s="6">
        <v>0.5</v>
      </c>
      <c r="G12" s="6">
        <v>0.5</v>
      </c>
      <c r="H12" s="6">
        <v>0.5</v>
      </c>
      <c r="I12" s="6">
        <v>0.5</v>
      </c>
      <c r="J12" s="6">
        <v>0.5</v>
      </c>
      <c r="K12" s="15">
        <v>0.5</v>
      </c>
    </row>
    <row r="13" spans="1:25" x14ac:dyDescent="0.45">
      <c r="A13" s="18" t="s">
        <v>26</v>
      </c>
      <c r="B13" s="5" t="s">
        <v>27</v>
      </c>
      <c r="C13" s="41" t="s">
        <v>94</v>
      </c>
      <c r="D13" s="43">
        <f t="shared" ref="D13" si="7">D9-D11-D12</f>
        <v>-173.77022865268805</v>
      </c>
      <c r="E13" s="6">
        <f t="shared" ref="E13:G13" si="8">E9-E11-E12</f>
        <v>-168.77022865268805</v>
      </c>
      <c r="F13" s="6">
        <f t="shared" si="8"/>
        <v>-163.77022865268805</v>
      </c>
      <c r="G13" s="6">
        <f t="shared" si="8"/>
        <v>-158.77022865268805</v>
      </c>
      <c r="H13" s="6">
        <f>H9-H11-H12</f>
        <v>-173.77022865268805</v>
      </c>
      <c r="I13" s="6">
        <f t="shared" ref="I13:K13" si="9">I9-I11-I12</f>
        <v>-168.77022865268805</v>
      </c>
      <c r="J13" s="6">
        <f t="shared" si="9"/>
        <v>-163.77022865268805</v>
      </c>
      <c r="K13" s="15">
        <f t="shared" si="9"/>
        <v>-158.77022865268805</v>
      </c>
    </row>
    <row r="14" spans="1:25" x14ac:dyDescent="0.45">
      <c r="A14" s="14" t="s">
        <v>28</v>
      </c>
      <c r="B14" s="5" t="s">
        <v>29</v>
      </c>
      <c r="C14" s="41"/>
      <c r="D14" s="43">
        <v>6</v>
      </c>
      <c r="E14" s="6">
        <v>6</v>
      </c>
      <c r="F14" s="6">
        <v>6</v>
      </c>
      <c r="G14" s="6">
        <v>6</v>
      </c>
      <c r="H14" s="6">
        <v>6</v>
      </c>
      <c r="I14" s="6">
        <v>6</v>
      </c>
      <c r="J14" s="6">
        <v>6</v>
      </c>
      <c r="K14" s="15">
        <v>6</v>
      </c>
    </row>
    <row r="15" spans="1:25" x14ac:dyDescent="0.45">
      <c r="A15" s="17" t="s">
        <v>30</v>
      </c>
      <c r="B15" s="5" t="s">
        <v>31</v>
      </c>
      <c r="C15" s="41"/>
      <c r="D15" s="43">
        <v>290</v>
      </c>
      <c r="E15" s="6">
        <v>290</v>
      </c>
      <c r="F15" s="6">
        <v>290</v>
      </c>
      <c r="G15" s="6">
        <v>290</v>
      </c>
      <c r="H15" s="6">
        <v>290</v>
      </c>
      <c r="I15" s="6">
        <v>290</v>
      </c>
      <c r="J15" s="6">
        <v>290</v>
      </c>
      <c r="K15" s="15">
        <v>290</v>
      </c>
    </row>
    <row r="16" spans="1:25" x14ac:dyDescent="0.45">
      <c r="A16" s="18" t="s">
        <v>32</v>
      </c>
      <c r="B16" s="5" t="s">
        <v>33</v>
      </c>
      <c r="C16" s="41" t="s">
        <v>95</v>
      </c>
      <c r="D16" s="43">
        <f>D15*(D14-1)</f>
        <v>1450</v>
      </c>
      <c r="E16" s="6">
        <f>E15*(E14-1)</f>
        <v>1450</v>
      </c>
      <c r="F16" s="6">
        <f>F15*(F14-1)</f>
        <v>1450</v>
      </c>
      <c r="G16" s="6">
        <f>G15*(G14-1)</f>
        <v>1450</v>
      </c>
      <c r="H16" s="6">
        <f t="shared" ref="H16:K16" si="10">H15*(H14-1)</f>
        <v>1450</v>
      </c>
      <c r="I16" s="6">
        <f t="shared" si="10"/>
        <v>1450</v>
      </c>
      <c r="J16" s="6">
        <f t="shared" si="10"/>
        <v>1450</v>
      </c>
      <c r="K16" s="15">
        <f t="shared" si="10"/>
        <v>1450</v>
      </c>
    </row>
    <row r="17" spans="1:11" x14ac:dyDescent="0.45">
      <c r="A17" s="18" t="s">
        <v>34</v>
      </c>
      <c r="B17" s="5" t="s">
        <v>35</v>
      </c>
      <c r="C17" s="41" t="s">
        <v>96</v>
      </c>
      <c r="D17" s="63">
        <f>10*LOG(D16)</f>
        <v>31.613680022349747</v>
      </c>
      <c r="E17" s="64">
        <f>10*LOG(E16)</f>
        <v>31.613680022349747</v>
      </c>
      <c r="F17" s="64">
        <f>10*LOG(F16)</f>
        <v>31.613680022349747</v>
      </c>
      <c r="G17" s="64">
        <f>10*LOG(G16)</f>
        <v>31.613680022349747</v>
      </c>
      <c r="H17" s="64">
        <f t="shared" ref="H17:K17" si="11">10*LOG(H16)</f>
        <v>31.613680022349747</v>
      </c>
      <c r="I17" s="64">
        <f t="shared" si="11"/>
        <v>31.613680022349747</v>
      </c>
      <c r="J17" s="64">
        <f t="shared" si="11"/>
        <v>31.613680022349747</v>
      </c>
      <c r="K17" s="65">
        <f t="shared" si="11"/>
        <v>31.613680022349747</v>
      </c>
    </row>
    <row r="18" spans="1:11" x14ac:dyDescent="0.45">
      <c r="A18" s="14" t="s">
        <v>52</v>
      </c>
      <c r="B18" s="5" t="s">
        <v>36</v>
      </c>
      <c r="C18" s="41"/>
      <c r="D18" s="43">
        <v>3.5</v>
      </c>
      <c r="E18" s="6">
        <v>3.5</v>
      </c>
      <c r="F18" s="6">
        <v>3.5</v>
      </c>
      <c r="G18" s="6">
        <v>3.5</v>
      </c>
      <c r="H18" s="6">
        <v>3.5</v>
      </c>
      <c r="I18" s="6">
        <v>3.5</v>
      </c>
      <c r="J18" s="6">
        <v>3.5</v>
      </c>
      <c r="K18" s="15">
        <v>3.5</v>
      </c>
    </row>
    <row r="19" spans="1:11" x14ac:dyDescent="0.45">
      <c r="A19" s="18" t="s">
        <v>37</v>
      </c>
      <c r="B19" s="5" t="s">
        <v>38</v>
      </c>
      <c r="C19" s="41" t="s">
        <v>99</v>
      </c>
      <c r="D19" s="76">
        <f t="shared" ref="D19:K19" si="12">D18-D17</f>
        <v>-28.113680022349747</v>
      </c>
      <c r="E19" s="77">
        <f t="shared" si="12"/>
        <v>-28.113680022349747</v>
      </c>
      <c r="F19" s="77">
        <f t="shared" si="12"/>
        <v>-28.113680022349747</v>
      </c>
      <c r="G19" s="77">
        <f t="shared" si="12"/>
        <v>-28.113680022349747</v>
      </c>
      <c r="H19" s="77">
        <f t="shared" si="12"/>
        <v>-28.113680022349747</v>
      </c>
      <c r="I19" s="77">
        <f t="shared" si="12"/>
        <v>-28.113680022349747</v>
      </c>
      <c r="J19" s="77">
        <f t="shared" si="12"/>
        <v>-28.113680022349747</v>
      </c>
      <c r="K19" s="78">
        <f t="shared" si="12"/>
        <v>-28.113680022349747</v>
      </c>
    </row>
    <row r="20" spans="1:11" x14ac:dyDescent="0.45">
      <c r="A20" s="17" t="s">
        <v>39</v>
      </c>
      <c r="B20" s="5" t="s">
        <v>40</v>
      </c>
      <c r="C20" s="41"/>
      <c r="D20" s="43">
        <v>0.5</v>
      </c>
      <c r="E20" s="6">
        <v>0.5</v>
      </c>
      <c r="F20" s="6">
        <v>0.5</v>
      </c>
      <c r="G20" s="6">
        <v>0.5</v>
      </c>
      <c r="H20" s="6">
        <v>0.5</v>
      </c>
      <c r="I20" s="6">
        <v>0.5</v>
      </c>
      <c r="J20" s="6">
        <v>0.5</v>
      </c>
      <c r="K20" s="15">
        <v>0.5</v>
      </c>
    </row>
    <row r="21" spans="1:11" ht="14.65" thickBot="1" x14ac:dyDescent="0.5">
      <c r="A21" s="48" t="s">
        <v>43</v>
      </c>
      <c r="B21" s="49" t="s">
        <v>44</v>
      </c>
      <c r="C21" s="50" t="s">
        <v>117</v>
      </c>
      <c r="D21" s="75">
        <f>10*LOG(1.38E-23)</f>
        <v>-228.60120913598763</v>
      </c>
      <c r="E21" s="75">
        <f t="shared" ref="E21:K21" si="13">10*LOG(1.38E-23)</f>
        <v>-228.60120913598763</v>
      </c>
      <c r="F21" s="75">
        <f t="shared" si="13"/>
        <v>-228.60120913598763</v>
      </c>
      <c r="G21" s="75">
        <f t="shared" si="13"/>
        <v>-228.60120913598763</v>
      </c>
      <c r="H21" s="75">
        <f t="shared" si="13"/>
        <v>-228.60120913598763</v>
      </c>
      <c r="I21" s="75">
        <f t="shared" si="13"/>
        <v>-228.60120913598763</v>
      </c>
      <c r="J21" s="75">
        <f t="shared" si="13"/>
        <v>-228.60120913598763</v>
      </c>
      <c r="K21" s="85">
        <f t="shared" si="13"/>
        <v>-228.60120913598763</v>
      </c>
    </row>
    <row r="22" spans="1:11" ht="21.4" thickBot="1" x14ac:dyDescent="0.7">
      <c r="A22" s="128" t="s">
        <v>104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30"/>
    </row>
    <row r="23" spans="1:11" x14ac:dyDescent="0.45">
      <c r="A23" s="51" t="s">
        <v>86</v>
      </c>
      <c r="B23" s="52" t="s">
        <v>72</v>
      </c>
      <c r="C23" s="53" t="s">
        <v>110</v>
      </c>
      <c r="D23" s="69">
        <f t="shared" ref="D23:K23" si="14">-(D19-D21-D20)</f>
        <v>-199.98752911363789</v>
      </c>
      <c r="E23" s="70">
        <f t="shared" si="14"/>
        <v>-199.98752911363789</v>
      </c>
      <c r="F23" s="70">
        <f t="shared" si="14"/>
        <v>-199.98752911363789</v>
      </c>
      <c r="G23" s="71">
        <f t="shared" si="14"/>
        <v>-199.98752911363789</v>
      </c>
      <c r="H23" s="69">
        <f t="shared" si="14"/>
        <v>-199.98752911363789</v>
      </c>
      <c r="I23" s="70">
        <f t="shared" si="14"/>
        <v>-199.98752911363789</v>
      </c>
      <c r="J23" s="70">
        <f t="shared" si="14"/>
        <v>-199.98752911363789</v>
      </c>
      <c r="K23" s="71">
        <f t="shared" si="14"/>
        <v>-199.98752911363789</v>
      </c>
    </row>
    <row r="24" spans="1:11" x14ac:dyDescent="0.45">
      <c r="A24" s="33" t="s">
        <v>73</v>
      </c>
      <c r="B24" s="26" t="s">
        <v>74</v>
      </c>
      <c r="C24" s="44"/>
      <c r="D24" s="72">
        <v>31250</v>
      </c>
      <c r="E24" s="73">
        <v>31250</v>
      </c>
      <c r="F24" s="73">
        <v>31250</v>
      </c>
      <c r="G24" s="74">
        <v>31250</v>
      </c>
      <c r="H24" s="72">
        <v>125000</v>
      </c>
      <c r="I24" s="72">
        <v>125000</v>
      </c>
      <c r="J24" s="72">
        <v>125000</v>
      </c>
      <c r="K24" s="86">
        <v>125000</v>
      </c>
    </row>
    <row r="25" spans="1:11" x14ac:dyDescent="0.45">
      <c r="A25" s="33" t="s">
        <v>88</v>
      </c>
      <c r="B25" s="26" t="s">
        <v>76</v>
      </c>
      <c r="C25" s="44"/>
      <c r="D25" s="47">
        <f t="shared" ref="D25" si="15">4/8</f>
        <v>0.5</v>
      </c>
      <c r="E25" s="28">
        <f t="shared" ref="E25:G25" si="16">4/8</f>
        <v>0.5</v>
      </c>
      <c r="F25" s="28">
        <f t="shared" si="16"/>
        <v>0.5</v>
      </c>
      <c r="G25" s="32">
        <f t="shared" si="16"/>
        <v>0.5</v>
      </c>
      <c r="H25" s="47">
        <f>4/8</f>
        <v>0.5</v>
      </c>
      <c r="I25" s="28">
        <f t="shared" ref="I25:K25" si="17">4/8</f>
        <v>0.5</v>
      </c>
      <c r="J25" s="28">
        <f t="shared" si="17"/>
        <v>0.5</v>
      </c>
      <c r="K25" s="32">
        <f t="shared" si="17"/>
        <v>0.5</v>
      </c>
    </row>
    <row r="26" spans="1:11" x14ac:dyDescent="0.45">
      <c r="A26" s="33" t="s">
        <v>77</v>
      </c>
      <c r="B26" s="26" t="s">
        <v>78</v>
      </c>
      <c r="C26" s="44"/>
      <c r="D26" s="47">
        <v>10</v>
      </c>
      <c r="E26" s="28">
        <v>10</v>
      </c>
      <c r="F26" s="28">
        <v>10</v>
      </c>
      <c r="G26" s="32">
        <v>10</v>
      </c>
      <c r="H26" s="47">
        <v>12</v>
      </c>
      <c r="I26" s="28">
        <v>12</v>
      </c>
      <c r="J26" s="28">
        <v>12</v>
      </c>
      <c r="K26" s="32">
        <v>12</v>
      </c>
    </row>
    <row r="27" spans="1:11" x14ac:dyDescent="0.45">
      <c r="A27" s="31" t="s">
        <v>79</v>
      </c>
      <c r="B27" s="26" t="s">
        <v>89</v>
      </c>
      <c r="C27" s="44" t="s">
        <v>111</v>
      </c>
      <c r="D27" s="66">
        <f t="shared" ref="D27:K27" si="18">D26*D24/(2^D26)</f>
        <v>305.17578125</v>
      </c>
      <c r="E27" s="67">
        <f t="shared" si="18"/>
        <v>305.17578125</v>
      </c>
      <c r="F27" s="67">
        <f t="shared" si="18"/>
        <v>305.17578125</v>
      </c>
      <c r="G27" s="68">
        <f t="shared" si="18"/>
        <v>305.17578125</v>
      </c>
      <c r="H27" s="66">
        <f t="shared" si="18"/>
        <v>366.2109375</v>
      </c>
      <c r="I27" s="67">
        <f t="shared" si="18"/>
        <v>366.2109375</v>
      </c>
      <c r="J27" s="67">
        <f t="shared" si="18"/>
        <v>366.2109375</v>
      </c>
      <c r="K27" s="68">
        <f t="shared" si="18"/>
        <v>366.2109375</v>
      </c>
    </row>
    <row r="28" spans="1:11" x14ac:dyDescent="0.45">
      <c r="A28" s="31" t="s">
        <v>80</v>
      </c>
      <c r="B28" s="26" t="s">
        <v>90</v>
      </c>
      <c r="C28" s="44" t="s">
        <v>112</v>
      </c>
      <c r="D28" s="66">
        <f t="shared" ref="D28:K28" si="19">D27*D25</f>
        <v>152.587890625</v>
      </c>
      <c r="E28" s="67">
        <f t="shared" si="19"/>
        <v>152.587890625</v>
      </c>
      <c r="F28" s="67">
        <f t="shared" si="19"/>
        <v>152.587890625</v>
      </c>
      <c r="G28" s="68">
        <f t="shared" si="19"/>
        <v>152.587890625</v>
      </c>
      <c r="H28" s="66">
        <f t="shared" si="19"/>
        <v>183.10546875</v>
      </c>
      <c r="I28" s="67">
        <f t="shared" si="19"/>
        <v>183.10546875</v>
      </c>
      <c r="J28" s="67">
        <f t="shared" si="19"/>
        <v>183.10546875</v>
      </c>
      <c r="K28" s="68">
        <f t="shared" si="19"/>
        <v>183.10546875</v>
      </c>
    </row>
    <row r="29" spans="1:11" x14ac:dyDescent="0.45">
      <c r="A29" s="31" t="s">
        <v>81</v>
      </c>
      <c r="B29" s="27" t="s">
        <v>85</v>
      </c>
      <c r="C29" s="45" t="s">
        <v>113</v>
      </c>
      <c r="D29" s="47">
        <f t="shared" ref="D29:K29" si="20">D27/D24</f>
        <v>9.765625E-3</v>
      </c>
      <c r="E29" s="28">
        <f t="shared" si="20"/>
        <v>9.765625E-3</v>
      </c>
      <c r="F29" s="28">
        <f t="shared" si="20"/>
        <v>9.765625E-3</v>
      </c>
      <c r="G29" s="32">
        <f t="shared" si="20"/>
        <v>9.765625E-3</v>
      </c>
      <c r="H29" s="46">
        <f t="shared" si="20"/>
        <v>2.9296875E-3</v>
      </c>
      <c r="I29" s="28">
        <f t="shared" si="20"/>
        <v>2.9296875E-3</v>
      </c>
      <c r="J29" s="28">
        <f t="shared" si="20"/>
        <v>2.9296875E-3</v>
      </c>
      <c r="K29" s="32">
        <f t="shared" si="20"/>
        <v>2.9296875E-3</v>
      </c>
    </row>
    <row r="30" spans="1:11" x14ac:dyDescent="0.45">
      <c r="A30" s="31" t="s">
        <v>87</v>
      </c>
      <c r="B30" s="26" t="s">
        <v>82</v>
      </c>
      <c r="C30" s="44" t="s">
        <v>114</v>
      </c>
      <c r="D30" s="66">
        <f t="shared" ref="D30:K30" si="21">D23+10*LOG10(D24)</f>
        <v>-155.03902889683695</v>
      </c>
      <c r="E30" s="67">
        <f t="shared" si="21"/>
        <v>-155.03902889683695</v>
      </c>
      <c r="F30" s="67">
        <f t="shared" si="21"/>
        <v>-155.03902889683695</v>
      </c>
      <c r="G30" s="68">
        <f t="shared" si="21"/>
        <v>-155.03902889683695</v>
      </c>
      <c r="H30" s="66">
        <f t="shared" si="21"/>
        <v>-149.01842898355733</v>
      </c>
      <c r="I30" s="67">
        <f t="shared" si="21"/>
        <v>-149.01842898355733</v>
      </c>
      <c r="J30" s="67">
        <f t="shared" si="21"/>
        <v>-149.01842898355733</v>
      </c>
      <c r="K30" s="68">
        <f t="shared" si="21"/>
        <v>-149.01842898355733</v>
      </c>
    </row>
    <row r="31" spans="1:11" x14ac:dyDescent="0.45">
      <c r="A31" s="31" t="s">
        <v>91</v>
      </c>
      <c r="B31" s="26" t="s">
        <v>83</v>
      </c>
      <c r="C31" s="44" t="s">
        <v>115</v>
      </c>
      <c r="D31" s="66">
        <f t="shared" ref="D31:K31" si="22">D13-D30</f>
        <v>-18.731199755851094</v>
      </c>
      <c r="E31" s="67">
        <f t="shared" si="22"/>
        <v>-13.731199755851094</v>
      </c>
      <c r="F31" s="67">
        <f t="shared" si="22"/>
        <v>-8.7311997558510939</v>
      </c>
      <c r="G31" s="68">
        <f t="shared" si="22"/>
        <v>-3.7311997558510939</v>
      </c>
      <c r="H31" s="66">
        <f t="shared" si="22"/>
        <v>-24.751799669130719</v>
      </c>
      <c r="I31" s="67">
        <f t="shared" si="22"/>
        <v>-19.751799669130719</v>
      </c>
      <c r="J31" s="67">
        <f t="shared" si="22"/>
        <v>-14.751799669130719</v>
      </c>
      <c r="K31" s="68">
        <f t="shared" si="22"/>
        <v>-9.7517996691307189</v>
      </c>
    </row>
    <row r="32" spans="1:11" ht="14.65" thickBot="1" x14ac:dyDescent="0.5">
      <c r="A32" s="22" t="s">
        <v>120</v>
      </c>
      <c r="B32" s="54" t="s">
        <v>84</v>
      </c>
      <c r="C32" s="55" t="s">
        <v>116</v>
      </c>
      <c r="D32" s="82">
        <f t="shared" ref="D32" si="23">D31+10*LOG10(D24/D28)</f>
        <v>4.3820997671868405</v>
      </c>
      <c r="E32" s="83">
        <f t="shared" ref="E32:G32" si="24">E31+10*LOG10(E24/E28)</f>
        <v>9.3820997671868405</v>
      </c>
      <c r="F32" s="83">
        <f t="shared" si="24"/>
        <v>14.38209976718684</v>
      </c>
      <c r="G32" s="84">
        <f t="shared" si="24"/>
        <v>19.38209976718684</v>
      </c>
      <c r="H32" s="82">
        <f>H31+10*LOG10(H24/H28)</f>
        <v>3.5902873067105894</v>
      </c>
      <c r="I32" s="83">
        <f t="shared" ref="I32:K32" si="25">I31+10*LOG10(I24/I28)</f>
        <v>8.5902873067105894</v>
      </c>
      <c r="J32" s="83">
        <f t="shared" si="25"/>
        <v>13.590287306710589</v>
      </c>
      <c r="K32" s="84">
        <f t="shared" si="25"/>
        <v>18.590287306710589</v>
      </c>
    </row>
    <row r="33" spans="1:11" ht="21.4" thickBot="1" x14ac:dyDescent="0.7">
      <c r="A33" s="128" t="s">
        <v>106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30"/>
    </row>
    <row r="34" spans="1:11" x14ac:dyDescent="0.45">
      <c r="A34" s="56" t="s">
        <v>105</v>
      </c>
      <c r="B34" s="57" t="s">
        <v>45</v>
      </c>
      <c r="C34" s="58" t="s">
        <v>102</v>
      </c>
      <c r="D34" s="60">
        <f t="shared" ref="D34:K34" si="26">D13+D19-D21-D20</f>
        <v>26.217300460949843</v>
      </c>
      <c r="E34" s="61">
        <f t="shared" si="26"/>
        <v>31.217300460949843</v>
      </c>
      <c r="F34" s="61">
        <f t="shared" si="26"/>
        <v>36.217300460949843</v>
      </c>
      <c r="G34" s="61">
        <f t="shared" si="26"/>
        <v>41.217300460949843</v>
      </c>
      <c r="H34" s="61">
        <f t="shared" si="26"/>
        <v>26.217300460949843</v>
      </c>
      <c r="I34" s="61">
        <f t="shared" si="26"/>
        <v>31.217300460949843</v>
      </c>
      <c r="J34" s="61">
        <f t="shared" si="26"/>
        <v>36.217300460949843</v>
      </c>
      <c r="K34" s="62">
        <f t="shared" si="26"/>
        <v>41.217300460949843</v>
      </c>
    </row>
    <row r="35" spans="1:11" x14ac:dyDescent="0.45">
      <c r="A35" s="14" t="s">
        <v>53</v>
      </c>
      <c r="B35" s="5" t="s">
        <v>46</v>
      </c>
      <c r="C35" s="41"/>
      <c r="D35" s="63">
        <v>152.6</v>
      </c>
      <c r="E35" s="64">
        <v>152.6</v>
      </c>
      <c r="F35" s="64">
        <v>152.6</v>
      </c>
      <c r="G35" s="64">
        <v>152.6</v>
      </c>
      <c r="H35" s="64">
        <v>183.1</v>
      </c>
      <c r="I35" s="64">
        <v>183.1</v>
      </c>
      <c r="J35" s="64">
        <v>183.1</v>
      </c>
      <c r="K35" s="65">
        <v>183.1</v>
      </c>
    </row>
    <row r="36" spans="1:11" ht="14.65" thickBot="1" x14ac:dyDescent="0.5">
      <c r="A36" s="22" t="s">
        <v>120</v>
      </c>
      <c r="B36" s="23" t="s">
        <v>47</v>
      </c>
      <c r="C36" s="59" t="s">
        <v>101</v>
      </c>
      <c r="D36" s="79">
        <f t="shared" ref="D36:K36" si="27">D34-(10*LOG(D35))</f>
        <v>4.3817551247612272</v>
      </c>
      <c r="E36" s="80">
        <f t="shared" si="27"/>
        <v>9.3817551247612272</v>
      </c>
      <c r="F36" s="80">
        <f t="shared" si="27"/>
        <v>14.381755124761227</v>
      </c>
      <c r="G36" s="80">
        <f t="shared" si="27"/>
        <v>19.381755124761227</v>
      </c>
      <c r="H36" s="80">
        <f t="shared" si="27"/>
        <v>3.5904170179328787</v>
      </c>
      <c r="I36" s="80">
        <f t="shared" si="27"/>
        <v>8.5904170179328787</v>
      </c>
      <c r="J36" s="80">
        <f t="shared" si="27"/>
        <v>13.590417017932879</v>
      </c>
      <c r="K36" s="81">
        <f t="shared" si="27"/>
        <v>18.590417017932879</v>
      </c>
    </row>
  </sheetData>
  <mergeCells count="10">
    <mergeCell ref="R2:U2"/>
    <mergeCell ref="V2:Y2"/>
    <mergeCell ref="A1:K1"/>
    <mergeCell ref="N2:Q2"/>
    <mergeCell ref="M1:Y1"/>
    <mergeCell ref="A22:K22"/>
    <mergeCell ref="A33:K33"/>
    <mergeCell ref="H2:K2"/>
    <mergeCell ref="D2:G2"/>
    <mergeCell ref="A2:C2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04E0571324F48941C2ED973B41B98" ma:contentTypeVersion="13" ma:contentTypeDescription="Create a new document." ma:contentTypeScope="" ma:versionID="528f4ac9a272011a22441668c7a15d7e">
  <xsd:schema xmlns:xsd="http://www.w3.org/2001/XMLSchema" xmlns:xs="http://www.w3.org/2001/XMLSchema" xmlns:p="http://schemas.microsoft.com/office/2006/metadata/properties" xmlns:ns3="2feb762b-24b5-433c-ba18-3a6f7cbfab69" xmlns:ns4="89aec279-af5f-459e-b8bc-30b625a62425" targetNamespace="http://schemas.microsoft.com/office/2006/metadata/properties" ma:root="true" ma:fieldsID="480cd9e8625ea5e9eaf4aa48e763e987" ns3:_="" ns4:_="">
    <xsd:import namespace="2feb762b-24b5-433c-ba18-3a6f7cbfab69"/>
    <xsd:import namespace="89aec279-af5f-459e-b8bc-30b625a624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b762b-24b5-433c-ba18-3a6f7cbfab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aec279-af5f-459e-b8bc-30b625a6242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3F4CF1-B3C7-442C-BCAC-18E929812B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A3E2F9-7A76-465D-BC26-C69C40B6C5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B06A4D-8415-4F40-8235-7BE343960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eb762b-24b5-433c-ba18-3a6f7cbfab69"/>
    <ds:schemaRef ds:uri="89aec279-af5f-459e-b8bc-30b625a62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 Link Budget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McKee</dc:creator>
  <cp:lastModifiedBy>Travis McKee</cp:lastModifiedBy>
  <dcterms:created xsi:type="dcterms:W3CDTF">2020-04-23T22:43:31Z</dcterms:created>
  <dcterms:modified xsi:type="dcterms:W3CDTF">2020-06-06T23:10:03Z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0x0101006B804E0571324F48941C2ED973B41B98</vt:lpwstr>
  </property>
</Properties>
</file>