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versesciencecom.sharepoint.com/sites/internal/Shared Documents/Projects/2023-01 OPN Consensus Paper/Resources/"/>
    </mc:Choice>
  </mc:AlternateContent>
  <xr:revisionPtr revIDLastSave="4638" documentId="8_{3BA4D520-3770-45F0-B60F-1DDE3BD462E0}" xr6:coauthVersionLast="47" xr6:coauthVersionMax="47" xr10:uidLastSave="{EC13427E-FB35-423C-9681-F4FCFC3E9B58}"/>
  <bookViews>
    <workbookView xWindow="23028" yWindow="-12" windowWidth="30744" windowHeight="16848" activeTab="1" xr2:uid="{71296BDD-7D9D-45D1-B5A0-688C5C5569D9}"/>
  </bookViews>
  <sheets>
    <sheet name="OPN Concentrations" sheetId="1" r:id="rId1"/>
    <sheet name="Variable Map" sheetId="9" r:id="rId2"/>
  </sheets>
  <definedNames>
    <definedName name="_xlnm._FilterDatabase" localSheetId="0" hidden="1">'OPN Concentrations'!$A$1:$AO$140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3" i="1" l="1"/>
  <c r="AL63" i="1"/>
  <c r="AM63" i="1"/>
  <c r="AN63" i="1"/>
  <c r="AO63" i="1"/>
  <c r="AJ64" i="1"/>
  <c r="AL64" i="1"/>
  <c r="AM64" i="1"/>
  <c r="AN64" i="1"/>
  <c r="AO64" i="1"/>
  <c r="AJ65" i="1"/>
  <c r="AL65" i="1"/>
  <c r="AM65" i="1"/>
  <c r="AN65" i="1"/>
  <c r="AO65" i="1"/>
  <c r="AJ66" i="1"/>
  <c r="AL66" i="1"/>
  <c r="AM66" i="1"/>
  <c r="AN66" i="1"/>
  <c r="AO66" i="1"/>
  <c r="AO132" i="1"/>
  <c r="AO133" i="1"/>
  <c r="AO134" i="1"/>
  <c r="AO135" i="1"/>
  <c r="AO136" i="1"/>
  <c r="AO137" i="1"/>
  <c r="AO138" i="1"/>
  <c r="AO139" i="1"/>
  <c r="AO140" i="1"/>
  <c r="AN132" i="1"/>
  <c r="AN133" i="1"/>
  <c r="AN134" i="1"/>
  <c r="AN135" i="1"/>
  <c r="AN136" i="1"/>
  <c r="AN137" i="1"/>
  <c r="AN138" i="1"/>
  <c r="AN139" i="1"/>
  <c r="AN140" i="1"/>
  <c r="AM132" i="1"/>
  <c r="AM133" i="1"/>
  <c r="AM134" i="1"/>
  <c r="AM135" i="1"/>
  <c r="AM136" i="1"/>
  <c r="AM137" i="1"/>
  <c r="AM138" i="1"/>
  <c r="AM139" i="1"/>
  <c r="AM140" i="1"/>
  <c r="AL132" i="1"/>
  <c r="AL133" i="1"/>
  <c r="AL134" i="1"/>
  <c r="AL135" i="1"/>
  <c r="AL136" i="1"/>
  <c r="AL137" i="1"/>
  <c r="AL138" i="1"/>
  <c r="AL139" i="1"/>
  <c r="AL140" i="1"/>
  <c r="AJ132" i="1"/>
  <c r="AJ133" i="1"/>
  <c r="AJ134" i="1"/>
  <c r="AJ135" i="1"/>
  <c r="AJ136" i="1"/>
  <c r="AJ137" i="1"/>
  <c r="AJ138" i="1"/>
  <c r="AJ139" i="1"/>
  <c r="AJ140" i="1"/>
  <c r="P137" i="1"/>
  <c r="P136" i="1"/>
  <c r="P135" i="1"/>
  <c r="P133" i="1"/>
  <c r="AB113" i="1"/>
  <c r="AB112" i="1"/>
  <c r="AB111" i="1"/>
  <c r="AB109" i="1"/>
  <c r="AB108" i="1"/>
  <c r="AB107" i="1"/>
  <c r="AB106" i="1"/>
  <c r="AB104" i="1"/>
  <c r="AF104" i="1" s="1"/>
  <c r="AJ105" i="1"/>
  <c r="AJ104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01" i="1"/>
  <c r="AJ102" i="1"/>
  <c r="AJ103" i="1"/>
  <c r="AN101" i="1"/>
  <c r="AO101" i="1"/>
  <c r="AN102" i="1"/>
  <c r="AO102" i="1"/>
  <c r="AN103" i="1"/>
  <c r="AO103" i="1"/>
  <c r="AL114" i="1"/>
  <c r="AM114" i="1"/>
  <c r="AN114" i="1"/>
  <c r="AO114" i="1"/>
  <c r="AL115" i="1"/>
  <c r="AM115" i="1"/>
  <c r="AN115" i="1"/>
  <c r="AO115" i="1"/>
  <c r="AL116" i="1"/>
  <c r="AM116" i="1"/>
  <c r="AN116" i="1"/>
  <c r="AO116" i="1"/>
  <c r="AL117" i="1"/>
  <c r="AM117" i="1"/>
  <c r="AN117" i="1"/>
  <c r="AO117" i="1"/>
  <c r="AL118" i="1"/>
  <c r="AM118" i="1"/>
  <c r="AN118" i="1"/>
  <c r="AO118" i="1"/>
  <c r="AL119" i="1"/>
  <c r="AM119" i="1"/>
  <c r="AN119" i="1"/>
  <c r="AO119" i="1"/>
  <c r="AL120" i="1"/>
  <c r="AM120" i="1"/>
  <c r="AN120" i="1"/>
  <c r="AO120" i="1"/>
  <c r="AL121" i="1"/>
  <c r="AM121" i="1"/>
  <c r="AN121" i="1"/>
  <c r="AO121" i="1"/>
  <c r="AL122" i="1"/>
  <c r="AM122" i="1"/>
  <c r="AN122" i="1"/>
  <c r="AO122" i="1"/>
  <c r="AL123" i="1"/>
  <c r="AM123" i="1"/>
  <c r="AN123" i="1"/>
  <c r="AO123" i="1"/>
  <c r="AL127" i="1"/>
  <c r="AM127" i="1"/>
  <c r="AN127" i="1"/>
  <c r="AO127" i="1"/>
  <c r="AL128" i="1"/>
  <c r="AM128" i="1"/>
  <c r="AN128" i="1"/>
  <c r="AO128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N73" i="1"/>
  <c r="AO73" i="1"/>
  <c r="AL73" i="1"/>
  <c r="AJ44" i="1"/>
  <c r="AD125" i="1"/>
  <c r="AM125" i="1" s="1"/>
  <c r="AD126" i="1"/>
  <c r="AM126" i="1" s="1"/>
  <c r="AD124" i="1"/>
  <c r="AM124" i="1" s="1"/>
  <c r="AC125" i="1"/>
  <c r="AL125" i="1" s="1"/>
  <c r="AC126" i="1"/>
  <c r="AL126" i="1" s="1"/>
  <c r="AC124" i="1"/>
  <c r="AL124" i="1" s="1"/>
  <c r="AB124" i="1"/>
  <c r="AF124" i="1" s="1"/>
  <c r="AN124" i="1" s="1"/>
  <c r="AB125" i="1"/>
  <c r="AF125" i="1" s="1"/>
  <c r="AN125" i="1" s="1"/>
  <c r="AB126" i="1"/>
  <c r="AF126" i="1" s="1"/>
  <c r="AN126" i="1" s="1"/>
  <c r="S115" i="1"/>
  <c r="AD105" i="1"/>
  <c r="AM105" i="1" s="1"/>
  <c r="AD110" i="1"/>
  <c r="AM110" i="1" s="1"/>
  <c r="AC105" i="1"/>
  <c r="AL105" i="1" s="1"/>
  <c r="AC110" i="1"/>
  <c r="AL110" i="1" s="1"/>
  <c r="AG105" i="1"/>
  <c r="AO105" i="1" s="1"/>
  <c r="AG110" i="1"/>
  <c r="AO110" i="1" s="1"/>
  <c r="Z113" i="1"/>
  <c r="AD113" i="1" s="1"/>
  <c r="AM113" i="1" s="1"/>
  <c r="Z112" i="1"/>
  <c r="AD112" i="1" s="1"/>
  <c r="AM112" i="1" s="1"/>
  <c r="Z111" i="1"/>
  <c r="Z109" i="1"/>
  <c r="AD109" i="1" s="1"/>
  <c r="AM109" i="1" s="1"/>
  <c r="Z108" i="1"/>
  <c r="AD108" i="1" s="1"/>
  <c r="AM108" i="1" s="1"/>
  <c r="Z107" i="1"/>
  <c r="AC107" i="1" s="1"/>
  <c r="AL107" i="1" s="1"/>
  <c r="Z106" i="1"/>
  <c r="AD106" i="1" s="1"/>
  <c r="AM106" i="1" s="1"/>
  <c r="Z104" i="1"/>
  <c r="AD101" i="1"/>
  <c r="AM101" i="1" s="1"/>
  <c r="AD102" i="1"/>
  <c r="AM102" i="1" s="1"/>
  <c r="AD103" i="1"/>
  <c r="AM103" i="1" s="1"/>
  <c r="AC101" i="1"/>
  <c r="AL101" i="1" s="1"/>
  <c r="AC102" i="1"/>
  <c r="AL102" i="1" s="1"/>
  <c r="AC103" i="1"/>
  <c r="AL103" i="1" s="1"/>
  <c r="Z100" i="1"/>
  <c r="AB100" i="1" s="1"/>
  <c r="Z99" i="1"/>
  <c r="AB99" i="1" s="1"/>
  <c r="AG99" i="1" s="1"/>
  <c r="AO99" i="1" s="1"/>
  <c r="Z98" i="1"/>
  <c r="AD98" i="1" s="1"/>
  <c r="AM98" i="1" s="1"/>
  <c r="Z97" i="1"/>
  <c r="AD97" i="1" s="1"/>
  <c r="AM97" i="1" s="1"/>
  <c r="Z96" i="1"/>
  <c r="AB96" i="1" s="1"/>
  <c r="AG96" i="1" s="1"/>
  <c r="AO96" i="1" s="1"/>
  <c r="Z95" i="1"/>
  <c r="AD95" i="1" s="1"/>
  <c r="AM95" i="1" s="1"/>
  <c r="Z94" i="1"/>
  <c r="AD94" i="1" s="1"/>
  <c r="AM94" i="1" s="1"/>
  <c r="Z93" i="1"/>
  <c r="AB93" i="1" s="1"/>
  <c r="AF93" i="1" s="1"/>
  <c r="AN93" i="1" s="1"/>
  <c r="Z92" i="1"/>
  <c r="AD92" i="1" s="1"/>
  <c r="AM92" i="1" s="1"/>
  <c r="Z91" i="1"/>
  <c r="AB91" i="1" s="1"/>
  <c r="AG91" i="1" s="1"/>
  <c r="AO91" i="1" s="1"/>
  <c r="Z90" i="1"/>
  <c r="AB90" i="1" s="1"/>
  <c r="AG90" i="1" s="1"/>
  <c r="AO90" i="1" s="1"/>
  <c r="Z89" i="1"/>
  <c r="AB89" i="1" s="1"/>
  <c r="AG89" i="1" s="1"/>
  <c r="AO89" i="1" s="1"/>
  <c r="Z88" i="1"/>
  <c r="AC88" i="1" s="1"/>
  <c r="AL88" i="1" s="1"/>
  <c r="Z87" i="1"/>
  <c r="AB87" i="1" s="1"/>
  <c r="AG87" i="1" s="1"/>
  <c r="AO87" i="1" s="1"/>
  <c r="Z86" i="1"/>
  <c r="AC86" i="1" s="1"/>
  <c r="AL86" i="1" s="1"/>
  <c r="Z85" i="1"/>
  <c r="AB85" i="1" s="1"/>
  <c r="AG85" i="1" s="1"/>
  <c r="AO85" i="1" s="1"/>
  <c r="Z84" i="1"/>
  <c r="AB84" i="1" s="1"/>
  <c r="AF84" i="1" s="1"/>
  <c r="AN84" i="1" s="1"/>
  <c r="Z83" i="1"/>
  <c r="AD83" i="1" s="1"/>
  <c r="AM83" i="1" s="1"/>
  <c r="Z82" i="1"/>
  <c r="AC82" i="1" s="1"/>
  <c r="AL82" i="1" s="1"/>
  <c r="Z81" i="1"/>
  <c r="AD81" i="1" s="1"/>
  <c r="AM81" i="1" s="1"/>
  <c r="Z80" i="1"/>
  <c r="AB80" i="1" s="1"/>
  <c r="Z79" i="1"/>
  <c r="AC79" i="1" s="1"/>
  <c r="AL79" i="1" s="1"/>
  <c r="Z78" i="1"/>
  <c r="AD78" i="1" s="1"/>
  <c r="AM78" i="1" s="1"/>
  <c r="Z77" i="1"/>
  <c r="AD77" i="1" s="1"/>
  <c r="AM77" i="1" s="1"/>
  <c r="Z76" i="1"/>
  <c r="AC76" i="1" s="1"/>
  <c r="AL76" i="1" s="1"/>
  <c r="Z75" i="1"/>
  <c r="AC75" i="1" s="1"/>
  <c r="AL75" i="1" s="1"/>
  <c r="Z74" i="1"/>
  <c r="AD74" i="1" s="1"/>
  <c r="AM74" i="1" s="1"/>
  <c r="AJ33" i="1"/>
  <c r="AJ34" i="1"/>
  <c r="AJ35" i="1"/>
  <c r="AJ36" i="1"/>
  <c r="AJ37" i="1"/>
  <c r="AJ38" i="1"/>
  <c r="AJ39" i="1"/>
  <c r="AJ40" i="1"/>
  <c r="AJ41" i="1"/>
  <c r="AJ42" i="1"/>
  <c r="AJ43" i="1"/>
  <c r="AD33" i="1"/>
  <c r="AM33" i="1" s="1"/>
  <c r="AD34" i="1"/>
  <c r="AM34" i="1" s="1"/>
  <c r="AD37" i="1"/>
  <c r="AM37" i="1" s="1"/>
  <c r="AD38" i="1"/>
  <c r="AM38" i="1" s="1"/>
  <c r="AD41" i="1"/>
  <c r="AM41" i="1" s="1"/>
  <c r="AD42" i="1"/>
  <c r="AM42" i="1" s="1"/>
  <c r="AC33" i="1"/>
  <c r="AL33" i="1" s="1"/>
  <c r="AC34" i="1"/>
  <c r="AL34" i="1" s="1"/>
  <c r="AC37" i="1"/>
  <c r="AL37" i="1" s="1"/>
  <c r="AC38" i="1"/>
  <c r="AL38" i="1" s="1"/>
  <c r="AC41" i="1"/>
  <c r="AL41" i="1" s="1"/>
  <c r="AC42" i="1"/>
  <c r="AL42" i="1" s="1"/>
  <c r="AB33" i="1"/>
  <c r="AB34" i="1"/>
  <c r="AB37" i="1"/>
  <c r="AB38" i="1"/>
  <c r="AB41" i="1"/>
  <c r="AB42" i="1"/>
  <c r="Z44" i="1"/>
  <c r="AD44" i="1" s="1"/>
  <c r="AM44" i="1" s="1"/>
  <c r="Z43" i="1"/>
  <c r="AC43" i="1" s="1"/>
  <c r="AL43" i="1" s="1"/>
  <c r="Z40" i="1"/>
  <c r="AD40" i="1" s="1"/>
  <c r="AM40" i="1" s="1"/>
  <c r="Z39" i="1"/>
  <c r="Z36" i="1"/>
  <c r="AD36" i="1" s="1"/>
  <c r="AM36" i="1" s="1"/>
  <c r="Z35" i="1"/>
  <c r="AB35" i="1" s="1"/>
  <c r="P44" i="1"/>
  <c r="P43" i="1"/>
  <c r="P42" i="1"/>
  <c r="P41" i="1"/>
  <c r="P40" i="1"/>
  <c r="P39" i="1"/>
  <c r="P38" i="1"/>
  <c r="P37" i="1"/>
  <c r="P36" i="1"/>
  <c r="P35" i="1"/>
  <c r="P34" i="1"/>
  <c r="P33" i="1"/>
  <c r="AO12" i="1"/>
  <c r="AO13" i="1"/>
  <c r="AO14" i="1"/>
  <c r="AO17" i="1"/>
  <c r="AO18" i="1"/>
  <c r="AO19" i="1"/>
  <c r="AN12" i="1"/>
  <c r="AN13" i="1"/>
  <c r="AN14" i="1"/>
  <c r="AN17" i="1"/>
  <c r="AN18" i="1"/>
  <c r="AN19" i="1"/>
  <c r="AM12" i="1"/>
  <c r="AM13" i="1"/>
  <c r="AM14" i="1"/>
  <c r="AM17" i="1"/>
  <c r="AM18" i="1"/>
  <c r="AM19" i="1"/>
  <c r="AL12" i="1"/>
  <c r="AL13" i="1"/>
  <c r="AL14" i="1"/>
  <c r="AL17" i="1"/>
  <c r="AL18" i="1"/>
  <c r="AL19" i="1"/>
  <c r="AJ12" i="1"/>
  <c r="AJ13" i="1"/>
  <c r="AJ14" i="1"/>
  <c r="AJ17" i="1"/>
  <c r="AJ18" i="1"/>
  <c r="AJ19" i="1"/>
  <c r="P19" i="1"/>
  <c r="P18" i="1"/>
  <c r="P17" i="1"/>
  <c r="P14" i="1"/>
  <c r="P13" i="1"/>
  <c r="P12" i="1"/>
  <c r="Z4" i="1"/>
  <c r="AC4" i="1" s="1"/>
  <c r="AL4" i="1" s="1"/>
  <c r="Z3" i="1"/>
  <c r="AD3" i="1" s="1"/>
  <c r="AM3" i="1" s="1"/>
  <c r="Z2" i="1"/>
  <c r="AC2" i="1" s="1"/>
  <c r="AL2" i="1" s="1"/>
  <c r="AJ5" i="1"/>
  <c r="AJ6" i="1"/>
  <c r="AJ7" i="1"/>
  <c r="AJ8" i="1"/>
  <c r="AJ9" i="1"/>
  <c r="AJ2" i="1"/>
  <c r="AJ3" i="1"/>
  <c r="AJ4" i="1"/>
  <c r="AO11" i="1"/>
  <c r="AO15" i="1"/>
  <c r="AO16" i="1"/>
  <c r="AO20" i="1"/>
  <c r="AO70" i="1"/>
  <c r="AO71" i="1"/>
  <c r="AO72" i="1"/>
  <c r="AN11" i="1"/>
  <c r="AN15" i="1"/>
  <c r="AN16" i="1"/>
  <c r="AN20" i="1"/>
  <c r="AN70" i="1"/>
  <c r="AN71" i="1"/>
  <c r="AN72" i="1"/>
  <c r="AM11" i="1"/>
  <c r="AM15" i="1"/>
  <c r="AM16" i="1"/>
  <c r="AM20" i="1"/>
  <c r="AM70" i="1"/>
  <c r="AM71" i="1"/>
  <c r="AM72" i="1"/>
  <c r="AM73" i="1"/>
  <c r="AL11" i="1"/>
  <c r="AL15" i="1"/>
  <c r="AL16" i="1"/>
  <c r="AL20" i="1"/>
  <c r="AL70" i="1"/>
  <c r="AL71" i="1"/>
  <c r="AL72" i="1"/>
  <c r="AB10" i="1"/>
  <c r="AG10" i="1" s="1"/>
  <c r="AO10" i="1" s="1"/>
  <c r="AB45" i="1"/>
  <c r="AG45" i="1" s="1"/>
  <c r="AO45" i="1" s="1"/>
  <c r="AB46" i="1"/>
  <c r="AG46" i="1" s="1"/>
  <c r="AO46" i="1" s="1"/>
  <c r="AB47" i="1"/>
  <c r="AG47" i="1" s="1"/>
  <c r="AO47" i="1" s="1"/>
  <c r="AB48" i="1"/>
  <c r="AF48" i="1" s="1"/>
  <c r="AN48" i="1" s="1"/>
  <c r="AB49" i="1"/>
  <c r="AG49" i="1" s="1"/>
  <c r="AO49" i="1" s="1"/>
  <c r="AB50" i="1"/>
  <c r="AG50" i="1" s="1"/>
  <c r="AO50" i="1" s="1"/>
  <c r="AB51" i="1"/>
  <c r="AG51" i="1" s="1"/>
  <c r="AO51" i="1" s="1"/>
  <c r="AB52" i="1"/>
  <c r="AG52" i="1" s="1"/>
  <c r="AO52" i="1" s="1"/>
  <c r="AB53" i="1"/>
  <c r="AG53" i="1" s="1"/>
  <c r="AO53" i="1" s="1"/>
  <c r="AB54" i="1"/>
  <c r="AG54" i="1" s="1"/>
  <c r="AO54" i="1" s="1"/>
  <c r="AB55" i="1"/>
  <c r="AG55" i="1" s="1"/>
  <c r="AO55" i="1" s="1"/>
  <c r="AB56" i="1"/>
  <c r="AG56" i="1" s="1"/>
  <c r="AO56" i="1" s="1"/>
  <c r="AB57" i="1"/>
  <c r="AG57" i="1" s="1"/>
  <c r="AO57" i="1" s="1"/>
  <c r="AB58" i="1"/>
  <c r="AG58" i="1" s="1"/>
  <c r="AO58" i="1" s="1"/>
  <c r="AB59" i="1"/>
  <c r="AG59" i="1" s="1"/>
  <c r="AO59" i="1" s="1"/>
  <c r="AB60" i="1"/>
  <c r="AG60" i="1" s="1"/>
  <c r="AO60" i="1" s="1"/>
  <c r="AB61" i="1"/>
  <c r="AG61" i="1" s="1"/>
  <c r="AO61" i="1" s="1"/>
  <c r="AB62" i="1"/>
  <c r="AF62" i="1" s="1"/>
  <c r="AN62" i="1" s="1"/>
  <c r="AJ10" i="1"/>
  <c r="AJ11" i="1"/>
  <c r="AJ15" i="1"/>
  <c r="AJ16" i="1"/>
  <c r="AJ20" i="1"/>
  <c r="AJ45" i="1"/>
  <c r="AJ46" i="1"/>
  <c r="AJ47" i="1"/>
  <c r="AJ48" i="1"/>
  <c r="AJ49" i="1"/>
  <c r="AJ5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7" i="1"/>
  <c r="AJ68" i="1"/>
  <c r="AJ69" i="1"/>
  <c r="AJ70" i="1"/>
  <c r="AJ71" i="1"/>
  <c r="AJ72" i="1"/>
  <c r="AJ73" i="1"/>
  <c r="AD46" i="1"/>
  <c r="AM46" i="1" s="1"/>
  <c r="AD47" i="1"/>
  <c r="AM47" i="1" s="1"/>
  <c r="AD48" i="1"/>
  <c r="AM48" i="1" s="1"/>
  <c r="AD49" i="1"/>
  <c r="AM49" i="1" s="1"/>
  <c r="AD50" i="1"/>
  <c r="AM50" i="1" s="1"/>
  <c r="AD51" i="1"/>
  <c r="AM51" i="1" s="1"/>
  <c r="AD52" i="1"/>
  <c r="AM52" i="1" s="1"/>
  <c r="AD53" i="1"/>
  <c r="AM53" i="1" s="1"/>
  <c r="AD54" i="1"/>
  <c r="AM54" i="1" s="1"/>
  <c r="AD55" i="1"/>
  <c r="AM55" i="1" s="1"/>
  <c r="AD56" i="1"/>
  <c r="AM56" i="1" s="1"/>
  <c r="AD57" i="1"/>
  <c r="AM57" i="1" s="1"/>
  <c r="AD58" i="1"/>
  <c r="AM58" i="1" s="1"/>
  <c r="AD59" i="1"/>
  <c r="AM59" i="1" s="1"/>
  <c r="AD60" i="1"/>
  <c r="AM60" i="1" s="1"/>
  <c r="AD61" i="1"/>
  <c r="AM61" i="1" s="1"/>
  <c r="AD62" i="1"/>
  <c r="AM62" i="1" s="1"/>
  <c r="AC46" i="1"/>
  <c r="AL46" i="1" s="1"/>
  <c r="AC47" i="1"/>
  <c r="AL47" i="1" s="1"/>
  <c r="AC48" i="1"/>
  <c r="AL48" i="1" s="1"/>
  <c r="AC49" i="1"/>
  <c r="AL49" i="1" s="1"/>
  <c r="AC50" i="1"/>
  <c r="AL50" i="1" s="1"/>
  <c r="AC51" i="1"/>
  <c r="AL51" i="1" s="1"/>
  <c r="AC52" i="1"/>
  <c r="AL52" i="1" s="1"/>
  <c r="AC53" i="1"/>
  <c r="AL53" i="1" s="1"/>
  <c r="AC54" i="1"/>
  <c r="AL54" i="1" s="1"/>
  <c r="AC55" i="1"/>
  <c r="AL55" i="1" s="1"/>
  <c r="AC56" i="1"/>
  <c r="AL56" i="1" s="1"/>
  <c r="AC57" i="1"/>
  <c r="AL57" i="1" s="1"/>
  <c r="AC58" i="1"/>
  <c r="AL58" i="1" s="1"/>
  <c r="AC59" i="1"/>
  <c r="AL59" i="1" s="1"/>
  <c r="AC60" i="1"/>
  <c r="AL60" i="1" s="1"/>
  <c r="AC61" i="1"/>
  <c r="AL61" i="1" s="1"/>
  <c r="AC62" i="1"/>
  <c r="AL62" i="1" s="1"/>
  <c r="AD45" i="1"/>
  <c r="AM45" i="1" s="1"/>
  <c r="AC45" i="1"/>
  <c r="AL45" i="1" s="1"/>
  <c r="AD10" i="1"/>
  <c r="AM10" i="1" s="1"/>
  <c r="AC10" i="1"/>
  <c r="AL10" i="1" s="1"/>
  <c r="Z69" i="1"/>
  <c r="AD69" i="1" s="1"/>
  <c r="AM69" i="1" s="1"/>
  <c r="Z68" i="1"/>
  <c r="AD68" i="1" s="1"/>
  <c r="AM68" i="1" s="1"/>
  <c r="Z67" i="1"/>
  <c r="AD67" i="1" s="1"/>
  <c r="AM67" i="1" s="1"/>
  <c r="P62" i="1"/>
  <c r="Z32" i="1"/>
  <c r="AD32" i="1" s="1"/>
  <c r="AM32" i="1" s="1"/>
  <c r="Z31" i="1"/>
  <c r="AC31" i="1" s="1"/>
  <c r="AL31" i="1" s="1"/>
  <c r="Z30" i="1"/>
  <c r="AD30" i="1" s="1"/>
  <c r="AM30" i="1" s="1"/>
  <c r="Z29" i="1"/>
  <c r="AC29" i="1" s="1"/>
  <c r="AL29" i="1" s="1"/>
  <c r="Z28" i="1"/>
  <c r="AD28" i="1" s="1"/>
  <c r="AM28" i="1" s="1"/>
  <c r="Z27" i="1"/>
  <c r="AC27" i="1" s="1"/>
  <c r="AL27" i="1" s="1"/>
  <c r="Z26" i="1"/>
  <c r="AD26" i="1" s="1"/>
  <c r="AM26" i="1" s="1"/>
  <c r="Z25" i="1"/>
  <c r="AC25" i="1" s="1"/>
  <c r="AL25" i="1" s="1"/>
  <c r="Z24" i="1"/>
  <c r="AD24" i="1" s="1"/>
  <c r="AM24" i="1" s="1"/>
  <c r="Z23" i="1"/>
  <c r="AC23" i="1" s="1"/>
  <c r="AL23" i="1" s="1"/>
  <c r="Z22" i="1"/>
  <c r="AD22" i="1" s="1"/>
  <c r="AM22" i="1" s="1"/>
  <c r="Z21" i="1"/>
  <c r="AC21" i="1" s="1"/>
  <c r="AL21" i="1" s="1"/>
  <c r="P32" i="1"/>
  <c r="P31" i="1"/>
  <c r="P30" i="1"/>
  <c r="P29" i="1"/>
  <c r="P28" i="1"/>
  <c r="P27" i="1"/>
  <c r="P26" i="1"/>
  <c r="P25" i="1"/>
  <c r="P24" i="1"/>
  <c r="P23" i="1"/>
  <c r="P22" i="1"/>
  <c r="P21" i="1"/>
  <c r="P58" i="1"/>
  <c r="P57" i="1"/>
  <c r="P56" i="1"/>
  <c r="P55" i="1"/>
  <c r="P54" i="1"/>
  <c r="P53" i="1"/>
  <c r="P52" i="1"/>
  <c r="P50" i="1"/>
  <c r="P49" i="1"/>
  <c r="P48" i="1"/>
  <c r="P47" i="1"/>
  <c r="S20" i="1"/>
  <c r="R20" i="1"/>
  <c r="S16" i="1"/>
  <c r="R16" i="1"/>
  <c r="S15" i="1"/>
  <c r="R15" i="1"/>
  <c r="P20" i="1"/>
  <c r="P16" i="1"/>
  <c r="P15" i="1"/>
  <c r="AC100" i="1" l="1"/>
  <c r="AL100" i="1" s="1"/>
  <c r="AC85" i="1"/>
  <c r="AL85" i="1" s="1"/>
  <c r="AD91" i="1"/>
  <c r="AM91" i="1" s="1"/>
  <c r="AB82" i="1"/>
  <c r="AG82" i="1" s="1"/>
  <c r="AO82" i="1" s="1"/>
  <c r="AC91" i="1"/>
  <c r="AL91" i="1" s="1"/>
  <c r="AD85" i="1"/>
  <c r="AM85" i="1" s="1"/>
  <c r="AB97" i="1"/>
  <c r="AF97" i="1" s="1"/>
  <c r="AN97" i="1" s="1"/>
  <c r="AC81" i="1"/>
  <c r="AL81" i="1" s="1"/>
  <c r="AD82" i="1"/>
  <c r="AM82" i="1" s="1"/>
  <c r="AC39" i="1"/>
  <c r="AL39" i="1" s="1"/>
  <c r="AD39" i="1"/>
  <c r="AM39" i="1" s="1"/>
  <c r="AC95" i="1"/>
  <c r="AL95" i="1" s="1"/>
  <c r="AD86" i="1"/>
  <c r="AM86" i="1" s="1"/>
  <c r="AB86" i="1"/>
  <c r="AG86" i="1" s="1"/>
  <c r="AO86" i="1" s="1"/>
  <c r="AD90" i="1"/>
  <c r="AM90" i="1" s="1"/>
  <c r="AC90" i="1"/>
  <c r="AL90" i="1" s="1"/>
  <c r="AB98" i="1"/>
  <c r="AF98" i="1" s="1"/>
  <c r="AN98" i="1" s="1"/>
  <c r="AC98" i="1"/>
  <c r="AL98" i="1" s="1"/>
  <c r="AD104" i="1"/>
  <c r="AM104" i="1" s="1"/>
  <c r="AC104" i="1"/>
  <c r="AL104" i="1" s="1"/>
  <c r="AG104" i="1"/>
  <c r="AO104" i="1" s="1"/>
  <c r="AB83" i="1"/>
  <c r="AG83" i="1" s="1"/>
  <c r="AO83" i="1" s="1"/>
  <c r="AC83" i="1"/>
  <c r="AL83" i="1" s="1"/>
  <c r="AC87" i="1"/>
  <c r="AL87" i="1" s="1"/>
  <c r="AD87" i="1"/>
  <c r="AM87" i="1" s="1"/>
  <c r="AD99" i="1"/>
  <c r="AM99" i="1" s="1"/>
  <c r="AC99" i="1"/>
  <c r="AL99" i="1" s="1"/>
  <c r="AD111" i="1"/>
  <c r="AM111" i="1" s="1"/>
  <c r="AC111" i="1"/>
  <c r="AL111" i="1" s="1"/>
  <c r="AG111" i="1"/>
  <c r="AO111" i="1" s="1"/>
  <c r="AG107" i="1"/>
  <c r="AO107" i="1" s="1"/>
  <c r="AD107" i="1"/>
  <c r="AM107" i="1" s="1"/>
  <c r="AB78" i="1"/>
  <c r="AG78" i="1" s="1"/>
  <c r="AO78" i="1" s="1"/>
  <c r="AC78" i="1"/>
  <c r="AL78" i="1" s="1"/>
  <c r="AD96" i="1"/>
  <c r="AM96" i="1" s="1"/>
  <c r="AD80" i="1"/>
  <c r="AM80" i="1" s="1"/>
  <c r="AB92" i="1"/>
  <c r="AF92" i="1" s="1"/>
  <c r="AN92" i="1" s="1"/>
  <c r="AB76" i="1"/>
  <c r="AG76" i="1" s="1"/>
  <c r="AO76" i="1" s="1"/>
  <c r="AC74" i="1"/>
  <c r="AL74" i="1" s="1"/>
  <c r="AB74" i="1"/>
  <c r="AG74" i="1" s="1"/>
  <c r="AO74" i="1" s="1"/>
  <c r="AC96" i="1"/>
  <c r="AL96" i="1" s="1"/>
  <c r="AD100" i="1"/>
  <c r="AM100" i="1" s="1"/>
  <c r="AD76" i="1"/>
  <c r="AM76" i="1" s="1"/>
  <c r="AG109" i="1"/>
  <c r="AO109" i="1" s="1"/>
  <c r="AD43" i="1"/>
  <c r="AM43" i="1" s="1"/>
  <c r="AB39" i="1"/>
  <c r="AF39" i="1" s="1"/>
  <c r="AN39" i="1" s="1"/>
  <c r="AC35" i="1"/>
  <c r="AL35" i="1" s="1"/>
  <c r="AB79" i="1"/>
  <c r="AG79" i="1" s="1"/>
  <c r="AO79" i="1" s="1"/>
  <c r="AB75" i="1"/>
  <c r="AG75" i="1" s="1"/>
  <c r="AO75" i="1" s="1"/>
  <c r="AC93" i="1"/>
  <c r="AL93" i="1" s="1"/>
  <c r="AC89" i="1"/>
  <c r="AL89" i="1" s="1"/>
  <c r="AC84" i="1"/>
  <c r="AL84" i="1" s="1"/>
  <c r="AC80" i="1"/>
  <c r="AL80" i="1" s="1"/>
  <c r="AD93" i="1"/>
  <c r="AM93" i="1" s="1"/>
  <c r="AD89" i="1"/>
  <c r="AM89" i="1" s="1"/>
  <c r="AD84" i="1"/>
  <c r="AM84" i="1" s="1"/>
  <c r="AD79" i="1"/>
  <c r="AM79" i="1" s="1"/>
  <c r="AD75" i="1"/>
  <c r="AM75" i="1" s="1"/>
  <c r="AG106" i="1"/>
  <c r="AO106" i="1" s="1"/>
  <c r="AC106" i="1"/>
  <c r="AL106" i="1" s="1"/>
  <c r="AC77" i="1"/>
  <c r="AL77" i="1" s="1"/>
  <c r="AB43" i="1"/>
  <c r="AG43" i="1" s="1"/>
  <c r="AO43" i="1" s="1"/>
  <c r="AD35" i="1"/>
  <c r="AM35" i="1" s="1"/>
  <c r="AC97" i="1"/>
  <c r="AL97" i="1" s="1"/>
  <c r="AC92" i="1"/>
  <c r="AL92" i="1" s="1"/>
  <c r="AF113" i="1"/>
  <c r="AN113" i="1" s="1"/>
  <c r="AC113" i="1"/>
  <c r="AL113" i="1" s="1"/>
  <c r="AC109" i="1"/>
  <c r="AL109" i="1" s="1"/>
  <c r="AB77" i="1"/>
  <c r="AF77" i="1" s="1"/>
  <c r="AN77" i="1" s="1"/>
  <c r="AG112" i="1"/>
  <c r="AO112" i="1" s="1"/>
  <c r="AG108" i="1"/>
  <c r="AO108" i="1" s="1"/>
  <c r="AC112" i="1"/>
  <c r="AL112" i="1" s="1"/>
  <c r="AC108" i="1"/>
  <c r="AL108" i="1" s="1"/>
  <c r="AF96" i="1"/>
  <c r="AN96" i="1" s="1"/>
  <c r="AG124" i="1"/>
  <c r="AO124" i="1" s="1"/>
  <c r="AG126" i="1"/>
  <c r="AO126" i="1" s="1"/>
  <c r="AG125" i="1"/>
  <c r="AO125" i="1" s="1"/>
  <c r="AF105" i="1"/>
  <c r="AN105" i="1" s="1"/>
  <c r="AF110" i="1"/>
  <c r="AN110" i="1" s="1"/>
  <c r="AG100" i="1"/>
  <c r="AO100" i="1" s="1"/>
  <c r="AF100" i="1"/>
  <c r="AN100" i="1" s="1"/>
  <c r="AF99" i="1"/>
  <c r="AN99" i="1" s="1"/>
  <c r="AB95" i="1"/>
  <c r="AB94" i="1"/>
  <c r="AG94" i="1" s="1"/>
  <c r="AO94" i="1" s="1"/>
  <c r="AC94" i="1"/>
  <c r="AL94" i="1" s="1"/>
  <c r="AB88" i="1"/>
  <c r="AF88" i="1" s="1"/>
  <c r="AN88" i="1" s="1"/>
  <c r="AD88" i="1"/>
  <c r="AM88" i="1" s="1"/>
  <c r="AF87" i="1"/>
  <c r="AN87" i="1" s="1"/>
  <c r="AG93" i="1"/>
  <c r="AO93" i="1" s="1"/>
  <c r="AG84" i="1"/>
  <c r="AO84" i="1" s="1"/>
  <c r="AF89" i="1"/>
  <c r="AN89" i="1" s="1"/>
  <c r="AF91" i="1"/>
  <c r="AN91" i="1" s="1"/>
  <c r="AF85" i="1"/>
  <c r="AN85" i="1" s="1"/>
  <c r="AF90" i="1"/>
  <c r="AN90" i="1" s="1"/>
  <c r="AB81" i="1"/>
  <c r="AF80" i="1"/>
  <c r="AN80" i="1" s="1"/>
  <c r="AG80" i="1"/>
  <c r="AO80" i="1" s="1"/>
  <c r="AF42" i="1"/>
  <c r="AN42" i="1" s="1"/>
  <c r="AF38" i="1"/>
  <c r="AN38" i="1" s="1"/>
  <c r="AF34" i="1"/>
  <c r="AN34" i="1" s="1"/>
  <c r="AG42" i="1"/>
  <c r="AO42" i="1" s="1"/>
  <c r="AG38" i="1"/>
  <c r="AO38" i="1" s="1"/>
  <c r="AG34" i="1"/>
  <c r="AO34" i="1" s="1"/>
  <c r="AF41" i="1"/>
  <c r="AN41" i="1" s="1"/>
  <c r="AF37" i="1"/>
  <c r="AN37" i="1" s="1"/>
  <c r="AF33" i="1"/>
  <c r="AN33" i="1" s="1"/>
  <c r="AG41" i="1"/>
  <c r="AO41" i="1" s="1"/>
  <c r="AG37" i="1"/>
  <c r="AO37" i="1" s="1"/>
  <c r="AG33" i="1"/>
  <c r="AO33" i="1" s="1"/>
  <c r="AF35" i="1"/>
  <c r="AN35" i="1" s="1"/>
  <c r="AG35" i="1"/>
  <c r="AO35" i="1" s="1"/>
  <c r="AB44" i="1"/>
  <c r="AB40" i="1"/>
  <c r="AB36" i="1"/>
  <c r="AC44" i="1"/>
  <c r="AL44" i="1" s="1"/>
  <c r="AC40" i="1"/>
  <c r="AL40" i="1" s="1"/>
  <c r="AC36" i="1"/>
  <c r="AL36" i="1" s="1"/>
  <c r="AB4" i="1"/>
  <c r="AB3" i="1"/>
  <c r="AC3" i="1"/>
  <c r="AL3" i="1" s="1"/>
  <c r="AD4" i="1"/>
  <c r="AM4" i="1" s="1"/>
  <c r="AB2" i="1"/>
  <c r="AD2" i="1"/>
  <c r="AM2" i="1" s="1"/>
  <c r="AB67" i="1"/>
  <c r="AB21" i="1"/>
  <c r="AB25" i="1"/>
  <c r="AB69" i="1"/>
  <c r="AB29" i="1"/>
  <c r="AB68" i="1"/>
  <c r="AB32" i="1"/>
  <c r="AB28" i="1"/>
  <c r="AB24" i="1"/>
  <c r="AB31" i="1"/>
  <c r="AB27" i="1"/>
  <c r="AB23" i="1"/>
  <c r="AB30" i="1"/>
  <c r="AB26" i="1"/>
  <c r="AB22" i="1"/>
  <c r="AF45" i="1"/>
  <c r="AN45" i="1" s="1"/>
  <c r="AF46" i="1"/>
  <c r="AN46" i="1" s="1"/>
  <c r="AF50" i="1"/>
  <c r="AN50" i="1" s="1"/>
  <c r="AF54" i="1"/>
  <c r="AN54" i="1" s="1"/>
  <c r="AF58" i="1"/>
  <c r="AN58" i="1" s="1"/>
  <c r="AF60" i="1"/>
  <c r="AN60" i="1" s="1"/>
  <c r="AF52" i="1"/>
  <c r="AN52" i="1" s="1"/>
  <c r="AF56" i="1"/>
  <c r="AN56" i="1" s="1"/>
  <c r="AG48" i="1"/>
  <c r="AO48" i="1" s="1"/>
  <c r="AG62" i="1"/>
  <c r="AO62" i="1" s="1"/>
  <c r="AF10" i="1"/>
  <c r="AN10" i="1" s="1"/>
  <c r="AF47" i="1"/>
  <c r="AN47" i="1" s="1"/>
  <c r="AF49" i="1"/>
  <c r="AN49" i="1" s="1"/>
  <c r="AF51" i="1"/>
  <c r="AN51" i="1" s="1"/>
  <c r="AF53" i="1"/>
  <c r="AN53" i="1" s="1"/>
  <c r="AF55" i="1"/>
  <c r="AN55" i="1" s="1"/>
  <c r="AF57" i="1"/>
  <c r="AN57" i="1" s="1"/>
  <c r="AF59" i="1"/>
  <c r="AN59" i="1" s="1"/>
  <c r="AF61" i="1"/>
  <c r="AN61" i="1" s="1"/>
  <c r="AC22" i="1"/>
  <c r="AD31" i="1"/>
  <c r="AD21" i="1"/>
  <c r="AD29" i="1"/>
  <c r="AC69" i="1"/>
  <c r="AC30" i="1"/>
  <c r="AD25" i="1"/>
  <c r="AC28" i="1"/>
  <c r="AD23" i="1"/>
  <c r="AM23" i="1" s="1"/>
  <c r="AC26" i="1"/>
  <c r="AC67" i="1"/>
  <c r="AC32" i="1"/>
  <c r="AC24" i="1"/>
  <c r="AD27" i="1"/>
  <c r="AC68" i="1"/>
  <c r="AF82" i="1" l="1"/>
  <c r="AN82" i="1" s="1"/>
  <c r="AF111" i="1"/>
  <c r="AN111" i="1" s="1"/>
  <c r="AF74" i="1"/>
  <c r="AN74" i="1" s="1"/>
  <c r="AG97" i="1"/>
  <c r="AO97" i="1" s="1"/>
  <c r="AF76" i="1"/>
  <c r="AN76" i="1" s="1"/>
  <c r="AG39" i="1"/>
  <c r="AO39" i="1" s="1"/>
  <c r="AF94" i="1"/>
  <c r="AN94" i="1" s="1"/>
  <c r="AF86" i="1"/>
  <c r="AN86" i="1" s="1"/>
  <c r="AN104" i="1"/>
  <c r="AG77" i="1"/>
  <c r="AO77" i="1" s="1"/>
  <c r="AF83" i="1"/>
  <c r="AN83" i="1" s="1"/>
  <c r="AF106" i="1"/>
  <c r="AN106" i="1" s="1"/>
  <c r="AG113" i="1"/>
  <c r="AO113" i="1" s="1"/>
  <c r="AF79" i="1"/>
  <c r="AN79" i="1" s="1"/>
  <c r="AG98" i="1"/>
  <c r="AO98" i="1" s="1"/>
  <c r="AF78" i="1"/>
  <c r="AN78" i="1" s="1"/>
  <c r="AF43" i="1"/>
  <c r="AN43" i="1" s="1"/>
  <c r="AG92" i="1"/>
  <c r="AO92" i="1" s="1"/>
  <c r="AF107" i="1"/>
  <c r="AN107" i="1" s="1"/>
  <c r="AF109" i="1"/>
  <c r="AN109" i="1" s="1"/>
  <c r="AF75" i="1"/>
  <c r="AN75" i="1" s="1"/>
  <c r="AF112" i="1"/>
  <c r="AN112" i="1" s="1"/>
  <c r="AF108" i="1"/>
  <c r="AN108" i="1" s="1"/>
  <c r="AG95" i="1"/>
  <c r="AO95" i="1" s="1"/>
  <c r="AF95" i="1"/>
  <c r="AN95" i="1" s="1"/>
  <c r="AG88" i="1"/>
  <c r="AO88" i="1" s="1"/>
  <c r="AG81" i="1"/>
  <c r="AO81" i="1" s="1"/>
  <c r="AF81" i="1"/>
  <c r="AN81" i="1" s="1"/>
  <c r="AG40" i="1"/>
  <c r="AO40" i="1" s="1"/>
  <c r="AF40" i="1"/>
  <c r="AN40" i="1" s="1"/>
  <c r="AG44" i="1"/>
  <c r="AO44" i="1" s="1"/>
  <c r="AF44" i="1"/>
  <c r="AN44" i="1" s="1"/>
  <c r="AG36" i="1"/>
  <c r="AO36" i="1" s="1"/>
  <c r="AF36" i="1"/>
  <c r="AN36" i="1" s="1"/>
  <c r="AF3" i="1"/>
  <c r="AN3" i="1" s="1"/>
  <c r="AF4" i="1"/>
  <c r="AN4" i="1" s="1"/>
  <c r="AG3" i="1"/>
  <c r="AO3" i="1" s="1"/>
  <c r="AG4" i="1"/>
  <c r="AO4" i="1" s="1"/>
  <c r="AF2" i="1"/>
  <c r="AN2" i="1" s="1"/>
  <c r="AG2" i="1"/>
  <c r="AO2" i="1" s="1"/>
  <c r="AL24" i="1"/>
  <c r="AL69" i="1"/>
  <c r="AM29" i="1"/>
  <c r="AL32" i="1"/>
  <c r="AL26" i="1"/>
  <c r="AL68" i="1"/>
  <c r="AL28" i="1"/>
  <c r="AM31" i="1"/>
  <c r="AL67" i="1"/>
  <c r="AM27" i="1"/>
  <c r="AM25" i="1"/>
  <c r="AL30" i="1"/>
  <c r="AM21" i="1"/>
  <c r="AL22" i="1"/>
  <c r="AG68" i="1"/>
  <c r="AO68" i="1" s="1"/>
  <c r="AF68" i="1"/>
  <c r="AN68" i="1" s="1"/>
  <c r="AG29" i="1"/>
  <c r="AO29" i="1" s="1"/>
  <c r="AF29" i="1"/>
  <c r="AN29" i="1" s="1"/>
  <c r="AG25" i="1"/>
  <c r="AO25" i="1" s="1"/>
  <c r="AF25" i="1"/>
  <c r="AN25" i="1" s="1"/>
  <c r="AG28" i="1"/>
  <c r="AO28" i="1" s="1"/>
  <c r="AF28" i="1"/>
  <c r="AN28" i="1" s="1"/>
  <c r="AG23" i="1"/>
  <c r="AO23" i="1" s="1"/>
  <c r="AF23" i="1"/>
  <c r="AN23" i="1" s="1"/>
  <c r="AG21" i="1"/>
  <c r="AO21" i="1" s="1"/>
  <c r="AF21" i="1"/>
  <c r="AN21" i="1" s="1"/>
  <c r="AG24" i="1"/>
  <c r="AO24" i="1" s="1"/>
  <c r="AF24" i="1"/>
  <c r="AN24" i="1" s="1"/>
  <c r="AG67" i="1"/>
  <c r="AO67" i="1" s="1"/>
  <c r="AF67" i="1"/>
  <c r="AN67" i="1" s="1"/>
  <c r="AF30" i="1"/>
  <c r="AN30" i="1" s="1"/>
  <c r="AG30" i="1"/>
  <c r="AO30" i="1" s="1"/>
  <c r="AG69" i="1"/>
  <c r="AO69" i="1" s="1"/>
  <c r="AF69" i="1"/>
  <c r="AN69" i="1" s="1"/>
  <c r="AG31" i="1"/>
  <c r="AO31" i="1" s="1"/>
  <c r="AF31" i="1"/>
  <c r="AN31" i="1" s="1"/>
  <c r="AF26" i="1"/>
  <c r="AN26" i="1" s="1"/>
  <c r="AG26" i="1"/>
  <c r="AO26" i="1" s="1"/>
  <c r="AF32" i="1"/>
  <c r="AN32" i="1" s="1"/>
  <c r="AG32" i="1"/>
  <c r="AO32" i="1" s="1"/>
  <c r="AG27" i="1"/>
  <c r="AO27" i="1" s="1"/>
  <c r="AF27" i="1"/>
  <c r="AN27" i="1" s="1"/>
  <c r="AF22" i="1"/>
  <c r="AN22" i="1" s="1"/>
  <c r="AG22" i="1"/>
  <c r="AO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tc={D10C3C21-1680-4116-9A56-582D417946B6}</author>
    <author>tc={3EF0B1BD-1350-4079-8F69-B2363AEF7149}</author>
    <author>tc={77F9ED42-F53B-43B2-B36E-6E104A6E220C}</author>
    <author>tc={9A829405-83F4-459A-ACBA-F019C27E1A3F}</author>
    <author>tc={3D3B8143-9EA8-4156-91A0-4E6EFF968DCA}</author>
    <author>tc={3DB6B229-A393-403D-8977-B47FC14D4F8A}</author>
    <author>tc={42E3A82B-393A-4B56-9431-67EA61EA9E9B}</author>
  </authors>
  <commentList>
    <comment ref="W2" authorId="0" shapeId="0" xr:uid="{D10C3C21-1680-4116-9A56-582D417946B6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values from text. SDs estimated from webplot digitizer</t>
      </text>
    </comment>
    <comment ref="O15" authorId="1" shapeId="0" xr:uid="{3EF0B1BD-1350-4079-8F69-B2363AEF71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 in Sorensen paper</t>
      </text>
    </comment>
    <comment ref="H21" authorId="2" shapeId="0" xr:uid="{77F9ED42-F53B-43B2-B36E-6E104A6E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are estimated from webplot digitizer</t>
      </text>
    </comment>
    <comment ref="I67" authorId="3" shapeId="0" xr:uid="{9A829405-83F4-459A-ACBA-F019C27E1A3F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are estimates with webplot digitizer</t>
      </text>
    </comment>
    <comment ref="I68" authorId="4" shapeId="0" xr:uid="{3D3B8143-9EA8-4156-91A0-4E6EFF968DC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are estimates with webplot digitizer</t>
      </text>
    </comment>
    <comment ref="I69" authorId="5" shapeId="0" xr:uid="{3DB6B229-A393-403D-8977-B47FC14D4F8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are estimates with webplot digitizer</t>
      </text>
    </comment>
    <comment ref="W132" authorId="6" shapeId="0" xr:uid="{42E3A82B-393A-4B56-9431-67EA61EA9E9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are estimates from webplot digitizer</t>
      </text>
    </comment>
  </commentList>
</comments>
</file>

<file path=xl/sharedStrings.xml><?xml version="1.0" encoding="utf-8"?>
<sst xmlns="http://schemas.openxmlformats.org/spreadsheetml/2006/main" count="3640" uniqueCount="294">
  <si>
    <t>Index</t>
  </si>
  <si>
    <t>Citation</t>
  </si>
  <si>
    <t>DOI</t>
  </si>
  <si>
    <t>Country</t>
  </si>
  <si>
    <t>Subject</t>
  </si>
  <si>
    <t>OPN type</t>
  </si>
  <si>
    <t>Sample Type</t>
  </si>
  <si>
    <t>Subgroup</t>
  </si>
  <si>
    <t>Subgroup2</t>
  </si>
  <si>
    <t># Subjects</t>
  </si>
  <si>
    <t>Method</t>
  </si>
  <si>
    <t>Term Status</t>
  </si>
  <si>
    <t>PP Period (from text)</t>
  </si>
  <si>
    <t>PP Period days</t>
  </si>
  <si>
    <t>PP Period Type</t>
  </si>
  <si>
    <t>PP Period Lower Bound</t>
  </si>
  <si>
    <t>PP Period Upper Bound</t>
  </si>
  <si>
    <t>PP Period Range Type</t>
  </si>
  <si>
    <t>PP Error</t>
  </si>
  <si>
    <t>PP Error Type</t>
  </si>
  <si>
    <t>OPN</t>
  </si>
  <si>
    <t>OPN unit</t>
  </si>
  <si>
    <t>OPN Ave Type</t>
  </si>
  <si>
    <t>OPN Error</t>
  </si>
  <si>
    <t>OPN Error Type</t>
  </si>
  <si>
    <t>OPN SE</t>
  </si>
  <si>
    <t>OPN Lower Bound</t>
  </si>
  <si>
    <t>OPN Upper Bound</t>
  </si>
  <si>
    <t>OPN Range Type</t>
  </si>
  <si>
    <t>OPN Lower Bound SE</t>
  </si>
  <si>
    <t>OPN Upper Bound SE</t>
  </si>
  <si>
    <t>Conversion factor</t>
  </si>
  <si>
    <t>Converted unit</t>
  </si>
  <si>
    <t>Converted OPN</t>
  </si>
  <si>
    <t>Converted Range Type</t>
  </si>
  <si>
    <t>Converted OPN Lower Bound</t>
  </si>
  <si>
    <t>Converted OPN Upper Bound</t>
  </si>
  <si>
    <t>Converted OPN Lower Bound SE</t>
  </si>
  <si>
    <t>Converted OPN Upper Bound SE</t>
  </si>
  <si>
    <t>10.1111/j.1365-2249.2004.02549.x</t>
  </si>
  <si>
    <t>Japan</t>
  </si>
  <si>
    <t>Human</t>
  </si>
  <si>
    <t>All</t>
  </si>
  <si>
    <t>Term</t>
  </si>
  <si>
    <t>Colostrum</t>
  </si>
  <si>
    <t>Midpoint</t>
  </si>
  <si>
    <t>Range</t>
  </si>
  <si>
    <t>NA</t>
  </si>
  <si>
    <t>Median</t>
  </si>
  <si>
    <t>mg/L</t>
  </si>
  <si>
    <t>1 mo</t>
  </si>
  <si>
    <t>Absolute value</t>
  </si>
  <si>
    <t>Plasma</t>
  </si>
  <si>
    <t>ng/mL</t>
  </si>
  <si>
    <t>Schack 2009</t>
  </si>
  <si>
    <t>10.3168/jds.2009-2360</t>
  </si>
  <si>
    <t>Denmark</t>
  </si>
  <si>
    <t>Milk</t>
  </si>
  <si>
    <t>R&amp;D ELISA</t>
  </si>
  <si>
    <t>Not specified</t>
  </si>
  <si>
    <t>6-58 d</t>
  </si>
  <si>
    <t>Mean</t>
  </si>
  <si>
    <t>SD</t>
  </si>
  <si>
    <t>SE</t>
  </si>
  <si>
    <t>Bovine</t>
  </si>
  <si>
    <t>South Korea</t>
  </si>
  <si>
    <t>Formula</t>
  </si>
  <si>
    <t>Infant formula</t>
  </si>
  <si>
    <t>XO1</t>
  </si>
  <si>
    <t>Premium XO</t>
  </si>
  <si>
    <t>Nan 1</t>
  </si>
  <si>
    <t>Nidina 1</t>
  </si>
  <si>
    <t>Allomin 2</t>
  </si>
  <si>
    <t>3 mo</t>
  </si>
  <si>
    <t>Bruun 2018</t>
  </si>
  <si>
    <t>10.1097/mpg.0000000000002004</t>
  </si>
  <si>
    <t>China</t>
  </si>
  <si>
    <t>4.3 wk</t>
  </si>
  <si>
    <t>IQR</t>
  </si>
  <si>
    <t>17.4 wk</t>
  </si>
  <si>
    <t>9.1 wk</t>
  </si>
  <si>
    <t>Korea</t>
  </si>
  <si>
    <t>3.9 wk</t>
  </si>
  <si>
    <t>8.6 wk</t>
  </si>
  <si>
    <t>12.9 wk</t>
  </si>
  <si>
    <t>7.6 wk</t>
  </si>
  <si>
    <t>16.9 wk</t>
  </si>
  <si>
    <t>24.9 wk</t>
  </si>
  <si>
    <t>Jiang 2019a</t>
  </si>
  <si>
    <t>10.1038/s41390-018-0271-x</t>
  </si>
  <si>
    <t>USA</t>
  </si>
  <si>
    <t>1-7 d</t>
  </si>
  <si>
    <t>8-14 d</t>
  </si>
  <si>
    <t>4 mo</t>
  </si>
  <si>
    <t>5 mo</t>
  </si>
  <si>
    <t>12 mo</t>
  </si>
  <si>
    <t>BF</t>
  </si>
  <si>
    <t>µg/L</t>
  </si>
  <si>
    <t>FF</t>
  </si>
  <si>
    <t>FF + 65 mg/L bOPN</t>
  </si>
  <si>
    <t>FF + 130 mg/L bOPN</t>
  </si>
  <si>
    <t>6 mo</t>
  </si>
  <si>
    <t>Bovine ELISA</t>
  </si>
  <si>
    <t>Goonatilleke 2019</t>
  </si>
  <si>
    <t>10.1093/jn/nxz086</t>
  </si>
  <si>
    <t>MS/MS</t>
  </si>
  <si>
    <t>g/L</t>
  </si>
  <si>
    <t>2 wk</t>
  </si>
  <si>
    <t>5 wk</t>
  </si>
  <si>
    <t>10 wk</t>
  </si>
  <si>
    <t>13 wk</t>
  </si>
  <si>
    <t>17 wk</t>
  </si>
  <si>
    <t>24 wk</t>
  </si>
  <si>
    <t>Aksan 2021</t>
  </si>
  <si>
    <t>10.3390/nu13082670</t>
  </si>
  <si>
    <t>Turkey</t>
  </si>
  <si>
    <t xml:space="preserve"> </t>
  </si>
  <si>
    <t>No</t>
  </si>
  <si>
    <t>Yes</t>
  </si>
  <si>
    <t>Zhang 2021</t>
  </si>
  <si>
    <t>10.3390/nu13051476</t>
  </si>
  <si>
    <t>UHPLC-MS/MS</t>
  </si>
  <si>
    <t>1-5 d</t>
  </si>
  <si>
    <t>mg/100mL</t>
  </si>
  <si>
    <t>Zhu 2022</t>
  </si>
  <si>
    <t>10.3389/fnut.2022.962802</t>
  </si>
  <si>
    <t>7d</t>
  </si>
  <si>
    <t>14d</t>
  </si>
  <si>
    <t>28d</t>
  </si>
  <si>
    <t>120d</t>
  </si>
  <si>
    <t>Preterm</t>
  </si>
  <si>
    <t>Ruan 2022</t>
  </si>
  <si>
    <t>10.1016/j.fshw.2022.04.033</t>
  </si>
  <si>
    <t>Milk stage</t>
  </si>
  <si>
    <t>1-14 days</t>
  </si>
  <si>
    <t>1-14 d</t>
  </si>
  <si>
    <t>60-120 days</t>
  </si>
  <si>
    <t>60-120 d</t>
  </si>
  <si>
    <t>150-210 days</t>
  </si>
  <si>
    <t>150-210 d</t>
  </si>
  <si>
    <t>Takahashi 2023</t>
  </si>
  <si>
    <t>10.3390/nu15071735</t>
  </si>
  <si>
    <t>20-38 d</t>
  </si>
  <si>
    <t>Jiang 2019b</t>
  </si>
  <si>
    <t>10.1096/fj.201701290rr</t>
  </si>
  <si>
    <t>Mouse</t>
  </si>
  <si>
    <t>ELISA</t>
  </si>
  <si>
    <t>SI</t>
  </si>
  <si>
    <t>1 hour post oral gavage</t>
  </si>
  <si>
    <t>P20</t>
  </si>
  <si>
    <t>% of injected total OPN</t>
  </si>
  <si>
    <t>2 hour post oral gavage</t>
  </si>
  <si>
    <t>3 hour post oral gavage</t>
  </si>
  <si>
    <t>Stomach</t>
  </si>
  <si>
    <t>SI perfusate</t>
  </si>
  <si>
    <t>Liver</t>
  </si>
  <si>
    <t>Brain</t>
  </si>
  <si>
    <t>Spleen</t>
  </si>
  <si>
    <t>Heart</t>
  </si>
  <si>
    <t>Cecum colon</t>
  </si>
  <si>
    <t>Carcass</t>
  </si>
  <si>
    <t>Jiang 2021</t>
  </si>
  <si>
    <t>10.1002/mnfr.202000644</t>
  </si>
  <si>
    <t>bmOPN</t>
  </si>
  <si>
    <t>ELSSA</t>
  </si>
  <si>
    <t>P12</t>
  </si>
  <si>
    <t>Recombinant bovine</t>
  </si>
  <si>
    <t>rbOPN</t>
  </si>
  <si>
    <t>Recombinant human</t>
  </si>
  <si>
    <t>rhOPN</t>
  </si>
  <si>
    <t>Rittling 2014</t>
  </si>
  <si>
    <t>10.1038/bjc.2014.10</t>
  </si>
  <si>
    <t>0 hours post oral gavage</t>
  </si>
  <si>
    <t>3 wk</t>
  </si>
  <si>
    <t>4 hours post oral gavage</t>
  </si>
  <si>
    <t>8 hours post oral gavage</t>
  </si>
  <si>
    <t>24 hours post oral gavage</t>
  </si>
  <si>
    <t>Nourkami-Tutdibi 2020</t>
  </si>
  <si>
    <t>10.1002/pbc.28272</t>
  </si>
  <si>
    <t>Germany</t>
  </si>
  <si>
    <t>Birth</t>
  </si>
  <si>
    <t>0-24 mo</t>
  </si>
  <si>
    <t>3-6 y</t>
  </si>
  <si>
    <t>7-11 y</t>
  </si>
  <si>
    <t>12-18 y</t>
  </si>
  <si>
    <t>&gt;18 y</t>
  </si>
  <si>
    <t>Joung 2014</t>
  </si>
  <si>
    <t>10.1002/oby.20626</t>
  </si>
  <si>
    <t>Mixed</t>
  </si>
  <si>
    <t>SGA (&lt;10%ile birth weight)</t>
  </si>
  <si>
    <t>AGA (10-90%ile birth weight)</t>
  </si>
  <si>
    <t>LGA (&gt;90%ile birth weight)</t>
  </si>
  <si>
    <t>Adult</t>
  </si>
  <si>
    <t>Patent ductus arteriosus</t>
  </si>
  <si>
    <t>No Patent ductus arteriosus</t>
  </si>
  <si>
    <t>Mortazavi 2021</t>
  </si>
  <si>
    <t>10.1186/s12866-021-02368-y</t>
  </si>
  <si>
    <t>Uganda</t>
  </si>
  <si>
    <t>9 mo</t>
  </si>
  <si>
    <t>2.5 mo</t>
  </si>
  <si>
    <t>Ugandan women</t>
  </si>
  <si>
    <t>Ugandan men</t>
  </si>
  <si>
    <t>Sweden</t>
  </si>
  <si>
    <t>Swedish men</t>
  </si>
  <si>
    <t>95% CI</t>
  </si>
  <si>
    <t>1989 C</t>
  </si>
  <si>
    <t>1989 MM</t>
  </si>
  <si>
    <t>2013 C</t>
  </si>
  <si>
    <t>2013 MM</t>
  </si>
  <si>
    <t>Repeat collection</t>
  </si>
  <si>
    <t>Maternal at birth</t>
  </si>
  <si>
    <t>Maternal at 9 mo</t>
  </si>
  <si>
    <t>Variable</t>
  </si>
  <si>
    <t>Description</t>
  </si>
  <si>
    <t>Variable Type</t>
  </si>
  <si>
    <t>Example</t>
  </si>
  <si>
    <t>Internal reference index number </t>
  </si>
  <si>
    <t>Numeric </t>
  </si>
  <si>
    <t>1,2,3</t>
  </si>
  <si>
    <t>Last name of first author and year</t>
  </si>
  <si>
    <t>Free text</t>
  </si>
  <si>
    <t>Jiang 2019</t>
  </si>
  <si>
    <t>The digital object identifier for the paper </t>
  </si>
  <si>
    <t>Free text </t>
  </si>
  <si>
    <t>Yes if samples were collected from the same mothers or group over time.</t>
  </si>
  <si>
    <t>Binary</t>
  </si>
  <si>
    <t>Yes; No</t>
  </si>
  <si>
    <t>The country where subjects were sampled.</t>
  </si>
  <si>
    <t>Categorical</t>
  </si>
  <si>
    <t>The subject that was sampled</t>
  </si>
  <si>
    <t>Human, Mouse, Formula, etc.</t>
  </si>
  <si>
    <t>The species origin of OPN</t>
  </si>
  <si>
    <t>Human, bovine, etc.</t>
  </si>
  <si>
    <t>The tissue/fluid sampled</t>
  </si>
  <si>
    <t>Milk, Infant formula, Plasma, etc.</t>
  </si>
  <si>
    <t>A secondary classification for within-study subgroups</t>
  </si>
  <si>
    <t>Shorthand label for a within-study subgroups</t>
  </si>
  <si>
    <t>Manuscript Visual</t>
  </si>
  <si>
    <t>The figure a subgroup was visualized in</t>
  </si>
  <si>
    <t>Figure 1- Exposure</t>
  </si>
  <si>
    <t>Figure 2B- ADME Human</t>
  </si>
  <si>
    <t>Figure 2A- ADME Human</t>
  </si>
  <si>
    <t>Figure 3A- ADME rodents</t>
  </si>
  <si>
    <t>Figure 3B- ADME rodents</t>
  </si>
  <si>
    <t>Figure 3C- ADME rodents</t>
  </si>
  <si>
    <t>Figure 1, Figure 2A, etc.</t>
  </si>
  <si>
    <t>All, birth, 3 mo, etc</t>
  </si>
  <si>
    <t>1-14 days, 1,2,3, etc.</t>
  </si>
  <si>
    <t>The number of subjects sampled</t>
  </si>
  <si>
    <t>The method of measuring osteopontin</t>
  </si>
  <si>
    <t>6, 19, etc.</t>
  </si>
  <si>
    <t>R&amp;D ELISA, MS/MS, etc.</t>
  </si>
  <si>
    <t>Whether infants were term or preterm</t>
  </si>
  <si>
    <t>Term; Preterm; Mixed; Not specified</t>
  </si>
  <si>
    <t>The age, post-partum, of infants when milk was sampled. Equivalent to "lactation age". This was extracted as described by the authors</t>
  </si>
  <si>
    <t>30, 165, etc.</t>
  </si>
  <si>
    <t>Conversion of the PP Period into days. If a range was provided, the midpoint value was taken.</t>
  </si>
  <si>
    <t>If the PP Period represented a range, an average, a single absolute value, etc.</t>
  </si>
  <si>
    <t>Numeric</t>
  </si>
  <si>
    <t>Absolute Value; Midpoint; Mean; Median</t>
  </si>
  <si>
    <t>The lower bound of the range provided for PP Period</t>
  </si>
  <si>
    <t>The Upper bound of the range provided for PP Period</t>
  </si>
  <si>
    <t>Whether the PP Period Range represents a true range (min-max), IQR, etc.</t>
  </si>
  <si>
    <t>The variation around the estimate of PP Period</t>
  </si>
  <si>
    <t xml:space="preserve">If the type of variation such as standard deviation (SD), standard error (SE), </t>
  </si>
  <si>
    <t>Range; IQR</t>
  </si>
  <si>
    <t>SD; SE</t>
  </si>
  <si>
    <t>3.05, 11, etc.</t>
  </si>
  <si>
    <t>1, 8, etc.</t>
  </si>
  <si>
    <t>14, 189, etc.</t>
  </si>
  <si>
    <t>The concentration of osteopontin</t>
  </si>
  <si>
    <t>The OPN concentration unit described in the original manuscript</t>
  </si>
  <si>
    <t>mg/100mL, mg/L, etc.</t>
  </si>
  <si>
    <t>If the OPN value represents a mean, median, or absolute value</t>
  </si>
  <si>
    <t>mean; median, absolute value</t>
  </si>
  <si>
    <t>Whether the OPN ave is accompanied with an SD, SE, IQR, or 95% CI</t>
  </si>
  <si>
    <t>SD; SE; IQR; 96% CI</t>
  </si>
  <si>
    <t>The variation around the estimate of OPN</t>
  </si>
  <si>
    <t>The value of OPN Error converted to SE, if possible</t>
  </si>
  <si>
    <t>39.6, 481.6, etc.</t>
  </si>
  <si>
    <t>OPN - Error, or lower bound of the range</t>
  </si>
  <si>
    <t>OPN + Error, or upper bound of the range</t>
  </si>
  <si>
    <t>Whether the OPN range represents a true range (min-max), IQR, SD, SE etc.</t>
  </si>
  <si>
    <t>The value of OPN Lower Bound converted to SE, if possible</t>
  </si>
  <si>
    <t>The value of OPN Upper Bound converted to SE, if possible</t>
  </si>
  <si>
    <t>Value used to convert OPN concentration to a common unit</t>
  </si>
  <si>
    <t>1,10,1000, etc</t>
  </si>
  <si>
    <t>mg/L, µg/L, etc.</t>
  </si>
  <si>
    <t>A common unit</t>
  </si>
  <si>
    <t>The concentration of osteopontin, converted to a common unit</t>
  </si>
  <si>
    <t>OPN - Error, or lower bound of the range, converted to a common unit</t>
  </si>
  <si>
    <t>OPN + Error, or upper bound of the range, converted to a common unit</t>
  </si>
  <si>
    <t>The value of OPN Lower Bound converted to SE, if possible, converted to a common unit</t>
  </si>
  <si>
    <t>The value of OPN Upper Bound converted to SE, if possible, converted to a common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</si>
</sst>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4" borderId="0" xfId="3"/>
    <xf numFmtId="0" fontId="1" fillId="3" borderId="0" xfId="2"/>
    <xf numFmtId="0" fontId="1" fillId="2" borderId="0" xfId="1"/>
    <xf numFmtId="0" fontId="1" fillId="0" borderId="0" xfId="3" applyFill="1"/>
    <xf numFmtId="0" fontId="0" fillId="3" borderId="0" xfId="2" applyFont="1"/>
    <xf numFmtId="0" fontId="0" fillId="4" borderId="0" xfId="3" applyFont="1"/>
    <xf numFmtId="0" fontId="0" fillId="6" borderId="0" xfId="3" applyFont="1" applyFill="1"/>
    <xf numFmtId="0" fontId="1" fillId="5" borderId="0" xfId="4"/>
    <xf numFmtId="0" fontId="5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left" wrapText="1"/>
    </xf>
    <xf numFmtId="0" fontId="0" fillId="0" borderId="0" xfId="0" applyFill="1"/>
  </cellXfs>
  <cellStyles count="5">
    <cellStyle name="40% - Accent2" xfId="1" builtinId="35"/>
    <cellStyle name="40% - Accent4" xfId="2" builtinId="43"/>
    <cellStyle name="40% - Accent5" xfId="3" builtinId="47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chel Fleming" id="{7EBD172D-06FE-44F8-BBBF-F4CA239100B1}" userId="S::rachel@traversescience.com::3ff8c179-da34-4f50-bcb8-db78633655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3-06-15T13:46:53.76" personId="{7EBD172D-06FE-44F8-BBBF-F4CA239100B1}" id="{D10C3C21-1680-4116-9A56-582D417946B6}">
    <text>Mean values from text. SDs estimated from webplot digitizer</text>
  </threadedComment>
  <threadedComment ref="O15" dT="2023-06-01T18:22:07.47" personId="{7EBD172D-06FE-44F8-BBBF-F4CA239100B1}" id="{3EF0B1BD-1350-4079-8F69-B2363AEF7149}">
    <text>Incorrect in Sorensen paper</text>
  </threadedComment>
  <threadedComment ref="H21" dT="2023-06-01T19:41:38.99" personId="{7EBD172D-06FE-44F8-BBBF-F4CA239100B1}" id="{77F9ED42-F53B-43B2-B36E-6E104A6E220C}">
    <text>Values are estimated from webplot digitizer</text>
  </threadedComment>
  <threadedComment ref="I67" dT="2023-06-02T16:23:53.84" personId="{7EBD172D-06FE-44F8-BBBF-F4CA239100B1}" id="{9A829405-83F4-459A-ACBA-F019C27E1A3F}">
    <text>Values are estimates with webplot digitizer</text>
  </threadedComment>
  <threadedComment ref="I68" dT="2023-06-02T16:23:53.84" personId="{7EBD172D-06FE-44F8-BBBF-F4CA239100B1}" id="{3D3B8143-9EA8-4156-91A0-4E6EFF968DCA}">
    <text>Values are estimates with webplot digitizer</text>
  </threadedComment>
  <threadedComment ref="I69" dT="2023-06-02T16:23:53.84" personId="{7EBD172D-06FE-44F8-BBBF-F4CA239100B1}" id="{3DB6B229-A393-403D-8977-B47FC14D4F8A}">
    <text>Values are estimates with webplot digitizer</text>
  </threadedComment>
  <threadedComment ref="W132" dT="2023-10-16T17:12:59.33" personId="{7EBD172D-06FE-44F8-BBBF-F4CA239100B1}" id="{42E3A82B-393A-4B56-9431-67EA61EA9E9B}">
    <text>Values are estimates from webplot digitizer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DABD-A453-46D4-BEDC-1C5B51AF268D}">
  <dimension ref="A1:AO140"/>
  <sheetViews>
    <sheetView workbookViewId="0"/>
  </sheetViews>
  <sheetFormatPr defaultRowHeight="15" x14ac:dyDescent="0.25"/>
  <cols>
    <col min="1" max="1" width="10.7109375" customWidth="1"/>
    <col min="2" max="2" width="21.5703125" bestFit="1" customWidth="1"/>
    <col min="3" max="3" width="30.140625" bestFit="1" customWidth="1"/>
    <col min="4" max="4" width="30.140625" style="18" customWidth="1"/>
    <col min="5" max="5" width="8.7109375" bestFit="1" customWidth="1"/>
    <col min="6" max="6" width="17.140625" bestFit="1" customWidth="1"/>
    <col min="7" max="7" width="19.5703125" bestFit="1" customWidth="1"/>
    <col min="8" max="8" width="23.7109375" bestFit="1" customWidth="1"/>
    <col min="9" max="9" width="40.140625" bestFit="1" customWidth="1"/>
    <col min="10" max="10" width="17.5703125" bestFit="1" customWidth="1"/>
    <col min="11" max="11" width="22.140625" bestFit="1" customWidth="1"/>
    <col min="12" max="12" width="12.85546875" bestFit="1" customWidth="1"/>
    <col min="13" max="13" width="15.42578125" style="18" bestFit="1" customWidth="1"/>
    <col min="14" max="14" width="13.7109375" bestFit="1" customWidth="1"/>
    <col min="15" max="15" width="25.85546875" bestFit="1" customWidth="1"/>
    <col min="16" max="16" width="16.42578125" bestFit="1" customWidth="1"/>
    <col min="17" max="17" width="16.7109375" bestFit="1" customWidth="1"/>
    <col min="18" max="19" width="24.28515625" bestFit="1" customWidth="1"/>
    <col min="20" max="20" width="22.7109375" bestFit="1" customWidth="1"/>
    <col min="21" max="21" width="12.85546875" bestFit="1" customWidth="1"/>
    <col min="22" max="22" width="15" bestFit="1" customWidth="1"/>
    <col min="23" max="23" width="9" bestFit="1" customWidth="1"/>
    <col min="24" max="24" width="9.85546875" bestFit="1" customWidth="1"/>
    <col min="25" max="25" width="16" bestFit="1" customWidth="1"/>
    <col min="26" max="26" width="12" bestFit="1" customWidth="1"/>
    <col min="27" max="27" width="16.85546875" bestFit="1" customWidth="1"/>
    <col min="28" max="28" width="12.42578125" bestFit="1" customWidth="1"/>
    <col min="29" max="30" width="16.7109375" bestFit="1" customWidth="1"/>
    <col min="31" max="31" width="15.28515625" bestFit="1" customWidth="1"/>
    <col min="32" max="33" width="22" bestFit="1" customWidth="1"/>
    <col min="34" max="34" width="17.140625" bestFit="1" customWidth="1"/>
    <col min="35" max="35" width="17.140625" customWidth="1"/>
    <col min="36" max="36" width="17.140625" bestFit="1" customWidth="1"/>
    <col min="37" max="37" width="14.7109375" customWidth="1"/>
    <col min="38" max="39" width="26.5703125" bestFit="1" customWidth="1"/>
    <col min="40" max="41" width="26.5703125" customWidth="1"/>
  </cols>
  <sheetData>
    <row r="1" spans="1:41" s="5" customFormat="1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7</v>
      </c>
      <c r="J1" s="7" t="s">
        <v>8</v>
      </c>
      <c r="K1" s="7" t="s">
        <v>237</v>
      </c>
      <c r="L1" s="2" t="s">
        <v>9</v>
      </c>
      <c r="M1" s="5" t="s">
        <v>10</v>
      </c>
      <c r="N1" s="2" t="s">
        <v>11</v>
      </c>
      <c r="O1" s="3" t="s">
        <v>12</v>
      </c>
      <c r="P1" s="3" t="s">
        <v>13</v>
      </c>
      <c r="Q1" s="6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9" t="s">
        <v>31</v>
      </c>
      <c r="AI1" s="9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</row>
    <row r="2" spans="1:41" ht="12.75" customHeight="1" x14ac:dyDescent="0.25">
      <c r="A2" s="1">
        <v>2</v>
      </c>
      <c r="B2" t="s">
        <v>54</v>
      </c>
      <c r="C2" t="s">
        <v>55</v>
      </c>
      <c r="D2" s="18" t="s">
        <v>117</v>
      </c>
      <c r="E2" t="s">
        <v>56</v>
      </c>
      <c r="F2" t="s">
        <v>41</v>
      </c>
      <c r="G2" t="s">
        <v>41</v>
      </c>
      <c r="H2" t="s">
        <v>52</v>
      </c>
      <c r="I2" t="s">
        <v>180</v>
      </c>
      <c r="K2" t="s">
        <v>240</v>
      </c>
      <c r="L2">
        <v>10</v>
      </c>
      <c r="M2" s="18" t="s">
        <v>58</v>
      </c>
      <c r="N2" t="s">
        <v>59</v>
      </c>
      <c r="O2" t="s">
        <v>59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>
        <v>263</v>
      </c>
      <c r="X2" t="s">
        <v>53</v>
      </c>
      <c r="Y2" t="s">
        <v>61</v>
      </c>
      <c r="Z2">
        <f>315-263</f>
        <v>52</v>
      </c>
      <c r="AA2" t="s">
        <v>62</v>
      </c>
      <c r="AB2">
        <f>Z2/SQRT(L2)</f>
        <v>16.443843832875572</v>
      </c>
      <c r="AC2">
        <f>W2-Z2</f>
        <v>211</v>
      </c>
      <c r="AD2">
        <f>W2+Z2</f>
        <v>315</v>
      </c>
      <c r="AE2" t="s">
        <v>62</v>
      </c>
      <c r="AF2">
        <f>W2-AB2</f>
        <v>246.55615616712441</v>
      </c>
      <c r="AG2">
        <f>W2+AB2</f>
        <v>279.44384383287559</v>
      </c>
      <c r="AH2">
        <v>1</v>
      </c>
      <c r="AI2" t="s">
        <v>97</v>
      </c>
      <c r="AJ2">
        <f t="shared" ref="AJ2:AJ54" si="0">W2*AH2</f>
        <v>263</v>
      </c>
      <c r="AK2" t="s">
        <v>63</v>
      </c>
      <c r="AL2">
        <f>AC2*AH2</f>
        <v>211</v>
      </c>
      <c r="AM2">
        <f>AD2*AH2</f>
        <v>315</v>
      </c>
      <c r="AN2">
        <f>AF2*AH2</f>
        <v>246.55615616712441</v>
      </c>
      <c r="AO2">
        <f>AG2*AH2</f>
        <v>279.44384383287559</v>
      </c>
    </row>
    <row r="3" spans="1:41" x14ac:dyDescent="0.25">
      <c r="A3" s="1">
        <v>2</v>
      </c>
      <c r="B3" t="s">
        <v>54</v>
      </c>
      <c r="C3" t="s">
        <v>55</v>
      </c>
      <c r="D3" s="18" t="s">
        <v>117</v>
      </c>
      <c r="E3" t="s">
        <v>56</v>
      </c>
      <c r="F3" t="s">
        <v>41</v>
      </c>
      <c r="G3" t="s">
        <v>41</v>
      </c>
      <c r="H3" t="s">
        <v>52</v>
      </c>
      <c r="I3" t="s">
        <v>73</v>
      </c>
      <c r="K3" t="s">
        <v>240</v>
      </c>
      <c r="L3">
        <v>10</v>
      </c>
      <c r="M3" s="18" t="s">
        <v>58</v>
      </c>
      <c r="N3" t="s">
        <v>59</v>
      </c>
      <c r="O3" t="s">
        <v>59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>
        <v>342</v>
      </c>
      <c r="X3" t="s">
        <v>53</v>
      </c>
      <c r="Y3" t="s">
        <v>61</v>
      </c>
      <c r="Z3">
        <f>406-342</f>
        <v>64</v>
      </c>
      <c r="AA3" t="s">
        <v>62</v>
      </c>
      <c r="AB3">
        <f>Z3/SQRT(L3)</f>
        <v>20.238577025077628</v>
      </c>
      <c r="AC3">
        <f>W3-Z3</f>
        <v>278</v>
      </c>
      <c r="AD3">
        <f>W3+Z3</f>
        <v>406</v>
      </c>
      <c r="AE3" t="s">
        <v>62</v>
      </c>
      <c r="AF3">
        <f>W3-AB3</f>
        <v>321.76142297492237</v>
      </c>
      <c r="AG3">
        <f>W3+AB3</f>
        <v>362.23857702507763</v>
      </c>
      <c r="AH3">
        <v>1</v>
      </c>
      <c r="AI3" t="s">
        <v>97</v>
      </c>
      <c r="AJ3">
        <f t="shared" si="0"/>
        <v>342</v>
      </c>
      <c r="AK3" t="s">
        <v>63</v>
      </c>
      <c r="AL3">
        <f>AC3*AH3</f>
        <v>278</v>
      </c>
      <c r="AM3">
        <f>AD3*AH3</f>
        <v>406</v>
      </c>
      <c r="AN3">
        <f>AF3*AH3</f>
        <v>321.76142297492237</v>
      </c>
      <c r="AO3">
        <f>AG3*AH3</f>
        <v>362.23857702507763</v>
      </c>
    </row>
    <row r="4" spans="1:41" x14ac:dyDescent="0.25">
      <c r="A4" s="1">
        <v>2</v>
      </c>
      <c r="B4" t="s">
        <v>54</v>
      </c>
      <c r="C4" t="s">
        <v>55</v>
      </c>
      <c r="D4" s="18" t="s">
        <v>117</v>
      </c>
      <c r="E4" t="s">
        <v>56</v>
      </c>
      <c r="F4" t="s">
        <v>41</v>
      </c>
      <c r="G4" t="s">
        <v>41</v>
      </c>
      <c r="H4" t="s">
        <v>52</v>
      </c>
      <c r="I4" t="s">
        <v>192</v>
      </c>
      <c r="K4" t="s">
        <v>240</v>
      </c>
      <c r="L4">
        <v>10</v>
      </c>
      <c r="M4" s="18" t="s">
        <v>58</v>
      </c>
      <c r="N4" t="s">
        <v>59</v>
      </c>
      <c r="O4" t="s">
        <v>59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>
        <v>35</v>
      </c>
      <c r="X4" t="s">
        <v>53</v>
      </c>
      <c r="Y4" t="s">
        <v>61</v>
      </c>
      <c r="Z4">
        <f>59-35</f>
        <v>24</v>
      </c>
      <c r="AA4" t="s">
        <v>62</v>
      </c>
      <c r="AB4">
        <f>Z4/SQRT(L4)</f>
        <v>7.5894663844041101</v>
      </c>
      <c r="AC4">
        <f>W4-Z4</f>
        <v>11</v>
      </c>
      <c r="AD4">
        <f>W4+Z4</f>
        <v>59</v>
      </c>
      <c r="AE4" t="s">
        <v>62</v>
      </c>
      <c r="AF4">
        <f>W4-AB4</f>
        <v>27.410533615595888</v>
      </c>
      <c r="AG4">
        <f>W4+AB4</f>
        <v>42.589466384404112</v>
      </c>
      <c r="AH4">
        <v>1</v>
      </c>
      <c r="AI4" t="s">
        <v>97</v>
      </c>
      <c r="AJ4">
        <f t="shared" si="0"/>
        <v>35</v>
      </c>
      <c r="AK4" t="s">
        <v>63</v>
      </c>
      <c r="AL4">
        <f>AC4*AH4</f>
        <v>11</v>
      </c>
      <c r="AM4">
        <f>AD4*AH4</f>
        <v>59</v>
      </c>
      <c r="AN4">
        <f>AF4*AH4</f>
        <v>27.410533615595888</v>
      </c>
      <c r="AO4">
        <f>AG4*AH4</f>
        <v>42.589466384404112</v>
      </c>
    </row>
    <row r="5" spans="1:41" x14ac:dyDescent="0.25">
      <c r="A5" s="1">
        <v>2</v>
      </c>
      <c r="B5" t="s">
        <v>54</v>
      </c>
      <c r="C5" t="s">
        <v>55</v>
      </c>
      <c r="D5" s="18" t="s">
        <v>47</v>
      </c>
      <c r="E5" t="s">
        <v>65</v>
      </c>
      <c r="F5" t="s">
        <v>66</v>
      </c>
      <c r="G5" t="s">
        <v>64</v>
      </c>
      <c r="H5" t="s">
        <v>67</v>
      </c>
      <c r="I5" t="s">
        <v>68</v>
      </c>
      <c r="K5" t="s">
        <v>239</v>
      </c>
      <c r="L5" t="s">
        <v>47</v>
      </c>
      <c r="M5" s="18" t="s">
        <v>59</v>
      </c>
      <c r="N5" t="s">
        <v>59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>
        <v>7.9</v>
      </c>
      <c r="X5" t="s">
        <v>49</v>
      </c>
      <c r="Y5" t="s">
        <v>51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>
        <v>1</v>
      </c>
      <c r="AI5" t="s">
        <v>49</v>
      </c>
      <c r="AJ5">
        <f t="shared" si="0"/>
        <v>7.9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</row>
    <row r="6" spans="1:41" x14ac:dyDescent="0.25">
      <c r="A6" s="1">
        <v>2</v>
      </c>
      <c r="B6" t="s">
        <v>54</v>
      </c>
      <c r="C6" t="s">
        <v>55</v>
      </c>
      <c r="D6" s="18" t="s">
        <v>47</v>
      </c>
      <c r="E6" t="s">
        <v>65</v>
      </c>
      <c r="F6" t="s">
        <v>66</v>
      </c>
      <c r="G6" t="s">
        <v>64</v>
      </c>
      <c r="H6" t="s">
        <v>67</v>
      </c>
      <c r="I6" t="s">
        <v>69</v>
      </c>
      <c r="K6" t="s">
        <v>239</v>
      </c>
      <c r="L6" t="s">
        <v>47</v>
      </c>
      <c r="M6" s="18" t="s">
        <v>59</v>
      </c>
      <c r="N6" t="s">
        <v>59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>
        <v>13</v>
      </c>
      <c r="X6" t="s">
        <v>49</v>
      </c>
      <c r="Y6" t="s">
        <v>51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>
        <v>1</v>
      </c>
      <c r="AI6" t="s">
        <v>49</v>
      </c>
      <c r="AJ6">
        <f t="shared" si="0"/>
        <v>13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</row>
    <row r="7" spans="1:41" x14ac:dyDescent="0.25">
      <c r="A7" s="1">
        <v>2</v>
      </c>
      <c r="B7" t="s">
        <v>54</v>
      </c>
      <c r="C7" t="s">
        <v>55</v>
      </c>
      <c r="D7" s="18" t="s">
        <v>47</v>
      </c>
      <c r="E7" t="s">
        <v>56</v>
      </c>
      <c r="F7" t="s">
        <v>66</v>
      </c>
      <c r="G7" t="s">
        <v>64</v>
      </c>
      <c r="H7" t="s">
        <v>67</v>
      </c>
      <c r="I7" t="s">
        <v>70</v>
      </c>
      <c r="K7" t="s">
        <v>239</v>
      </c>
      <c r="L7" t="s">
        <v>47</v>
      </c>
      <c r="M7" s="18" t="s">
        <v>59</v>
      </c>
      <c r="N7" t="s">
        <v>59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47</v>
      </c>
      <c r="V7" t="s">
        <v>47</v>
      </c>
      <c r="W7">
        <v>10.3</v>
      </c>
      <c r="X7" t="s">
        <v>49</v>
      </c>
      <c r="Y7" t="s">
        <v>51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>
        <v>1</v>
      </c>
      <c r="AI7" t="s">
        <v>49</v>
      </c>
      <c r="AJ7">
        <f t="shared" si="0"/>
        <v>10.3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</row>
    <row r="8" spans="1:41" x14ac:dyDescent="0.25">
      <c r="A8" s="1">
        <v>2</v>
      </c>
      <c r="B8" t="s">
        <v>54</v>
      </c>
      <c r="C8" t="s">
        <v>55</v>
      </c>
      <c r="D8" s="18" t="s">
        <v>47</v>
      </c>
      <c r="E8" t="s">
        <v>56</v>
      </c>
      <c r="F8" t="s">
        <v>66</v>
      </c>
      <c r="G8" t="s">
        <v>64</v>
      </c>
      <c r="H8" t="s">
        <v>67</v>
      </c>
      <c r="I8" t="s">
        <v>71</v>
      </c>
      <c r="K8" t="s">
        <v>239</v>
      </c>
      <c r="L8" t="s">
        <v>47</v>
      </c>
      <c r="M8" s="18" t="s">
        <v>59</v>
      </c>
      <c r="N8" t="s">
        <v>59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>
        <v>5.3</v>
      </c>
      <c r="X8" t="s">
        <v>49</v>
      </c>
      <c r="Y8" t="s">
        <v>51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>
        <v>1</v>
      </c>
      <c r="AI8" t="s">
        <v>49</v>
      </c>
      <c r="AJ8">
        <f t="shared" si="0"/>
        <v>5.3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</row>
    <row r="9" spans="1:41" x14ac:dyDescent="0.25">
      <c r="A9" s="1">
        <v>2</v>
      </c>
      <c r="B9" t="s">
        <v>54</v>
      </c>
      <c r="C9" t="s">
        <v>55</v>
      </c>
      <c r="D9" s="18" t="s">
        <v>47</v>
      </c>
      <c r="E9" t="s">
        <v>56</v>
      </c>
      <c r="F9" t="s">
        <v>66</v>
      </c>
      <c r="G9" t="s">
        <v>64</v>
      </c>
      <c r="H9" t="s">
        <v>67</v>
      </c>
      <c r="I9" t="s">
        <v>72</v>
      </c>
      <c r="K9" t="s">
        <v>239</v>
      </c>
      <c r="L9" t="s">
        <v>47</v>
      </c>
      <c r="M9" s="18" t="s">
        <v>59</v>
      </c>
      <c r="N9" t="s">
        <v>59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>
        <v>6.4</v>
      </c>
      <c r="X9" t="s">
        <v>49</v>
      </c>
      <c r="Y9" t="s">
        <v>51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>
        <v>1</v>
      </c>
      <c r="AI9" t="s">
        <v>49</v>
      </c>
      <c r="AJ9">
        <f t="shared" si="0"/>
        <v>6.4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</row>
    <row r="10" spans="1:41" x14ac:dyDescent="0.25">
      <c r="A10" s="1">
        <v>2</v>
      </c>
      <c r="B10" t="s">
        <v>54</v>
      </c>
      <c r="C10" t="s">
        <v>55</v>
      </c>
      <c r="D10" s="18" t="s">
        <v>117</v>
      </c>
      <c r="E10" t="s">
        <v>56</v>
      </c>
      <c r="F10" t="s">
        <v>41</v>
      </c>
      <c r="G10" t="s">
        <v>41</v>
      </c>
      <c r="H10" t="s">
        <v>57</v>
      </c>
      <c r="I10" t="s">
        <v>42</v>
      </c>
      <c r="K10" t="s">
        <v>239</v>
      </c>
      <c r="L10">
        <v>14</v>
      </c>
      <c r="M10" s="18" t="s">
        <v>58</v>
      </c>
      <c r="N10" t="s">
        <v>59</v>
      </c>
      <c r="O10" t="s">
        <v>60</v>
      </c>
      <c r="P10">
        <v>20.399999999999999</v>
      </c>
      <c r="Q10" t="s">
        <v>61</v>
      </c>
      <c r="R10">
        <v>6</v>
      </c>
      <c r="S10">
        <v>58</v>
      </c>
      <c r="T10" t="s">
        <v>46</v>
      </c>
      <c r="U10">
        <v>11.3</v>
      </c>
      <c r="V10" t="s">
        <v>62</v>
      </c>
      <c r="W10">
        <v>144</v>
      </c>
      <c r="X10" t="s">
        <v>49</v>
      </c>
      <c r="Y10" t="s">
        <v>61</v>
      </c>
      <c r="Z10">
        <v>83</v>
      </c>
      <c r="AA10" t="s">
        <v>62</v>
      </c>
      <c r="AB10">
        <f>Z10/SQRT(L10)</f>
        <v>22.182683078731223</v>
      </c>
      <c r="AC10">
        <f>W10-Z10</f>
        <v>61</v>
      </c>
      <c r="AD10">
        <f>W10+Z10</f>
        <v>227</v>
      </c>
      <c r="AE10" t="s">
        <v>62</v>
      </c>
      <c r="AF10">
        <f>W10-AB10</f>
        <v>121.81731692126877</v>
      </c>
      <c r="AG10">
        <f>W10+AB10</f>
        <v>166.18268307873123</v>
      </c>
      <c r="AH10">
        <v>1</v>
      </c>
      <c r="AI10" t="s">
        <v>49</v>
      </c>
      <c r="AJ10">
        <f t="shared" si="0"/>
        <v>144</v>
      </c>
      <c r="AK10" t="s">
        <v>63</v>
      </c>
      <c r="AL10">
        <f t="shared" ref="AL10:AL58" si="1">AC10*AH10</f>
        <v>61</v>
      </c>
      <c r="AM10">
        <f t="shared" ref="AM10:AM58" si="2">AD10*AH10</f>
        <v>227</v>
      </c>
      <c r="AN10">
        <f t="shared" ref="AN10:AN58" si="3">AF10*AH10</f>
        <v>121.81731692126877</v>
      </c>
      <c r="AO10">
        <f t="shared" ref="AO10:AO58" si="4">AG10*AH10</f>
        <v>166.18268307873123</v>
      </c>
    </row>
    <row r="11" spans="1:41" x14ac:dyDescent="0.25">
      <c r="A11" s="1">
        <v>3</v>
      </c>
      <c r="B11" t="s">
        <v>74</v>
      </c>
      <c r="C11" t="s">
        <v>75</v>
      </c>
      <c r="D11" s="18" t="s">
        <v>118</v>
      </c>
      <c r="E11" t="s">
        <v>76</v>
      </c>
      <c r="F11" t="s">
        <v>41</v>
      </c>
      <c r="G11" t="s">
        <v>41</v>
      </c>
      <c r="H11" t="s">
        <v>57</v>
      </c>
      <c r="I11" t="s">
        <v>42</v>
      </c>
      <c r="K11" t="s">
        <v>239</v>
      </c>
      <c r="L11">
        <v>76</v>
      </c>
      <c r="M11" s="18" t="s">
        <v>58</v>
      </c>
      <c r="N11" t="s">
        <v>59</v>
      </c>
      <c r="O11" t="s">
        <v>77</v>
      </c>
      <c r="P11">
        <v>30</v>
      </c>
      <c r="Q11" t="s">
        <v>51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>
        <v>266.2</v>
      </c>
      <c r="X11" t="s">
        <v>49</v>
      </c>
      <c r="Y11" t="s">
        <v>48</v>
      </c>
      <c r="Z11" t="s">
        <v>47</v>
      </c>
      <c r="AA11" t="s">
        <v>47</v>
      </c>
      <c r="AB11" t="s">
        <v>47</v>
      </c>
      <c r="AC11">
        <v>210.8</v>
      </c>
      <c r="AD11">
        <v>323.89999999999998</v>
      </c>
      <c r="AE11" t="s">
        <v>78</v>
      </c>
      <c r="AF11">
        <v>210.8</v>
      </c>
      <c r="AG11">
        <v>323.89999999999998</v>
      </c>
      <c r="AH11">
        <v>1</v>
      </c>
      <c r="AI11" t="s">
        <v>49</v>
      </c>
      <c r="AJ11">
        <f t="shared" si="0"/>
        <v>266.2</v>
      </c>
      <c r="AK11" t="s">
        <v>78</v>
      </c>
      <c r="AL11">
        <f t="shared" si="1"/>
        <v>210.8</v>
      </c>
      <c r="AM11">
        <f t="shared" si="2"/>
        <v>323.89999999999998</v>
      </c>
      <c r="AN11">
        <f t="shared" si="3"/>
        <v>210.8</v>
      </c>
      <c r="AO11">
        <f t="shared" si="4"/>
        <v>323.89999999999998</v>
      </c>
    </row>
    <row r="12" spans="1:41" x14ac:dyDescent="0.25">
      <c r="A12" s="1">
        <v>3</v>
      </c>
      <c r="B12" t="s">
        <v>74</v>
      </c>
      <c r="C12" t="s">
        <v>75</v>
      </c>
      <c r="D12" s="18" t="s">
        <v>118</v>
      </c>
      <c r="E12" t="s">
        <v>76</v>
      </c>
      <c r="F12" t="s">
        <v>41</v>
      </c>
      <c r="G12" t="s">
        <v>41</v>
      </c>
      <c r="H12" t="s">
        <v>57</v>
      </c>
      <c r="I12" t="s">
        <v>42</v>
      </c>
      <c r="K12" t="s">
        <v>239</v>
      </c>
      <c r="L12">
        <v>75</v>
      </c>
      <c r="M12" s="18" t="s">
        <v>58</v>
      </c>
      <c r="N12" t="s">
        <v>59</v>
      </c>
      <c r="O12" t="s">
        <v>77</v>
      </c>
      <c r="P12">
        <f>4.3*7</f>
        <v>30.099999999999998</v>
      </c>
      <c r="Q12" t="s">
        <v>48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>
        <v>266.8</v>
      </c>
      <c r="X12" t="s">
        <v>49</v>
      </c>
      <c r="Y12" t="s">
        <v>48</v>
      </c>
      <c r="Z12" t="s">
        <v>47</v>
      </c>
      <c r="AA12" t="s">
        <v>47</v>
      </c>
      <c r="AB12" t="s">
        <v>47</v>
      </c>
      <c r="AC12">
        <v>214</v>
      </c>
      <c r="AD12">
        <v>323.7</v>
      </c>
      <c r="AE12" t="s">
        <v>78</v>
      </c>
      <c r="AF12">
        <v>214</v>
      </c>
      <c r="AG12">
        <v>323.7</v>
      </c>
      <c r="AH12">
        <v>1</v>
      </c>
      <c r="AI12" t="s">
        <v>49</v>
      </c>
      <c r="AJ12">
        <f t="shared" si="0"/>
        <v>266.8</v>
      </c>
      <c r="AK12" t="s">
        <v>78</v>
      </c>
      <c r="AL12">
        <f t="shared" si="1"/>
        <v>214</v>
      </c>
      <c r="AM12">
        <f t="shared" si="2"/>
        <v>323.7</v>
      </c>
      <c r="AN12">
        <f t="shared" si="3"/>
        <v>214</v>
      </c>
      <c r="AO12">
        <f t="shared" si="4"/>
        <v>323.7</v>
      </c>
    </row>
    <row r="13" spans="1:41" x14ac:dyDescent="0.25">
      <c r="A13" s="1">
        <v>3</v>
      </c>
      <c r="B13" t="s">
        <v>74</v>
      </c>
      <c r="C13" t="s">
        <v>75</v>
      </c>
      <c r="D13" s="18" t="s">
        <v>118</v>
      </c>
      <c r="E13" t="s">
        <v>76</v>
      </c>
      <c r="F13" t="s">
        <v>41</v>
      </c>
      <c r="G13" t="s">
        <v>41</v>
      </c>
      <c r="H13" t="s">
        <v>57</v>
      </c>
      <c r="I13" t="s">
        <v>42</v>
      </c>
      <c r="K13" t="s">
        <v>239</v>
      </c>
      <c r="L13">
        <v>75</v>
      </c>
      <c r="M13" s="18" t="s">
        <v>58</v>
      </c>
      <c r="N13" t="s">
        <v>59</v>
      </c>
      <c r="O13" t="s">
        <v>83</v>
      </c>
      <c r="P13">
        <f>8.6*7</f>
        <v>60.199999999999996</v>
      </c>
      <c r="Q13" t="s">
        <v>48</v>
      </c>
      <c r="R13" t="s">
        <v>47</v>
      </c>
      <c r="S13" t="s">
        <v>47</v>
      </c>
      <c r="T13" t="s">
        <v>47</v>
      </c>
      <c r="U13" t="s">
        <v>47</v>
      </c>
      <c r="V13" t="s">
        <v>47</v>
      </c>
      <c r="W13">
        <v>196.4</v>
      </c>
      <c r="X13" t="s">
        <v>49</v>
      </c>
      <c r="Y13" t="s">
        <v>48</v>
      </c>
      <c r="Z13" t="s">
        <v>47</v>
      </c>
      <c r="AA13" t="s">
        <v>47</v>
      </c>
      <c r="AB13" t="s">
        <v>47</v>
      </c>
      <c r="AC13">
        <v>147.6</v>
      </c>
      <c r="AD13">
        <v>238.4</v>
      </c>
      <c r="AE13" t="s">
        <v>78</v>
      </c>
      <c r="AF13">
        <v>147.6</v>
      </c>
      <c r="AG13">
        <v>238.4</v>
      </c>
      <c r="AH13">
        <v>1</v>
      </c>
      <c r="AI13" t="s">
        <v>49</v>
      </c>
      <c r="AJ13">
        <f t="shared" si="0"/>
        <v>196.4</v>
      </c>
      <c r="AK13" t="s">
        <v>78</v>
      </c>
      <c r="AL13">
        <f t="shared" si="1"/>
        <v>147.6</v>
      </c>
      <c r="AM13">
        <f t="shared" si="2"/>
        <v>238.4</v>
      </c>
      <c r="AN13">
        <f t="shared" si="3"/>
        <v>147.6</v>
      </c>
      <c r="AO13">
        <f t="shared" si="4"/>
        <v>238.4</v>
      </c>
    </row>
    <row r="14" spans="1:41" x14ac:dyDescent="0.25">
      <c r="A14" s="1">
        <v>3</v>
      </c>
      <c r="B14" t="s">
        <v>74</v>
      </c>
      <c r="C14" t="s">
        <v>75</v>
      </c>
      <c r="D14" s="18" t="s">
        <v>118</v>
      </c>
      <c r="E14" t="s">
        <v>76</v>
      </c>
      <c r="F14" t="s">
        <v>41</v>
      </c>
      <c r="G14" t="s">
        <v>41</v>
      </c>
      <c r="H14" t="s">
        <v>57</v>
      </c>
      <c r="I14" t="s">
        <v>42</v>
      </c>
      <c r="K14" t="s">
        <v>239</v>
      </c>
      <c r="L14">
        <v>75</v>
      </c>
      <c r="M14" s="18" t="s">
        <v>58</v>
      </c>
      <c r="N14" t="s">
        <v>59</v>
      </c>
      <c r="O14" t="s">
        <v>84</v>
      </c>
      <c r="P14">
        <f>12.9*7</f>
        <v>90.3</v>
      </c>
      <c r="Q14" t="s">
        <v>48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>
        <v>176.1</v>
      </c>
      <c r="X14" t="s">
        <v>49</v>
      </c>
      <c r="Y14" t="s">
        <v>48</v>
      </c>
      <c r="Z14" t="s">
        <v>47</v>
      </c>
      <c r="AA14" t="s">
        <v>47</v>
      </c>
      <c r="AB14" t="s">
        <v>47</v>
      </c>
      <c r="AC14">
        <v>117.8</v>
      </c>
      <c r="AD14">
        <v>209.9</v>
      </c>
      <c r="AE14" t="s">
        <v>78</v>
      </c>
      <c r="AF14">
        <v>117.8</v>
      </c>
      <c r="AG14">
        <v>209.9</v>
      </c>
      <c r="AH14">
        <v>1</v>
      </c>
      <c r="AI14" t="s">
        <v>49</v>
      </c>
      <c r="AJ14">
        <f t="shared" si="0"/>
        <v>176.1</v>
      </c>
      <c r="AK14" t="s">
        <v>78</v>
      </c>
      <c r="AL14">
        <f t="shared" si="1"/>
        <v>117.8</v>
      </c>
      <c r="AM14">
        <f t="shared" si="2"/>
        <v>209.9</v>
      </c>
      <c r="AN14">
        <f t="shared" si="3"/>
        <v>117.8</v>
      </c>
      <c r="AO14">
        <f t="shared" si="4"/>
        <v>209.9</v>
      </c>
    </row>
    <row r="15" spans="1:41" x14ac:dyDescent="0.25">
      <c r="A15" s="1">
        <v>3</v>
      </c>
      <c r="B15" t="s">
        <v>74</v>
      </c>
      <c r="C15" t="s">
        <v>75</v>
      </c>
      <c r="D15" s="18" t="s">
        <v>117</v>
      </c>
      <c r="E15" t="s">
        <v>56</v>
      </c>
      <c r="F15" t="s">
        <v>41</v>
      </c>
      <c r="G15" t="s">
        <v>41</v>
      </c>
      <c r="H15" t="s">
        <v>57</v>
      </c>
      <c r="I15" t="s">
        <v>42</v>
      </c>
      <c r="K15" t="s">
        <v>239</v>
      </c>
      <c r="L15">
        <v>318</v>
      </c>
      <c r="M15" s="18" t="s">
        <v>58</v>
      </c>
      <c r="N15" t="s">
        <v>59</v>
      </c>
      <c r="O15" t="s">
        <v>79</v>
      </c>
      <c r="P15">
        <f>7.4*7</f>
        <v>51.800000000000004</v>
      </c>
      <c r="Q15" t="s">
        <v>48</v>
      </c>
      <c r="R15">
        <f>14.9*7</f>
        <v>104.3</v>
      </c>
      <c r="S15">
        <f>19.3*7</f>
        <v>135.1</v>
      </c>
      <c r="T15" t="s">
        <v>78</v>
      </c>
      <c r="U15" t="s">
        <v>47</v>
      </c>
      <c r="V15" t="s">
        <v>47</v>
      </c>
      <c r="W15">
        <v>99.7</v>
      </c>
      <c r="X15" t="s">
        <v>49</v>
      </c>
      <c r="Y15" t="s">
        <v>48</v>
      </c>
      <c r="Z15" t="s">
        <v>47</v>
      </c>
      <c r="AA15" t="s">
        <v>47</v>
      </c>
      <c r="AB15" t="s">
        <v>47</v>
      </c>
      <c r="AC15">
        <v>67.5</v>
      </c>
      <c r="AD15">
        <v>149.1</v>
      </c>
      <c r="AE15" t="s">
        <v>78</v>
      </c>
      <c r="AF15">
        <v>67.5</v>
      </c>
      <c r="AG15">
        <v>149.1</v>
      </c>
      <c r="AH15">
        <v>1</v>
      </c>
      <c r="AI15" t="s">
        <v>49</v>
      </c>
      <c r="AJ15">
        <f t="shared" si="0"/>
        <v>99.7</v>
      </c>
      <c r="AK15" t="s">
        <v>78</v>
      </c>
      <c r="AL15">
        <f t="shared" si="1"/>
        <v>67.5</v>
      </c>
      <c r="AM15">
        <f t="shared" si="2"/>
        <v>149.1</v>
      </c>
      <c r="AN15">
        <f t="shared" si="3"/>
        <v>67.5</v>
      </c>
      <c r="AO15">
        <f t="shared" si="4"/>
        <v>149.1</v>
      </c>
    </row>
    <row r="16" spans="1:41" x14ac:dyDescent="0.25">
      <c r="A16" s="1">
        <v>3</v>
      </c>
      <c r="B16" t="s">
        <v>74</v>
      </c>
      <c r="C16" t="s">
        <v>75</v>
      </c>
      <c r="D16" s="18" t="s">
        <v>118</v>
      </c>
      <c r="E16" t="s">
        <v>40</v>
      </c>
      <c r="F16" t="s">
        <v>41</v>
      </c>
      <c r="G16" t="s">
        <v>41</v>
      </c>
      <c r="H16" t="s">
        <v>57</v>
      </c>
      <c r="I16" t="s">
        <v>42</v>
      </c>
      <c r="K16" t="s">
        <v>239</v>
      </c>
      <c r="L16">
        <v>118</v>
      </c>
      <c r="M16" s="18" t="s">
        <v>58</v>
      </c>
      <c r="N16" t="s">
        <v>59</v>
      </c>
      <c r="O16" t="s">
        <v>80</v>
      </c>
      <c r="P16">
        <f>9.1*7</f>
        <v>63.699999999999996</v>
      </c>
      <c r="Q16" t="s">
        <v>48</v>
      </c>
      <c r="R16">
        <f>6.6*7</f>
        <v>46.199999999999996</v>
      </c>
      <c r="S16">
        <f>14.1*7</f>
        <v>98.7</v>
      </c>
      <c r="T16" t="s">
        <v>78</v>
      </c>
      <c r="U16" t="s">
        <v>47</v>
      </c>
      <c r="V16" t="s">
        <v>47</v>
      </c>
      <c r="W16">
        <v>185</v>
      </c>
      <c r="X16" t="s">
        <v>49</v>
      </c>
      <c r="Y16" t="s">
        <v>48</v>
      </c>
      <c r="Z16" t="s">
        <v>47</v>
      </c>
      <c r="AA16" t="s">
        <v>47</v>
      </c>
      <c r="AB16" t="s">
        <v>47</v>
      </c>
      <c r="AC16">
        <v>151</v>
      </c>
      <c r="AD16">
        <v>229.5</v>
      </c>
      <c r="AE16" t="s">
        <v>78</v>
      </c>
      <c r="AF16">
        <v>151</v>
      </c>
      <c r="AG16">
        <v>229.5</v>
      </c>
      <c r="AH16">
        <v>1</v>
      </c>
      <c r="AI16" t="s">
        <v>49</v>
      </c>
      <c r="AJ16">
        <f t="shared" si="0"/>
        <v>185</v>
      </c>
      <c r="AK16" t="s">
        <v>78</v>
      </c>
      <c r="AL16">
        <f t="shared" si="1"/>
        <v>151</v>
      </c>
      <c r="AM16">
        <f t="shared" si="2"/>
        <v>229.5</v>
      </c>
      <c r="AN16">
        <f t="shared" si="3"/>
        <v>151</v>
      </c>
      <c r="AO16">
        <f t="shared" si="4"/>
        <v>229.5</v>
      </c>
    </row>
    <row r="17" spans="1:41" x14ac:dyDescent="0.25">
      <c r="A17" s="1">
        <v>3</v>
      </c>
      <c r="B17" t="s">
        <v>74</v>
      </c>
      <c r="C17" t="s">
        <v>75</v>
      </c>
      <c r="D17" s="18" t="s">
        <v>118</v>
      </c>
      <c r="E17" t="s">
        <v>40</v>
      </c>
      <c r="F17" t="s">
        <v>41</v>
      </c>
      <c r="G17" t="s">
        <v>41</v>
      </c>
      <c r="H17" t="s">
        <v>57</v>
      </c>
      <c r="I17" t="s">
        <v>42</v>
      </c>
      <c r="K17" t="s">
        <v>239</v>
      </c>
      <c r="L17">
        <v>33</v>
      </c>
      <c r="M17" s="18" t="s">
        <v>58</v>
      </c>
      <c r="N17" t="s">
        <v>59</v>
      </c>
      <c r="O17" t="s">
        <v>85</v>
      </c>
      <c r="P17">
        <f>7.6*7</f>
        <v>53.199999999999996</v>
      </c>
      <c r="Q17" t="s">
        <v>48</v>
      </c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>
        <v>174.7</v>
      </c>
      <c r="X17" t="s">
        <v>49</v>
      </c>
      <c r="Y17" t="s">
        <v>48</v>
      </c>
      <c r="Z17" t="s">
        <v>47</v>
      </c>
      <c r="AA17" t="s">
        <v>47</v>
      </c>
      <c r="AB17" t="s">
        <v>47</v>
      </c>
      <c r="AC17">
        <v>144.9</v>
      </c>
      <c r="AD17">
        <v>216.7</v>
      </c>
      <c r="AE17" t="s">
        <v>78</v>
      </c>
      <c r="AF17">
        <v>144.9</v>
      </c>
      <c r="AG17">
        <v>216.7</v>
      </c>
      <c r="AH17">
        <v>1</v>
      </c>
      <c r="AI17" t="s">
        <v>49</v>
      </c>
      <c r="AJ17">
        <f t="shared" si="0"/>
        <v>174.7</v>
      </c>
      <c r="AK17" t="s">
        <v>78</v>
      </c>
      <c r="AL17">
        <f t="shared" si="1"/>
        <v>144.9</v>
      </c>
      <c r="AM17">
        <f t="shared" si="2"/>
        <v>216.7</v>
      </c>
      <c r="AN17">
        <f t="shared" si="3"/>
        <v>144.9</v>
      </c>
      <c r="AO17">
        <f t="shared" si="4"/>
        <v>216.7</v>
      </c>
    </row>
    <row r="18" spans="1:41" x14ac:dyDescent="0.25">
      <c r="A18" s="1">
        <v>3</v>
      </c>
      <c r="B18" t="s">
        <v>74</v>
      </c>
      <c r="C18" t="s">
        <v>75</v>
      </c>
      <c r="D18" s="18" t="s">
        <v>118</v>
      </c>
      <c r="E18" t="s">
        <v>40</v>
      </c>
      <c r="F18" t="s">
        <v>41</v>
      </c>
      <c r="G18" t="s">
        <v>41</v>
      </c>
      <c r="H18" t="s">
        <v>57</v>
      </c>
      <c r="I18" t="s">
        <v>42</v>
      </c>
      <c r="K18" t="s">
        <v>239</v>
      </c>
      <c r="L18">
        <v>33</v>
      </c>
      <c r="M18" s="18" t="s">
        <v>58</v>
      </c>
      <c r="N18" t="s">
        <v>59</v>
      </c>
      <c r="O18" t="s">
        <v>86</v>
      </c>
      <c r="P18">
        <f>16.9*7</f>
        <v>118.29999999999998</v>
      </c>
      <c r="Q18" t="s">
        <v>48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>
        <v>142.19999999999999</v>
      </c>
      <c r="X18" t="s">
        <v>49</v>
      </c>
      <c r="Y18" t="s">
        <v>48</v>
      </c>
      <c r="Z18" t="s">
        <v>47</v>
      </c>
      <c r="AA18" t="s">
        <v>47</v>
      </c>
      <c r="AB18" t="s">
        <v>47</v>
      </c>
      <c r="AC18">
        <v>109.7</v>
      </c>
      <c r="AD18">
        <v>196.4</v>
      </c>
      <c r="AE18" t="s">
        <v>78</v>
      </c>
      <c r="AF18">
        <v>109.7</v>
      </c>
      <c r="AG18">
        <v>196.4</v>
      </c>
      <c r="AH18">
        <v>1</v>
      </c>
      <c r="AI18" t="s">
        <v>49</v>
      </c>
      <c r="AJ18">
        <f t="shared" si="0"/>
        <v>142.19999999999999</v>
      </c>
      <c r="AK18" t="s">
        <v>78</v>
      </c>
      <c r="AL18">
        <f t="shared" si="1"/>
        <v>109.7</v>
      </c>
      <c r="AM18">
        <f t="shared" si="2"/>
        <v>196.4</v>
      </c>
      <c r="AN18">
        <f t="shared" si="3"/>
        <v>109.7</v>
      </c>
      <c r="AO18">
        <f t="shared" si="4"/>
        <v>196.4</v>
      </c>
    </row>
    <row r="19" spans="1:41" x14ac:dyDescent="0.25">
      <c r="A19" s="1">
        <v>3</v>
      </c>
      <c r="B19" t="s">
        <v>74</v>
      </c>
      <c r="C19" t="s">
        <v>75</v>
      </c>
      <c r="D19" s="18" t="s">
        <v>118</v>
      </c>
      <c r="E19" t="s">
        <v>40</v>
      </c>
      <c r="F19" t="s">
        <v>41</v>
      </c>
      <c r="G19" t="s">
        <v>41</v>
      </c>
      <c r="H19" t="s">
        <v>57</v>
      </c>
      <c r="I19" t="s">
        <v>42</v>
      </c>
      <c r="K19" t="s">
        <v>239</v>
      </c>
      <c r="L19">
        <v>33</v>
      </c>
      <c r="M19" s="18" t="s">
        <v>58</v>
      </c>
      <c r="N19" t="s">
        <v>59</v>
      </c>
      <c r="O19" t="s">
        <v>87</v>
      </c>
      <c r="P19">
        <f>24.9*7</f>
        <v>174.29999999999998</v>
      </c>
      <c r="Q19" t="s">
        <v>48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>
        <v>119.2</v>
      </c>
      <c r="X19" t="s">
        <v>49</v>
      </c>
      <c r="Y19" t="s">
        <v>48</v>
      </c>
      <c r="Z19" t="s">
        <v>47</v>
      </c>
      <c r="AA19" t="s">
        <v>47</v>
      </c>
      <c r="AB19" t="s">
        <v>47</v>
      </c>
      <c r="AC19">
        <v>82.6</v>
      </c>
      <c r="AD19">
        <v>196.4</v>
      </c>
      <c r="AE19" t="s">
        <v>78</v>
      </c>
      <c r="AF19">
        <v>82.6</v>
      </c>
      <c r="AG19">
        <v>196.4</v>
      </c>
      <c r="AH19">
        <v>1</v>
      </c>
      <c r="AI19" t="s">
        <v>49</v>
      </c>
      <c r="AJ19">
        <f t="shared" si="0"/>
        <v>119.2</v>
      </c>
      <c r="AK19" t="s">
        <v>78</v>
      </c>
      <c r="AL19">
        <f t="shared" si="1"/>
        <v>82.6</v>
      </c>
      <c r="AM19">
        <f t="shared" si="2"/>
        <v>196.4</v>
      </c>
      <c r="AN19">
        <f t="shared" si="3"/>
        <v>82.6</v>
      </c>
      <c r="AO19">
        <f t="shared" si="4"/>
        <v>196.4</v>
      </c>
    </row>
    <row r="20" spans="1:41" x14ac:dyDescent="0.25">
      <c r="A20" s="1">
        <v>3</v>
      </c>
      <c r="B20" t="s">
        <v>74</v>
      </c>
      <c r="C20" t="s">
        <v>75</v>
      </c>
      <c r="D20" s="18" t="s">
        <v>117</v>
      </c>
      <c r="E20" t="s">
        <v>81</v>
      </c>
      <c r="F20" t="s">
        <v>41</v>
      </c>
      <c r="G20" t="s">
        <v>41</v>
      </c>
      <c r="H20" t="s">
        <v>57</v>
      </c>
      <c r="I20" t="s">
        <v>42</v>
      </c>
      <c r="K20" t="s">
        <v>239</v>
      </c>
      <c r="L20">
        <v>117</v>
      </c>
      <c r="M20" s="18" t="s">
        <v>58</v>
      </c>
      <c r="N20" t="s">
        <v>59</v>
      </c>
      <c r="O20" t="s">
        <v>82</v>
      </c>
      <c r="P20">
        <f>3.9*7</f>
        <v>27.3</v>
      </c>
      <c r="Q20" t="s">
        <v>48</v>
      </c>
      <c r="R20">
        <f>3*7</f>
        <v>21</v>
      </c>
      <c r="S20">
        <f>4.9*7</f>
        <v>34.300000000000004</v>
      </c>
      <c r="T20" t="s">
        <v>78</v>
      </c>
      <c r="U20" t="s">
        <v>47</v>
      </c>
      <c r="V20" t="s">
        <v>47</v>
      </c>
      <c r="W20">
        <v>216.2</v>
      </c>
      <c r="X20" t="s">
        <v>49</v>
      </c>
      <c r="Y20" t="s">
        <v>48</v>
      </c>
      <c r="Z20" t="s">
        <v>47</v>
      </c>
      <c r="AA20" t="s">
        <v>47</v>
      </c>
      <c r="AB20" t="s">
        <v>47</v>
      </c>
      <c r="AC20">
        <v>160.6</v>
      </c>
      <c r="AD20">
        <v>268.8</v>
      </c>
      <c r="AE20" t="s">
        <v>78</v>
      </c>
      <c r="AF20">
        <v>160.6</v>
      </c>
      <c r="AG20">
        <v>268.8</v>
      </c>
      <c r="AH20">
        <v>1</v>
      </c>
      <c r="AI20" t="s">
        <v>49</v>
      </c>
      <c r="AJ20">
        <f t="shared" si="0"/>
        <v>216.2</v>
      </c>
      <c r="AK20" t="s">
        <v>78</v>
      </c>
      <c r="AL20">
        <f t="shared" si="1"/>
        <v>160.6</v>
      </c>
      <c r="AM20">
        <f t="shared" si="2"/>
        <v>268.8</v>
      </c>
      <c r="AN20">
        <f t="shared" si="3"/>
        <v>160.6</v>
      </c>
      <c r="AO20">
        <f t="shared" si="4"/>
        <v>268.8</v>
      </c>
    </row>
    <row r="21" spans="1:41" x14ac:dyDescent="0.25">
      <c r="A21" s="1">
        <v>4</v>
      </c>
      <c r="B21" t="s">
        <v>88</v>
      </c>
      <c r="C21" t="s">
        <v>89</v>
      </c>
      <c r="D21" s="18" t="s">
        <v>118</v>
      </c>
      <c r="E21" t="s">
        <v>90</v>
      </c>
      <c r="F21" t="s">
        <v>41</v>
      </c>
      <c r="G21" t="s">
        <v>41</v>
      </c>
      <c r="H21" t="s">
        <v>52</v>
      </c>
      <c r="I21" t="s">
        <v>96</v>
      </c>
      <c r="K21" t="s">
        <v>241</v>
      </c>
      <c r="L21">
        <v>25</v>
      </c>
      <c r="M21" s="18" t="s">
        <v>58</v>
      </c>
      <c r="N21" t="s">
        <v>43</v>
      </c>
      <c r="O21" t="s">
        <v>50</v>
      </c>
      <c r="P21">
        <f>1*30</f>
        <v>30</v>
      </c>
      <c r="Q21" t="s">
        <v>51</v>
      </c>
      <c r="R21" t="s">
        <v>47</v>
      </c>
      <c r="S21" t="s">
        <v>47</v>
      </c>
      <c r="T21" t="s">
        <v>47</v>
      </c>
      <c r="U21" t="s">
        <v>47</v>
      </c>
      <c r="V21" t="s">
        <v>47</v>
      </c>
      <c r="W21">
        <v>237.6</v>
      </c>
      <c r="X21" t="s">
        <v>97</v>
      </c>
      <c r="Y21" t="s">
        <v>61</v>
      </c>
      <c r="Z21">
        <f>261.1-237.6</f>
        <v>23.500000000000028</v>
      </c>
      <c r="AA21" t="s">
        <v>62</v>
      </c>
      <c r="AB21">
        <f t="shared" ref="AB21:AB52" si="5">Z21/SQRT(L21)</f>
        <v>4.7000000000000055</v>
      </c>
      <c r="AC21">
        <f t="shared" ref="AC21:AC52" si="6">W21-Z21</f>
        <v>214.09999999999997</v>
      </c>
      <c r="AD21">
        <f t="shared" ref="AD21:AD52" si="7">W21+Z21</f>
        <v>261.10000000000002</v>
      </c>
      <c r="AE21" t="s">
        <v>62</v>
      </c>
      <c r="AF21">
        <f t="shared" ref="AF21:AF52" si="8">W21-AB21</f>
        <v>232.89999999999998</v>
      </c>
      <c r="AG21">
        <f t="shared" ref="AG21:AG52" si="9">W21+AB21</f>
        <v>242.3</v>
      </c>
      <c r="AH21">
        <v>1</v>
      </c>
      <c r="AI21" t="s">
        <v>97</v>
      </c>
      <c r="AJ21">
        <f t="shared" si="0"/>
        <v>237.6</v>
      </c>
      <c r="AK21" t="s">
        <v>63</v>
      </c>
      <c r="AL21">
        <f t="shared" si="1"/>
        <v>214.09999999999997</v>
      </c>
      <c r="AM21">
        <f t="shared" si="2"/>
        <v>261.10000000000002</v>
      </c>
      <c r="AN21">
        <f t="shared" si="3"/>
        <v>232.89999999999998</v>
      </c>
      <c r="AO21">
        <f t="shared" si="4"/>
        <v>242.3</v>
      </c>
    </row>
    <row r="22" spans="1:41" x14ac:dyDescent="0.25">
      <c r="A22" s="1">
        <v>4</v>
      </c>
      <c r="B22" t="s">
        <v>88</v>
      </c>
      <c r="C22" t="s">
        <v>89</v>
      </c>
      <c r="D22" s="18" t="s">
        <v>118</v>
      </c>
      <c r="E22" t="s">
        <v>90</v>
      </c>
      <c r="F22" t="s">
        <v>41</v>
      </c>
      <c r="G22" t="s">
        <v>41</v>
      </c>
      <c r="H22" t="s">
        <v>52</v>
      </c>
      <c r="I22" t="s">
        <v>98</v>
      </c>
      <c r="K22" t="s">
        <v>241</v>
      </c>
      <c r="L22">
        <v>25</v>
      </c>
      <c r="M22" s="18" t="s">
        <v>58</v>
      </c>
      <c r="N22" t="s">
        <v>43</v>
      </c>
      <c r="O22" t="s">
        <v>50</v>
      </c>
      <c r="P22">
        <f>1*30</f>
        <v>30</v>
      </c>
      <c r="Q22" t="s">
        <v>51</v>
      </c>
      <c r="R22" t="s">
        <v>47</v>
      </c>
      <c r="S22" t="s">
        <v>47</v>
      </c>
      <c r="T22" t="s">
        <v>47</v>
      </c>
      <c r="U22" t="s">
        <v>47</v>
      </c>
      <c r="V22" t="s">
        <v>47</v>
      </c>
      <c r="W22">
        <v>171.8</v>
      </c>
      <c r="X22" t="s">
        <v>97</v>
      </c>
      <c r="Y22" t="s">
        <v>61</v>
      </c>
      <c r="Z22">
        <f>192.6-171.8</f>
        <v>20.799999999999983</v>
      </c>
      <c r="AA22" t="s">
        <v>62</v>
      </c>
      <c r="AB22">
        <f t="shared" si="5"/>
        <v>4.1599999999999966</v>
      </c>
      <c r="AC22">
        <f t="shared" si="6"/>
        <v>151.00000000000003</v>
      </c>
      <c r="AD22">
        <f t="shared" si="7"/>
        <v>192.6</v>
      </c>
      <c r="AE22" t="s">
        <v>62</v>
      </c>
      <c r="AF22">
        <f t="shared" si="8"/>
        <v>167.64000000000001</v>
      </c>
      <c r="AG22">
        <f t="shared" si="9"/>
        <v>175.96</v>
      </c>
      <c r="AH22">
        <v>1</v>
      </c>
      <c r="AI22" t="s">
        <v>97</v>
      </c>
      <c r="AJ22">
        <f t="shared" si="0"/>
        <v>171.8</v>
      </c>
      <c r="AK22" t="s">
        <v>63</v>
      </c>
      <c r="AL22">
        <f t="shared" si="1"/>
        <v>151.00000000000003</v>
      </c>
      <c r="AM22">
        <f t="shared" si="2"/>
        <v>192.6</v>
      </c>
      <c r="AN22">
        <f t="shared" si="3"/>
        <v>167.64000000000001</v>
      </c>
      <c r="AO22">
        <f t="shared" si="4"/>
        <v>175.96</v>
      </c>
    </row>
    <row r="23" spans="1:41" x14ac:dyDescent="0.25">
      <c r="A23" s="1">
        <v>4</v>
      </c>
      <c r="B23" t="s">
        <v>88</v>
      </c>
      <c r="C23" t="s">
        <v>89</v>
      </c>
      <c r="D23" s="18" t="s">
        <v>118</v>
      </c>
      <c r="E23" t="s">
        <v>90</v>
      </c>
      <c r="F23" t="s">
        <v>41</v>
      </c>
      <c r="G23" t="s">
        <v>41</v>
      </c>
      <c r="H23" t="s">
        <v>52</v>
      </c>
      <c r="I23" t="s">
        <v>99</v>
      </c>
      <c r="K23" t="s">
        <v>241</v>
      </c>
      <c r="L23">
        <v>25</v>
      </c>
      <c r="M23" s="18" t="s">
        <v>58</v>
      </c>
      <c r="N23" t="s">
        <v>43</v>
      </c>
      <c r="O23" t="s">
        <v>50</v>
      </c>
      <c r="P23">
        <f>1*30</f>
        <v>30</v>
      </c>
      <c r="Q23" t="s">
        <v>51</v>
      </c>
      <c r="R23" t="s">
        <v>47</v>
      </c>
      <c r="S23" t="s">
        <v>47</v>
      </c>
      <c r="T23" t="s">
        <v>47</v>
      </c>
      <c r="U23" t="s">
        <v>47</v>
      </c>
      <c r="V23" t="s">
        <v>47</v>
      </c>
      <c r="W23">
        <v>224.8</v>
      </c>
      <c r="X23" t="s">
        <v>97</v>
      </c>
      <c r="Y23" t="s">
        <v>61</v>
      </c>
      <c r="Z23">
        <f>256.4-224.6</f>
        <v>31.799999999999983</v>
      </c>
      <c r="AA23" t="s">
        <v>62</v>
      </c>
      <c r="AB23">
        <f t="shared" si="5"/>
        <v>6.3599999999999968</v>
      </c>
      <c r="AC23">
        <f t="shared" si="6"/>
        <v>193.00000000000003</v>
      </c>
      <c r="AD23">
        <f t="shared" si="7"/>
        <v>256.60000000000002</v>
      </c>
      <c r="AE23" t="s">
        <v>62</v>
      </c>
      <c r="AF23">
        <f t="shared" si="8"/>
        <v>218.44000000000003</v>
      </c>
      <c r="AG23">
        <f t="shared" si="9"/>
        <v>231.16</v>
      </c>
      <c r="AH23">
        <v>1</v>
      </c>
      <c r="AI23" t="s">
        <v>97</v>
      </c>
      <c r="AJ23">
        <f t="shared" si="0"/>
        <v>224.8</v>
      </c>
      <c r="AK23" t="s">
        <v>63</v>
      </c>
      <c r="AL23">
        <f t="shared" si="1"/>
        <v>193.00000000000003</v>
      </c>
      <c r="AM23">
        <f t="shared" si="2"/>
        <v>256.60000000000002</v>
      </c>
      <c r="AN23">
        <f t="shared" si="3"/>
        <v>218.44000000000003</v>
      </c>
      <c r="AO23">
        <f t="shared" si="4"/>
        <v>231.16</v>
      </c>
    </row>
    <row r="24" spans="1:41" x14ac:dyDescent="0.25">
      <c r="A24" s="1">
        <v>4</v>
      </c>
      <c r="B24" t="s">
        <v>88</v>
      </c>
      <c r="C24" t="s">
        <v>89</v>
      </c>
      <c r="D24" s="18" t="s">
        <v>118</v>
      </c>
      <c r="E24" t="s">
        <v>90</v>
      </c>
      <c r="F24" t="s">
        <v>41</v>
      </c>
      <c r="G24" t="s">
        <v>41</v>
      </c>
      <c r="H24" t="s">
        <v>52</v>
      </c>
      <c r="I24" t="s">
        <v>100</v>
      </c>
      <c r="K24" t="s">
        <v>241</v>
      </c>
      <c r="L24">
        <v>25</v>
      </c>
      <c r="M24" s="18" t="s">
        <v>58</v>
      </c>
      <c r="N24" t="s">
        <v>43</v>
      </c>
      <c r="O24" t="s">
        <v>50</v>
      </c>
      <c r="P24">
        <f>1*30</f>
        <v>30</v>
      </c>
      <c r="Q24" t="s">
        <v>51</v>
      </c>
      <c r="R24" t="s">
        <v>47</v>
      </c>
      <c r="S24" t="s">
        <v>47</v>
      </c>
      <c r="T24" t="s">
        <v>47</v>
      </c>
      <c r="U24" t="s">
        <v>47</v>
      </c>
      <c r="V24" t="s">
        <v>47</v>
      </c>
      <c r="W24">
        <v>228.9</v>
      </c>
      <c r="X24" t="s">
        <v>97</v>
      </c>
      <c r="Y24" t="s">
        <v>61</v>
      </c>
      <c r="Z24">
        <f>252.3-228.9</f>
        <v>23.400000000000006</v>
      </c>
      <c r="AA24" t="s">
        <v>62</v>
      </c>
      <c r="AB24">
        <f t="shared" si="5"/>
        <v>4.6800000000000015</v>
      </c>
      <c r="AC24">
        <f t="shared" si="6"/>
        <v>205.5</v>
      </c>
      <c r="AD24">
        <f t="shared" si="7"/>
        <v>252.3</v>
      </c>
      <c r="AE24" t="s">
        <v>62</v>
      </c>
      <c r="AF24">
        <f t="shared" si="8"/>
        <v>224.22</v>
      </c>
      <c r="AG24">
        <f t="shared" si="9"/>
        <v>233.58</v>
      </c>
      <c r="AH24">
        <v>1</v>
      </c>
      <c r="AI24" t="s">
        <v>97</v>
      </c>
      <c r="AJ24">
        <f t="shared" si="0"/>
        <v>228.9</v>
      </c>
      <c r="AK24" t="s">
        <v>63</v>
      </c>
      <c r="AL24">
        <f t="shared" si="1"/>
        <v>205.5</v>
      </c>
      <c r="AM24">
        <f t="shared" si="2"/>
        <v>252.3</v>
      </c>
      <c r="AN24">
        <f t="shared" si="3"/>
        <v>224.22</v>
      </c>
      <c r="AO24">
        <f t="shared" si="4"/>
        <v>233.58</v>
      </c>
    </row>
    <row r="25" spans="1:41" x14ac:dyDescent="0.25">
      <c r="A25" s="1">
        <v>4</v>
      </c>
      <c r="B25" t="s">
        <v>88</v>
      </c>
      <c r="C25" t="s">
        <v>89</v>
      </c>
      <c r="D25" s="18" t="s">
        <v>118</v>
      </c>
      <c r="E25" t="s">
        <v>90</v>
      </c>
      <c r="F25" t="s">
        <v>41</v>
      </c>
      <c r="G25" t="s">
        <v>41</v>
      </c>
      <c r="H25" t="s">
        <v>52</v>
      </c>
      <c r="I25" t="s">
        <v>96</v>
      </c>
      <c r="K25" t="s">
        <v>241</v>
      </c>
      <c r="L25">
        <v>25</v>
      </c>
      <c r="M25" s="18" t="s">
        <v>58</v>
      </c>
      <c r="N25" t="s">
        <v>43</v>
      </c>
      <c r="O25" t="s">
        <v>93</v>
      </c>
      <c r="P25">
        <f>4*30</f>
        <v>120</v>
      </c>
      <c r="Q25" t="s">
        <v>51</v>
      </c>
      <c r="R25" t="s">
        <v>47</v>
      </c>
      <c r="S25" t="s">
        <v>47</v>
      </c>
      <c r="T25" t="s">
        <v>47</v>
      </c>
      <c r="U25" t="s">
        <v>47</v>
      </c>
      <c r="V25" t="s">
        <v>47</v>
      </c>
      <c r="W25">
        <v>100.6</v>
      </c>
      <c r="X25" t="s">
        <v>97</v>
      </c>
      <c r="Y25" t="s">
        <v>61</v>
      </c>
      <c r="Z25">
        <f>116.2-100.6</f>
        <v>15.600000000000009</v>
      </c>
      <c r="AA25" t="s">
        <v>62</v>
      </c>
      <c r="AB25">
        <f t="shared" si="5"/>
        <v>3.1200000000000019</v>
      </c>
      <c r="AC25">
        <f t="shared" si="6"/>
        <v>84.999999999999986</v>
      </c>
      <c r="AD25">
        <f t="shared" si="7"/>
        <v>116.2</v>
      </c>
      <c r="AE25" t="s">
        <v>62</v>
      </c>
      <c r="AF25">
        <f t="shared" si="8"/>
        <v>97.47999999999999</v>
      </c>
      <c r="AG25">
        <f t="shared" si="9"/>
        <v>103.72</v>
      </c>
      <c r="AH25">
        <v>1</v>
      </c>
      <c r="AI25" t="s">
        <v>97</v>
      </c>
      <c r="AJ25">
        <f t="shared" si="0"/>
        <v>100.6</v>
      </c>
      <c r="AK25" t="s">
        <v>63</v>
      </c>
      <c r="AL25">
        <f t="shared" si="1"/>
        <v>84.999999999999986</v>
      </c>
      <c r="AM25">
        <f t="shared" si="2"/>
        <v>116.2</v>
      </c>
      <c r="AN25">
        <f t="shared" si="3"/>
        <v>97.47999999999999</v>
      </c>
      <c r="AO25">
        <f t="shared" si="4"/>
        <v>103.72</v>
      </c>
    </row>
    <row r="26" spans="1:41" x14ac:dyDescent="0.25">
      <c r="A26" s="1">
        <v>4</v>
      </c>
      <c r="B26" t="s">
        <v>88</v>
      </c>
      <c r="C26" t="s">
        <v>89</v>
      </c>
      <c r="D26" s="18" t="s">
        <v>118</v>
      </c>
      <c r="E26" t="s">
        <v>90</v>
      </c>
      <c r="F26" t="s">
        <v>41</v>
      </c>
      <c r="G26" t="s">
        <v>41</v>
      </c>
      <c r="H26" t="s">
        <v>52</v>
      </c>
      <c r="I26" t="s">
        <v>98</v>
      </c>
      <c r="K26" t="s">
        <v>241</v>
      </c>
      <c r="L26">
        <v>25</v>
      </c>
      <c r="M26" s="18" t="s">
        <v>58</v>
      </c>
      <c r="N26" t="s">
        <v>43</v>
      </c>
      <c r="O26" t="s">
        <v>93</v>
      </c>
      <c r="P26">
        <f>4*30</f>
        <v>120</v>
      </c>
      <c r="Q26" t="s">
        <v>51</v>
      </c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>
        <v>74.7</v>
      </c>
      <c r="X26" t="s">
        <v>97</v>
      </c>
      <c r="Y26" t="s">
        <v>61</v>
      </c>
      <c r="Z26">
        <f>83.1-74.7</f>
        <v>8.3999999999999915</v>
      </c>
      <c r="AA26" t="s">
        <v>62</v>
      </c>
      <c r="AB26">
        <f t="shared" si="5"/>
        <v>1.6799999999999984</v>
      </c>
      <c r="AC26">
        <f t="shared" si="6"/>
        <v>66.300000000000011</v>
      </c>
      <c r="AD26">
        <f t="shared" si="7"/>
        <v>83.1</v>
      </c>
      <c r="AE26" t="s">
        <v>62</v>
      </c>
      <c r="AF26">
        <f t="shared" si="8"/>
        <v>73.02000000000001</v>
      </c>
      <c r="AG26">
        <f t="shared" si="9"/>
        <v>76.38</v>
      </c>
      <c r="AH26">
        <v>1</v>
      </c>
      <c r="AI26" t="s">
        <v>97</v>
      </c>
      <c r="AJ26">
        <f t="shared" si="0"/>
        <v>74.7</v>
      </c>
      <c r="AK26" t="s">
        <v>63</v>
      </c>
      <c r="AL26">
        <f t="shared" si="1"/>
        <v>66.300000000000011</v>
      </c>
      <c r="AM26">
        <f t="shared" si="2"/>
        <v>83.1</v>
      </c>
      <c r="AN26">
        <f t="shared" si="3"/>
        <v>73.02000000000001</v>
      </c>
      <c r="AO26">
        <f t="shared" si="4"/>
        <v>76.38</v>
      </c>
    </row>
    <row r="27" spans="1:41" x14ac:dyDescent="0.25">
      <c r="A27" s="1">
        <v>4</v>
      </c>
      <c r="B27" t="s">
        <v>88</v>
      </c>
      <c r="C27" t="s">
        <v>89</v>
      </c>
      <c r="D27" s="18" t="s">
        <v>118</v>
      </c>
      <c r="E27" t="s">
        <v>90</v>
      </c>
      <c r="F27" t="s">
        <v>41</v>
      </c>
      <c r="G27" t="s">
        <v>41</v>
      </c>
      <c r="H27" t="s">
        <v>52</v>
      </c>
      <c r="I27" t="s">
        <v>99</v>
      </c>
      <c r="K27" t="s">
        <v>241</v>
      </c>
      <c r="L27">
        <v>25</v>
      </c>
      <c r="M27" s="18" t="s">
        <v>58</v>
      </c>
      <c r="N27" t="s">
        <v>43</v>
      </c>
      <c r="O27" t="s">
        <v>93</v>
      </c>
      <c r="P27">
        <f>4*30</f>
        <v>120</v>
      </c>
      <c r="Q27" t="s">
        <v>51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>
        <v>108.4</v>
      </c>
      <c r="X27" t="s">
        <v>97</v>
      </c>
      <c r="Y27" t="s">
        <v>61</v>
      </c>
      <c r="Z27">
        <f>123.4-108.4</f>
        <v>15</v>
      </c>
      <c r="AA27" t="s">
        <v>62</v>
      </c>
      <c r="AB27">
        <f t="shared" si="5"/>
        <v>3</v>
      </c>
      <c r="AC27">
        <f t="shared" si="6"/>
        <v>93.4</v>
      </c>
      <c r="AD27">
        <f t="shared" si="7"/>
        <v>123.4</v>
      </c>
      <c r="AE27" t="s">
        <v>62</v>
      </c>
      <c r="AF27">
        <f t="shared" si="8"/>
        <v>105.4</v>
      </c>
      <c r="AG27">
        <f t="shared" si="9"/>
        <v>111.4</v>
      </c>
      <c r="AH27">
        <v>1</v>
      </c>
      <c r="AI27" t="s">
        <v>97</v>
      </c>
      <c r="AJ27">
        <f t="shared" si="0"/>
        <v>108.4</v>
      </c>
      <c r="AK27" t="s">
        <v>63</v>
      </c>
      <c r="AL27">
        <f t="shared" si="1"/>
        <v>93.4</v>
      </c>
      <c r="AM27">
        <f t="shared" si="2"/>
        <v>123.4</v>
      </c>
      <c r="AN27">
        <f t="shared" si="3"/>
        <v>105.4</v>
      </c>
      <c r="AO27">
        <f t="shared" si="4"/>
        <v>111.4</v>
      </c>
    </row>
    <row r="28" spans="1:41" x14ac:dyDescent="0.25">
      <c r="A28" s="1">
        <v>4</v>
      </c>
      <c r="B28" t="s">
        <v>88</v>
      </c>
      <c r="C28" t="s">
        <v>89</v>
      </c>
      <c r="D28" s="18" t="s">
        <v>118</v>
      </c>
      <c r="E28" t="s">
        <v>90</v>
      </c>
      <c r="F28" t="s">
        <v>41</v>
      </c>
      <c r="G28" t="s">
        <v>41</v>
      </c>
      <c r="H28" t="s">
        <v>52</v>
      </c>
      <c r="I28" t="s">
        <v>100</v>
      </c>
      <c r="K28" t="s">
        <v>241</v>
      </c>
      <c r="L28">
        <v>25</v>
      </c>
      <c r="M28" s="18" t="s">
        <v>58</v>
      </c>
      <c r="N28" t="s">
        <v>43</v>
      </c>
      <c r="O28" t="s">
        <v>93</v>
      </c>
      <c r="P28">
        <f>4*30</f>
        <v>120</v>
      </c>
      <c r="Q28" t="s">
        <v>51</v>
      </c>
      <c r="R28" t="s">
        <v>47</v>
      </c>
      <c r="S28" t="s">
        <v>47</v>
      </c>
      <c r="T28" t="s">
        <v>47</v>
      </c>
      <c r="U28" t="s">
        <v>47</v>
      </c>
      <c r="V28" t="s">
        <v>47</v>
      </c>
      <c r="W28">
        <v>105.8</v>
      </c>
      <c r="X28" t="s">
        <v>97</v>
      </c>
      <c r="Y28" t="s">
        <v>61</v>
      </c>
      <c r="Z28">
        <f>120.8-105.8</f>
        <v>15</v>
      </c>
      <c r="AA28" t="s">
        <v>62</v>
      </c>
      <c r="AB28">
        <f t="shared" si="5"/>
        <v>3</v>
      </c>
      <c r="AC28">
        <f t="shared" si="6"/>
        <v>90.8</v>
      </c>
      <c r="AD28">
        <f t="shared" si="7"/>
        <v>120.8</v>
      </c>
      <c r="AE28" t="s">
        <v>62</v>
      </c>
      <c r="AF28">
        <f t="shared" si="8"/>
        <v>102.8</v>
      </c>
      <c r="AG28">
        <f t="shared" si="9"/>
        <v>108.8</v>
      </c>
      <c r="AH28">
        <v>1</v>
      </c>
      <c r="AI28" t="s">
        <v>97</v>
      </c>
      <c r="AJ28">
        <f t="shared" si="0"/>
        <v>105.8</v>
      </c>
      <c r="AK28" t="s">
        <v>63</v>
      </c>
      <c r="AL28">
        <f t="shared" si="1"/>
        <v>90.8</v>
      </c>
      <c r="AM28">
        <f t="shared" si="2"/>
        <v>120.8</v>
      </c>
      <c r="AN28">
        <f t="shared" si="3"/>
        <v>102.8</v>
      </c>
      <c r="AO28">
        <f t="shared" si="4"/>
        <v>108.8</v>
      </c>
    </row>
    <row r="29" spans="1:41" x14ac:dyDescent="0.25">
      <c r="A29" s="1">
        <v>4</v>
      </c>
      <c r="B29" t="s">
        <v>88</v>
      </c>
      <c r="C29" t="s">
        <v>89</v>
      </c>
      <c r="D29" s="18" t="s">
        <v>118</v>
      </c>
      <c r="E29" t="s">
        <v>90</v>
      </c>
      <c r="F29" t="s">
        <v>41</v>
      </c>
      <c r="G29" t="s">
        <v>41</v>
      </c>
      <c r="H29" t="s">
        <v>52</v>
      </c>
      <c r="I29" t="s">
        <v>96</v>
      </c>
      <c r="K29" t="s">
        <v>241</v>
      </c>
      <c r="L29">
        <v>25</v>
      </c>
      <c r="M29" s="18" t="s">
        <v>58</v>
      </c>
      <c r="N29" t="s">
        <v>43</v>
      </c>
      <c r="O29" t="s">
        <v>101</v>
      </c>
      <c r="P29">
        <f>6*30</f>
        <v>180</v>
      </c>
      <c r="Q29" t="s">
        <v>51</v>
      </c>
      <c r="R29" t="s">
        <v>47</v>
      </c>
      <c r="S29" t="s">
        <v>47</v>
      </c>
      <c r="T29" t="s">
        <v>47</v>
      </c>
      <c r="U29" t="s">
        <v>47</v>
      </c>
      <c r="V29" t="s">
        <v>47</v>
      </c>
      <c r="W29">
        <v>157.6</v>
      </c>
      <c r="X29" t="s">
        <v>97</v>
      </c>
      <c r="Y29" t="s">
        <v>61</v>
      </c>
      <c r="Z29">
        <f>176.3-157.6</f>
        <v>18.700000000000017</v>
      </c>
      <c r="AA29" t="s">
        <v>62</v>
      </c>
      <c r="AB29">
        <f t="shared" si="5"/>
        <v>3.7400000000000033</v>
      </c>
      <c r="AC29">
        <f t="shared" si="6"/>
        <v>138.89999999999998</v>
      </c>
      <c r="AD29">
        <f t="shared" si="7"/>
        <v>176.3</v>
      </c>
      <c r="AE29" t="s">
        <v>62</v>
      </c>
      <c r="AF29">
        <f t="shared" si="8"/>
        <v>153.85999999999999</v>
      </c>
      <c r="AG29">
        <f t="shared" si="9"/>
        <v>161.34</v>
      </c>
      <c r="AH29">
        <v>1</v>
      </c>
      <c r="AI29" t="s">
        <v>97</v>
      </c>
      <c r="AJ29">
        <f t="shared" si="0"/>
        <v>157.6</v>
      </c>
      <c r="AK29" t="s">
        <v>63</v>
      </c>
      <c r="AL29">
        <f t="shared" si="1"/>
        <v>138.89999999999998</v>
      </c>
      <c r="AM29">
        <f t="shared" si="2"/>
        <v>176.3</v>
      </c>
      <c r="AN29">
        <f t="shared" si="3"/>
        <v>153.85999999999999</v>
      </c>
      <c r="AO29">
        <f t="shared" si="4"/>
        <v>161.34</v>
      </c>
    </row>
    <row r="30" spans="1:41" x14ac:dyDescent="0.25">
      <c r="A30" s="1">
        <v>4</v>
      </c>
      <c r="B30" t="s">
        <v>88</v>
      </c>
      <c r="C30" t="s">
        <v>89</v>
      </c>
      <c r="D30" s="18" t="s">
        <v>118</v>
      </c>
      <c r="E30" t="s">
        <v>90</v>
      </c>
      <c r="F30" t="s">
        <v>41</v>
      </c>
      <c r="G30" t="s">
        <v>41</v>
      </c>
      <c r="H30" t="s">
        <v>52</v>
      </c>
      <c r="I30" t="s">
        <v>98</v>
      </c>
      <c r="K30" t="s">
        <v>241</v>
      </c>
      <c r="L30">
        <v>25</v>
      </c>
      <c r="M30" s="18" t="s">
        <v>58</v>
      </c>
      <c r="N30" t="s">
        <v>43</v>
      </c>
      <c r="O30" t="s">
        <v>101</v>
      </c>
      <c r="P30">
        <f>6*30</f>
        <v>180</v>
      </c>
      <c r="Q30" t="s">
        <v>51</v>
      </c>
      <c r="R30" t="s">
        <v>47</v>
      </c>
      <c r="S30" t="s">
        <v>47</v>
      </c>
      <c r="T30" t="s">
        <v>47</v>
      </c>
      <c r="U30" t="s">
        <v>47</v>
      </c>
      <c r="V30" t="s">
        <v>47</v>
      </c>
      <c r="W30">
        <v>82.9</v>
      </c>
      <c r="X30" t="s">
        <v>97</v>
      </c>
      <c r="Y30" t="s">
        <v>61</v>
      </c>
      <c r="Z30">
        <f>94-82.9</f>
        <v>11.099999999999994</v>
      </c>
      <c r="AA30" t="s">
        <v>62</v>
      </c>
      <c r="AB30">
        <f t="shared" si="5"/>
        <v>2.2199999999999989</v>
      </c>
      <c r="AC30">
        <f t="shared" si="6"/>
        <v>71.800000000000011</v>
      </c>
      <c r="AD30">
        <f t="shared" si="7"/>
        <v>94</v>
      </c>
      <c r="AE30" t="s">
        <v>62</v>
      </c>
      <c r="AF30">
        <f t="shared" si="8"/>
        <v>80.680000000000007</v>
      </c>
      <c r="AG30">
        <f t="shared" si="9"/>
        <v>85.12</v>
      </c>
      <c r="AH30">
        <v>1</v>
      </c>
      <c r="AI30" t="s">
        <v>97</v>
      </c>
      <c r="AJ30">
        <f t="shared" si="0"/>
        <v>82.9</v>
      </c>
      <c r="AK30" t="s">
        <v>63</v>
      </c>
      <c r="AL30">
        <f t="shared" si="1"/>
        <v>71.800000000000011</v>
      </c>
      <c r="AM30">
        <f t="shared" si="2"/>
        <v>94</v>
      </c>
      <c r="AN30">
        <f t="shared" si="3"/>
        <v>80.680000000000007</v>
      </c>
      <c r="AO30">
        <f t="shared" si="4"/>
        <v>85.12</v>
      </c>
    </row>
    <row r="31" spans="1:41" x14ac:dyDescent="0.25">
      <c r="A31" s="1">
        <v>4</v>
      </c>
      <c r="B31" t="s">
        <v>88</v>
      </c>
      <c r="C31" t="s">
        <v>89</v>
      </c>
      <c r="D31" s="18" t="s">
        <v>118</v>
      </c>
      <c r="E31" t="s">
        <v>90</v>
      </c>
      <c r="F31" t="s">
        <v>41</v>
      </c>
      <c r="G31" t="s">
        <v>41</v>
      </c>
      <c r="H31" t="s">
        <v>52</v>
      </c>
      <c r="I31" t="s">
        <v>99</v>
      </c>
      <c r="K31" t="s">
        <v>241</v>
      </c>
      <c r="L31">
        <v>25</v>
      </c>
      <c r="M31" s="18" t="s">
        <v>58</v>
      </c>
      <c r="N31" t="s">
        <v>43</v>
      </c>
      <c r="O31" t="s">
        <v>101</v>
      </c>
      <c r="P31">
        <f>6*30</f>
        <v>180</v>
      </c>
      <c r="Q31" t="s">
        <v>51</v>
      </c>
      <c r="R31" t="s">
        <v>47</v>
      </c>
      <c r="S31" t="s">
        <v>47</v>
      </c>
      <c r="T31" t="s">
        <v>47</v>
      </c>
      <c r="U31" t="s">
        <v>47</v>
      </c>
      <c r="V31" t="s">
        <v>47</v>
      </c>
      <c r="W31">
        <v>115.4</v>
      </c>
      <c r="X31" t="s">
        <v>97</v>
      </c>
      <c r="Y31" t="s">
        <v>61</v>
      </c>
      <c r="Z31">
        <f>127.9-115.4</f>
        <v>12.5</v>
      </c>
      <c r="AA31" t="s">
        <v>62</v>
      </c>
      <c r="AB31">
        <f t="shared" si="5"/>
        <v>2.5</v>
      </c>
      <c r="AC31">
        <f t="shared" si="6"/>
        <v>102.9</v>
      </c>
      <c r="AD31">
        <f t="shared" si="7"/>
        <v>127.9</v>
      </c>
      <c r="AE31" t="s">
        <v>62</v>
      </c>
      <c r="AF31">
        <f t="shared" si="8"/>
        <v>112.9</v>
      </c>
      <c r="AG31">
        <f t="shared" si="9"/>
        <v>117.9</v>
      </c>
      <c r="AH31">
        <v>1</v>
      </c>
      <c r="AI31" t="s">
        <v>97</v>
      </c>
      <c r="AJ31">
        <f t="shared" si="0"/>
        <v>115.4</v>
      </c>
      <c r="AK31" t="s">
        <v>63</v>
      </c>
      <c r="AL31">
        <f t="shared" si="1"/>
        <v>102.9</v>
      </c>
      <c r="AM31">
        <f t="shared" si="2"/>
        <v>127.9</v>
      </c>
      <c r="AN31">
        <f t="shared" si="3"/>
        <v>112.9</v>
      </c>
      <c r="AO31">
        <f t="shared" si="4"/>
        <v>117.9</v>
      </c>
    </row>
    <row r="32" spans="1:41" x14ac:dyDescent="0.25">
      <c r="A32" s="1">
        <v>4</v>
      </c>
      <c r="B32" t="s">
        <v>88</v>
      </c>
      <c r="C32" t="s">
        <v>89</v>
      </c>
      <c r="D32" s="18" t="s">
        <v>118</v>
      </c>
      <c r="E32" t="s">
        <v>90</v>
      </c>
      <c r="F32" t="s">
        <v>41</v>
      </c>
      <c r="G32" t="s">
        <v>41</v>
      </c>
      <c r="H32" t="s">
        <v>52</v>
      </c>
      <c r="I32" t="s">
        <v>100</v>
      </c>
      <c r="K32" t="s">
        <v>241</v>
      </c>
      <c r="L32">
        <v>25</v>
      </c>
      <c r="M32" s="18" t="s">
        <v>58</v>
      </c>
      <c r="N32" t="s">
        <v>43</v>
      </c>
      <c r="O32" t="s">
        <v>101</v>
      </c>
      <c r="P32">
        <f>6*30</f>
        <v>180</v>
      </c>
      <c r="Q32" t="s">
        <v>51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>
        <v>116.8</v>
      </c>
      <c r="X32" t="s">
        <v>97</v>
      </c>
      <c r="Y32" t="s">
        <v>61</v>
      </c>
      <c r="Z32">
        <f>132-116.8</f>
        <v>15.200000000000003</v>
      </c>
      <c r="AA32" t="s">
        <v>62</v>
      </c>
      <c r="AB32">
        <f t="shared" si="5"/>
        <v>3.0400000000000005</v>
      </c>
      <c r="AC32">
        <f t="shared" si="6"/>
        <v>101.6</v>
      </c>
      <c r="AD32">
        <f t="shared" si="7"/>
        <v>132</v>
      </c>
      <c r="AE32" t="s">
        <v>62</v>
      </c>
      <c r="AF32">
        <f t="shared" si="8"/>
        <v>113.75999999999999</v>
      </c>
      <c r="AG32">
        <f t="shared" si="9"/>
        <v>119.84</v>
      </c>
      <c r="AH32">
        <v>1</v>
      </c>
      <c r="AI32" t="s">
        <v>97</v>
      </c>
      <c r="AJ32">
        <f t="shared" si="0"/>
        <v>116.8</v>
      </c>
      <c r="AK32" t="s">
        <v>63</v>
      </c>
      <c r="AL32">
        <f t="shared" si="1"/>
        <v>101.6</v>
      </c>
      <c r="AM32">
        <f t="shared" si="2"/>
        <v>132</v>
      </c>
      <c r="AN32">
        <f t="shared" si="3"/>
        <v>113.75999999999999</v>
      </c>
      <c r="AO32">
        <f t="shared" si="4"/>
        <v>119.84</v>
      </c>
    </row>
    <row r="33" spans="1:41" x14ac:dyDescent="0.25">
      <c r="A33" s="1">
        <v>4</v>
      </c>
      <c r="B33" t="s">
        <v>88</v>
      </c>
      <c r="C33" t="s">
        <v>89</v>
      </c>
      <c r="D33" s="18" t="s">
        <v>118</v>
      </c>
      <c r="E33" t="s">
        <v>90</v>
      </c>
      <c r="F33" t="s">
        <v>41</v>
      </c>
      <c r="G33" t="s">
        <v>64</v>
      </c>
      <c r="H33" t="s">
        <v>52</v>
      </c>
      <c r="I33" t="s">
        <v>96</v>
      </c>
      <c r="K33" t="s">
        <v>241</v>
      </c>
      <c r="L33">
        <v>8</v>
      </c>
      <c r="M33" s="18" t="s">
        <v>102</v>
      </c>
      <c r="N33" t="s">
        <v>43</v>
      </c>
      <c r="O33" t="s">
        <v>50</v>
      </c>
      <c r="P33">
        <f>1*30</f>
        <v>30</v>
      </c>
      <c r="Q33" t="s">
        <v>51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>
        <v>0</v>
      </c>
      <c r="X33" t="s">
        <v>97</v>
      </c>
      <c r="Y33" t="s">
        <v>61</v>
      </c>
      <c r="Z33">
        <v>0</v>
      </c>
      <c r="AA33" t="s">
        <v>62</v>
      </c>
      <c r="AB33">
        <f t="shared" si="5"/>
        <v>0</v>
      </c>
      <c r="AC33">
        <f t="shared" si="6"/>
        <v>0</v>
      </c>
      <c r="AD33">
        <f t="shared" si="7"/>
        <v>0</v>
      </c>
      <c r="AE33" t="s">
        <v>62</v>
      </c>
      <c r="AF33">
        <f t="shared" si="8"/>
        <v>0</v>
      </c>
      <c r="AG33">
        <f t="shared" si="9"/>
        <v>0</v>
      </c>
      <c r="AH33">
        <v>1</v>
      </c>
      <c r="AI33" t="s">
        <v>97</v>
      </c>
      <c r="AJ33">
        <f t="shared" si="0"/>
        <v>0</v>
      </c>
      <c r="AK33" t="s">
        <v>63</v>
      </c>
      <c r="AL33">
        <f t="shared" si="1"/>
        <v>0</v>
      </c>
      <c r="AM33">
        <f t="shared" si="2"/>
        <v>0</v>
      </c>
      <c r="AN33">
        <f t="shared" si="3"/>
        <v>0</v>
      </c>
      <c r="AO33">
        <f t="shared" si="4"/>
        <v>0</v>
      </c>
    </row>
    <row r="34" spans="1:41" x14ac:dyDescent="0.25">
      <c r="A34" s="1">
        <v>4</v>
      </c>
      <c r="B34" t="s">
        <v>88</v>
      </c>
      <c r="C34" t="s">
        <v>89</v>
      </c>
      <c r="D34" s="18" t="s">
        <v>118</v>
      </c>
      <c r="E34" t="s">
        <v>90</v>
      </c>
      <c r="F34" t="s">
        <v>41</v>
      </c>
      <c r="G34" t="s">
        <v>64</v>
      </c>
      <c r="H34" t="s">
        <v>52</v>
      </c>
      <c r="I34" t="s">
        <v>98</v>
      </c>
      <c r="K34" t="s">
        <v>241</v>
      </c>
      <c r="L34">
        <v>8</v>
      </c>
      <c r="M34" s="18" t="s">
        <v>102</v>
      </c>
      <c r="N34" t="s">
        <v>43</v>
      </c>
      <c r="O34" t="s">
        <v>50</v>
      </c>
      <c r="P34">
        <f>1*30</f>
        <v>30</v>
      </c>
      <c r="Q34" t="s">
        <v>51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>
        <v>0</v>
      </c>
      <c r="X34" t="s">
        <v>97</v>
      </c>
      <c r="Y34" t="s">
        <v>61</v>
      </c>
      <c r="Z34">
        <v>0</v>
      </c>
      <c r="AA34" t="s">
        <v>62</v>
      </c>
      <c r="AB34">
        <f t="shared" si="5"/>
        <v>0</v>
      </c>
      <c r="AC34">
        <f t="shared" si="6"/>
        <v>0</v>
      </c>
      <c r="AD34">
        <f t="shared" si="7"/>
        <v>0</v>
      </c>
      <c r="AE34" t="s">
        <v>62</v>
      </c>
      <c r="AF34">
        <f t="shared" si="8"/>
        <v>0</v>
      </c>
      <c r="AG34">
        <f t="shared" si="9"/>
        <v>0</v>
      </c>
      <c r="AH34">
        <v>1</v>
      </c>
      <c r="AI34" t="s">
        <v>97</v>
      </c>
      <c r="AJ34">
        <f t="shared" si="0"/>
        <v>0</v>
      </c>
      <c r="AK34" t="s">
        <v>63</v>
      </c>
      <c r="AL34">
        <f t="shared" si="1"/>
        <v>0</v>
      </c>
      <c r="AM34">
        <f t="shared" si="2"/>
        <v>0</v>
      </c>
      <c r="AN34">
        <f t="shared" si="3"/>
        <v>0</v>
      </c>
      <c r="AO34">
        <f t="shared" si="4"/>
        <v>0</v>
      </c>
    </row>
    <row r="35" spans="1:41" x14ac:dyDescent="0.25">
      <c r="A35" s="1">
        <v>4</v>
      </c>
      <c r="B35" t="s">
        <v>88</v>
      </c>
      <c r="C35" t="s">
        <v>89</v>
      </c>
      <c r="D35" s="18" t="s">
        <v>118</v>
      </c>
      <c r="E35" t="s">
        <v>90</v>
      </c>
      <c r="F35" t="s">
        <v>41</v>
      </c>
      <c r="G35" t="s">
        <v>64</v>
      </c>
      <c r="H35" t="s">
        <v>52</v>
      </c>
      <c r="I35" t="s">
        <v>99</v>
      </c>
      <c r="K35" t="s">
        <v>241</v>
      </c>
      <c r="L35">
        <v>8</v>
      </c>
      <c r="M35" s="18" t="s">
        <v>102</v>
      </c>
      <c r="N35" t="s">
        <v>43</v>
      </c>
      <c r="O35" t="s">
        <v>50</v>
      </c>
      <c r="P35">
        <f>1*30</f>
        <v>30</v>
      </c>
      <c r="Q35" t="s">
        <v>51</v>
      </c>
      <c r="R35" t="s">
        <v>47</v>
      </c>
      <c r="S35" t="s">
        <v>47</v>
      </c>
      <c r="T35" t="s">
        <v>47</v>
      </c>
      <c r="U35" t="s">
        <v>47</v>
      </c>
      <c r="V35" t="s">
        <v>47</v>
      </c>
      <c r="W35">
        <v>1.7</v>
      </c>
      <c r="X35" t="s">
        <v>97</v>
      </c>
      <c r="Y35" t="s">
        <v>61</v>
      </c>
      <c r="Z35">
        <f>1.9-1.7</f>
        <v>0.19999999999999996</v>
      </c>
      <c r="AA35" t="s">
        <v>62</v>
      </c>
      <c r="AB35">
        <f t="shared" si="5"/>
        <v>7.0710678118654738E-2</v>
      </c>
      <c r="AC35">
        <f t="shared" si="6"/>
        <v>1.5</v>
      </c>
      <c r="AD35">
        <f t="shared" si="7"/>
        <v>1.9</v>
      </c>
      <c r="AE35" t="s">
        <v>62</v>
      </c>
      <c r="AF35">
        <f t="shared" si="8"/>
        <v>1.6292893218813451</v>
      </c>
      <c r="AG35">
        <f t="shared" si="9"/>
        <v>1.7707106781186548</v>
      </c>
      <c r="AH35">
        <v>1</v>
      </c>
      <c r="AI35" t="s">
        <v>97</v>
      </c>
      <c r="AJ35">
        <f t="shared" si="0"/>
        <v>1.7</v>
      </c>
      <c r="AK35" t="s">
        <v>63</v>
      </c>
      <c r="AL35">
        <f t="shared" si="1"/>
        <v>1.5</v>
      </c>
      <c r="AM35">
        <f t="shared" si="2"/>
        <v>1.9</v>
      </c>
      <c r="AN35">
        <f t="shared" si="3"/>
        <v>1.6292893218813451</v>
      </c>
      <c r="AO35">
        <f t="shared" si="4"/>
        <v>1.7707106781186548</v>
      </c>
    </row>
    <row r="36" spans="1:41" x14ac:dyDescent="0.25">
      <c r="A36" s="1">
        <v>4</v>
      </c>
      <c r="B36" t="s">
        <v>88</v>
      </c>
      <c r="C36" t="s">
        <v>89</v>
      </c>
      <c r="D36" s="18" t="s">
        <v>118</v>
      </c>
      <c r="E36" t="s">
        <v>90</v>
      </c>
      <c r="F36" t="s">
        <v>41</v>
      </c>
      <c r="G36" t="s">
        <v>64</v>
      </c>
      <c r="H36" t="s">
        <v>52</v>
      </c>
      <c r="I36" t="s">
        <v>100</v>
      </c>
      <c r="K36" t="s">
        <v>241</v>
      </c>
      <c r="L36">
        <v>8</v>
      </c>
      <c r="M36" s="18" t="s">
        <v>102</v>
      </c>
      <c r="N36" t="s">
        <v>43</v>
      </c>
      <c r="O36" t="s">
        <v>50</v>
      </c>
      <c r="P36">
        <f>1*30</f>
        <v>30</v>
      </c>
      <c r="Q36" t="s">
        <v>51</v>
      </c>
      <c r="R36" t="s">
        <v>47</v>
      </c>
      <c r="S36" t="s">
        <v>47</v>
      </c>
      <c r="T36" t="s">
        <v>47</v>
      </c>
      <c r="U36" t="s">
        <v>47</v>
      </c>
      <c r="V36" t="s">
        <v>47</v>
      </c>
      <c r="W36">
        <v>1.9</v>
      </c>
      <c r="X36" t="s">
        <v>97</v>
      </c>
      <c r="Y36" t="s">
        <v>61</v>
      </c>
      <c r="Z36">
        <f>2.1-1.9</f>
        <v>0.20000000000000018</v>
      </c>
      <c r="AA36" t="s">
        <v>62</v>
      </c>
      <c r="AB36">
        <f t="shared" si="5"/>
        <v>7.0710678118654807E-2</v>
      </c>
      <c r="AC36">
        <f t="shared" si="6"/>
        <v>1.6999999999999997</v>
      </c>
      <c r="AD36">
        <f t="shared" si="7"/>
        <v>2.1</v>
      </c>
      <c r="AE36" t="s">
        <v>62</v>
      </c>
      <c r="AF36">
        <f t="shared" si="8"/>
        <v>1.8292893218813451</v>
      </c>
      <c r="AG36">
        <f t="shared" si="9"/>
        <v>1.9707106781186547</v>
      </c>
      <c r="AH36">
        <v>1</v>
      </c>
      <c r="AI36" t="s">
        <v>97</v>
      </c>
      <c r="AJ36">
        <f t="shared" si="0"/>
        <v>1.9</v>
      </c>
      <c r="AK36" t="s">
        <v>63</v>
      </c>
      <c r="AL36">
        <f t="shared" si="1"/>
        <v>1.6999999999999997</v>
      </c>
      <c r="AM36">
        <f t="shared" si="2"/>
        <v>2.1</v>
      </c>
      <c r="AN36">
        <f t="shared" si="3"/>
        <v>1.8292893218813451</v>
      </c>
      <c r="AO36">
        <f t="shared" si="4"/>
        <v>1.9707106781186547</v>
      </c>
    </row>
    <row r="37" spans="1:41" x14ac:dyDescent="0.25">
      <c r="A37" s="1">
        <v>4</v>
      </c>
      <c r="B37" t="s">
        <v>88</v>
      </c>
      <c r="C37" t="s">
        <v>89</v>
      </c>
      <c r="D37" s="18" t="s">
        <v>118</v>
      </c>
      <c r="E37" t="s">
        <v>90</v>
      </c>
      <c r="F37" t="s">
        <v>41</v>
      </c>
      <c r="G37" t="s">
        <v>64</v>
      </c>
      <c r="H37" t="s">
        <v>52</v>
      </c>
      <c r="I37" t="s">
        <v>96</v>
      </c>
      <c r="K37" t="s">
        <v>241</v>
      </c>
      <c r="L37">
        <v>8</v>
      </c>
      <c r="M37" s="18" t="s">
        <v>102</v>
      </c>
      <c r="N37" t="s">
        <v>43</v>
      </c>
      <c r="O37" t="s">
        <v>93</v>
      </c>
      <c r="P37">
        <f>4*30</f>
        <v>120</v>
      </c>
      <c r="Q37" t="s">
        <v>51</v>
      </c>
      <c r="R37" t="s">
        <v>47</v>
      </c>
      <c r="S37" t="s">
        <v>47</v>
      </c>
      <c r="T37" t="s">
        <v>47</v>
      </c>
      <c r="U37" t="s">
        <v>47</v>
      </c>
      <c r="V37" t="s">
        <v>47</v>
      </c>
      <c r="W37">
        <v>0</v>
      </c>
      <c r="X37" t="s">
        <v>97</v>
      </c>
      <c r="Y37" t="s">
        <v>61</v>
      </c>
      <c r="Z37">
        <v>0</v>
      </c>
      <c r="AA37" t="s">
        <v>62</v>
      </c>
      <c r="AB37">
        <f t="shared" si="5"/>
        <v>0</v>
      </c>
      <c r="AC37">
        <f t="shared" si="6"/>
        <v>0</v>
      </c>
      <c r="AD37">
        <f t="shared" si="7"/>
        <v>0</v>
      </c>
      <c r="AE37" t="s">
        <v>62</v>
      </c>
      <c r="AF37">
        <f t="shared" si="8"/>
        <v>0</v>
      </c>
      <c r="AG37">
        <f t="shared" si="9"/>
        <v>0</v>
      </c>
      <c r="AH37">
        <v>1</v>
      </c>
      <c r="AI37" t="s">
        <v>97</v>
      </c>
      <c r="AJ37">
        <f t="shared" si="0"/>
        <v>0</v>
      </c>
      <c r="AK37" t="s">
        <v>63</v>
      </c>
      <c r="AL37">
        <f t="shared" si="1"/>
        <v>0</v>
      </c>
      <c r="AM37">
        <f t="shared" si="2"/>
        <v>0</v>
      </c>
      <c r="AN37">
        <f t="shared" si="3"/>
        <v>0</v>
      </c>
      <c r="AO37">
        <f t="shared" si="4"/>
        <v>0</v>
      </c>
    </row>
    <row r="38" spans="1:41" x14ac:dyDescent="0.25">
      <c r="A38" s="1">
        <v>4</v>
      </c>
      <c r="B38" t="s">
        <v>88</v>
      </c>
      <c r="C38" t="s">
        <v>89</v>
      </c>
      <c r="D38" s="18" t="s">
        <v>118</v>
      </c>
      <c r="E38" t="s">
        <v>90</v>
      </c>
      <c r="F38" t="s">
        <v>41</v>
      </c>
      <c r="G38" t="s">
        <v>64</v>
      </c>
      <c r="H38" t="s">
        <v>52</v>
      </c>
      <c r="I38" t="s">
        <v>98</v>
      </c>
      <c r="K38" t="s">
        <v>241</v>
      </c>
      <c r="L38">
        <v>8</v>
      </c>
      <c r="M38" s="18" t="s">
        <v>102</v>
      </c>
      <c r="N38" t="s">
        <v>43</v>
      </c>
      <c r="O38" t="s">
        <v>93</v>
      </c>
      <c r="P38">
        <f>4*30</f>
        <v>120</v>
      </c>
      <c r="Q38" t="s">
        <v>51</v>
      </c>
      <c r="R38" t="s">
        <v>47</v>
      </c>
      <c r="S38" t="s">
        <v>47</v>
      </c>
      <c r="T38" t="s">
        <v>47</v>
      </c>
      <c r="U38" t="s">
        <v>47</v>
      </c>
      <c r="V38" t="s">
        <v>47</v>
      </c>
      <c r="W38">
        <v>0</v>
      </c>
      <c r="X38" t="s">
        <v>97</v>
      </c>
      <c r="Y38" t="s">
        <v>61</v>
      </c>
      <c r="Z38">
        <v>0</v>
      </c>
      <c r="AA38" t="s">
        <v>62</v>
      </c>
      <c r="AB38">
        <f t="shared" si="5"/>
        <v>0</v>
      </c>
      <c r="AC38">
        <f t="shared" si="6"/>
        <v>0</v>
      </c>
      <c r="AD38">
        <f t="shared" si="7"/>
        <v>0</v>
      </c>
      <c r="AE38" t="s">
        <v>62</v>
      </c>
      <c r="AF38">
        <f t="shared" si="8"/>
        <v>0</v>
      </c>
      <c r="AG38">
        <f t="shared" si="9"/>
        <v>0</v>
      </c>
      <c r="AH38">
        <v>1</v>
      </c>
      <c r="AI38" t="s">
        <v>97</v>
      </c>
      <c r="AJ38">
        <f t="shared" si="0"/>
        <v>0</v>
      </c>
      <c r="AK38" t="s">
        <v>63</v>
      </c>
      <c r="AL38">
        <f t="shared" si="1"/>
        <v>0</v>
      </c>
      <c r="AM38">
        <f t="shared" si="2"/>
        <v>0</v>
      </c>
      <c r="AN38">
        <f t="shared" si="3"/>
        <v>0</v>
      </c>
      <c r="AO38">
        <f t="shared" si="4"/>
        <v>0</v>
      </c>
    </row>
    <row r="39" spans="1:41" x14ac:dyDescent="0.25">
      <c r="A39" s="1">
        <v>4</v>
      </c>
      <c r="B39" t="s">
        <v>88</v>
      </c>
      <c r="C39" t="s">
        <v>89</v>
      </c>
      <c r="D39" s="18" t="s">
        <v>118</v>
      </c>
      <c r="E39" t="s">
        <v>90</v>
      </c>
      <c r="F39" t="s">
        <v>41</v>
      </c>
      <c r="G39" t="s">
        <v>64</v>
      </c>
      <c r="H39" t="s">
        <v>52</v>
      </c>
      <c r="I39" t="s">
        <v>99</v>
      </c>
      <c r="K39" t="s">
        <v>241</v>
      </c>
      <c r="L39">
        <v>8</v>
      </c>
      <c r="M39" s="18" t="s">
        <v>102</v>
      </c>
      <c r="N39" t="s">
        <v>43</v>
      </c>
      <c r="O39" t="s">
        <v>93</v>
      </c>
      <c r="P39">
        <f>4*30</f>
        <v>120</v>
      </c>
      <c r="Q39" t="s">
        <v>51</v>
      </c>
      <c r="R39" t="s">
        <v>47</v>
      </c>
      <c r="S39" t="s">
        <v>47</v>
      </c>
      <c r="T39" t="s">
        <v>47</v>
      </c>
      <c r="U39" t="s">
        <v>47</v>
      </c>
      <c r="V39" t="s">
        <v>47</v>
      </c>
      <c r="W39">
        <v>3</v>
      </c>
      <c r="X39" t="s">
        <v>97</v>
      </c>
      <c r="Y39" t="s">
        <v>61</v>
      </c>
      <c r="Z39">
        <f>3.4-3</f>
        <v>0.39999999999999991</v>
      </c>
      <c r="AA39" t="s">
        <v>62</v>
      </c>
      <c r="AB39">
        <f t="shared" si="5"/>
        <v>0.14142135623730948</v>
      </c>
      <c r="AC39">
        <f t="shared" si="6"/>
        <v>2.6</v>
      </c>
      <c r="AD39">
        <f t="shared" si="7"/>
        <v>3.4</v>
      </c>
      <c r="AE39" t="s">
        <v>62</v>
      </c>
      <c r="AF39">
        <f t="shared" si="8"/>
        <v>2.8585786437626903</v>
      </c>
      <c r="AG39">
        <f t="shared" si="9"/>
        <v>3.1414213562373097</v>
      </c>
      <c r="AH39">
        <v>1</v>
      </c>
      <c r="AI39" t="s">
        <v>97</v>
      </c>
      <c r="AJ39">
        <f t="shared" si="0"/>
        <v>3</v>
      </c>
      <c r="AK39" t="s">
        <v>63</v>
      </c>
      <c r="AL39">
        <f t="shared" si="1"/>
        <v>2.6</v>
      </c>
      <c r="AM39">
        <f t="shared" si="2"/>
        <v>3.4</v>
      </c>
      <c r="AN39">
        <f t="shared" si="3"/>
        <v>2.8585786437626903</v>
      </c>
      <c r="AO39">
        <f t="shared" si="4"/>
        <v>3.1414213562373097</v>
      </c>
    </row>
    <row r="40" spans="1:41" x14ac:dyDescent="0.25">
      <c r="A40" s="1">
        <v>4</v>
      </c>
      <c r="B40" t="s">
        <v>88</v>
      </c>
      <c r="C40" t="s">
        <v>89</v>
      </c>
      <c r="D40" s="18" t="s">
        <v>118</v>
      </c>
      <c r="E40" t="s">
        <v>90</v>
      </c>
      <c r="F40" t="s">
        <v>41</v>
      </c>
      <c r="G40" t="s">
        <v>64</v>
      </c>
      <c r="H40" t="s">
        <v>52</v>
      </c>
      <c r="I40" t="s">
        <v>100</v>
      </c>
      <c r="K40" t="s">
        <v>241</v>
      </c>
      <c r="L40">
        <v>8</v>
      </c>
      <c r="M40" s="18" t="s">
        <v>102</v>
      </c>
      <c r="N40" t="s">
        <v>43</v>
      </c>
      <c r="O40" t="s">
        <v>93</v>
      </c>
      <c r="P40">
        <f>4*30</f>
        <v>120</v>
      </c>
      <c r="Q40" t="s">
        <v>51</v>
      </c>
      <c r="R40" t="s">
        <v>47</v>
      </c>
      <c r="S40" t="s">
        <v>47</v>
      </c>
      <c r="T40" t="s">
        <v>47</v>
      </c>
      <c r="U40" t="s">
        <v>47</v>
      </c>
      <c r="V40" t="s">
        <v>47</v>
      </c>
      <c r="W40">
        <v>5</v>
      </c>
      <c r="X40" t="s">
        <v>97</v>
      </c>
      <c r="Y40" t="s">
        <v>61</v>
      </c>
      <c r="Z40">
        <f>5.5-5</f>
        <v>0.5</v>
      </c>
      <c r="AA40" t="s">
        <v>62</v>
      </c>
      <c r="AB40">
        <f t="shared" si="5"/>
        <v>0.17677669529663687</v>
      </c>
      <c r="AC40">
        <f t="shared" si="6"/>
        <v>4.5</v>
      </c>
      <c r="AD40">
        <f t="shared" si="7"/>
        <v>5.5</v>
      </c>
      <c r="AE40" t="s">
        <v>62</v>
      </c>
      <c r="AF40">
        <f t="shared" si="8"/>
        <v>4.8232233047033635</v>
      </c>
      <c r="AG40">
        <f t="shared" si="9"/>
        <v>5.1767766952966365</v>
      </c>
      <c r="AH40">
        <v>1</v>
      </c>
      <c r="AI40" t="s">
        <v>97</v>
      </c>
      <c r="AJ40">
        <f t="shared" si="0"/>
        <v>5</v>
      </c>
      <c r="AK40" t="s">
        <v>63</v>
      </c>
      <c r="AL40">
        <f t="shared" si="1"/>
        <v>4.5</v>
      </c>
      <c r="AM40">
        <f t="shared" si="2"/>
        <v>5.5</v>
      </c>
      <c r="AN40">
        <f t="shared" si="3"/>
        <v>4.8232233047033635</v>
      </c>
      <c r="AO40">
        <f t="shared" si="4"/>
        <v>5.1767766952966365</v>
      </c>
    </row>
    <row r="41" spans="1:41" x14ac:dyDescent="0.25">
      <c r="A41" s="1">
        <v>4</v>
      </c>
      <c r="B41" t="s">
        <v>88</v>
      </c>
      <c r="C41" t="s">
        <v>89</v>
      </c>
      <c r="D41" s="18" t="s">
        <v>118</v>
      </c>
      <c r="E41" t="s">
        <v>90</v>
      </c>
      <c r="F41" t="s">
        <v>41</v>
      </c>
      <c r="G41" t="s">
        <v>64</v>
      </c>
      <c r="H41" t="s">
        <v>52</v>
      </c>
      <c r="I41" t="s">
        <v>96</v>
      </c>
      <c r="K41" t="s">
        <v>241</v>
      </c>
      <c r="L41">
        <v>8</v>
      </c>
      <c r="M41" s="18" t="s">
        <v>102</v>
      </c>
      <c r="N41" t="s">
        <v>43</v>
      </c>
      <c r="O41" t="s">
        <v>101</v>
      </c>
      <c r="P41">
        <f>6*30</f>
        <v>180</v>
      </c>
      <c r="Q41" t="s">
        <v>51</v>
      </c>
      <c r="R41" t="s">
        <v>47</v>
      </c>
      <c r="S41" t="s">
        <v>47</v>
      </c>
      <c r="T41" t="s">
        <v>47</v>
      </c>
      <c r="U41" t="s">
        <v>47</v>
      </c>
      <c r="V41" t="s">
        <v>47</v>
      </c>
      <c r="W41">
        <v>0</v>
      </c>
      <c r="X41" t="s">
        <v>97</v>
      </c>
      <c r="Y41" t="s">
        <v>61</v>
      </c>
      <c r="Z41">
        <v>0</v>
      </c>
      <c r="AA41" t="s">
        <v>62</v>
      </c>
      <c r="AB41">
        <f t="shared" si="5"/>
        <v>0</v>
      </c>
      <c r="AC41">
        <f t="shared" si="6"/>
        <v>0</v>
      </c>
      <c r="AD41">
        <f t="shared" si="7"/>
        <v>0</v>
      </c>
      <c r="AE41" t="s">
        <v>62</v>
      </c>
      <c r="AF41">
        <f t="shared" si="8"/>
        <v>0</v>
      </c>
      <c r="AG41">
        <f t="shared" si="9"/>
        <v>0</v>
      </c>
      <c r="AH41">
        <v>1</v>
      </c>
      <c r="AI41" t="s">
        <v>97</v>
      </c>
      <c r="AJ41">
        <f t="shared" si="0"/>
        <v>0</v>
      </c>
      <c r="AK41" t="s">
        <v>63</v>
      </c>
      <c r="AL41">
        <f t="shared" si="1"/>
        <v>0</v>
      </c>
      <c r="AM41">
        <f t="shared" si="2"/>
        <v>0</v>
      </c>
      <c r="AN41">
        <f t="shared" si="3"/>
        <v>0</v>
      </c>
      <c r="AO41">
        <f t="shared" si="4"/>
        <v>0</v>
      </c>
    </row>
    <row r="42" spans="1:41" x14ac:dyDescent="0.25">
      <c r="A42" s="1">
        <v>4</v>
      </c>
      <c r="B42" t="s">
        <v>88</v>
      </c>
      <c r="C42" t="s">
        <v>89</v>
      </c>
      <c r="D42" s="18" t="s">
        <v>118</v>
      </c>
      <c r="E42" t="s">
        <v>90</v>
      </c>
      <c r="F42" t="s">
        <v>41</v>
      </c>
      <c r="G42" t="s">
        <v>64</v>
      </c>
      <c r="H42" t="s">
        <v>52</v>
      </c>
      <c r="I42" t="s">
        <v>98</v>
      </c>
      <c r="K42" t="s">
        <v>241</v>
      </c>
      <c r="L42">
        <v>8</v>
      </c>
      <c r="M42" s="18" t="s">
        <v>102</v>
      </c>
      <c r="N42" t="s">
        <v>43</v>
      </c>
      <c r="O42" t="s">
        <v>101</v>
      </c>
      <c r="P42">
        <f>6*30</f>
        <v>180</v>
      </c>
      <c r="Q42" t="s">
        <v>51</v>
      </c>
      <c r="R42" t="s">
        <v>47</v>
      </c>
      <c r="S42" t="s">
        <v>47</v>
      </c>
      <c r="T42" t="s">
        <v>47</v>
      </c>
      <c r="U42" t="s">
        <v>47</v>
      </c>
      <c r="V42" t="s">
        <v>47</v>
      </c>
      <c r="W42">
        <v>0</v>
      </c>
      <c r="X42" t="s">
        <v>97</v>
      </c>
      <c r="Y42" t="s">
        <v>61</v>
      </c>
      <c r="Z42">
        <v>0</v>
      </c>
      <c r="AA42" t="s">
        <v>62</v>
      </c>
      <c r="AB42">
        <f t="shared" si="5"/>
        <v>0</v>
      </c>
      <c r="AC42">
        <f t="shared" si="6"/>
        <v>0</v>
      </c>
      <c r="AD42">
        <f t="shared" si="7"/>
        <v>0</v>
      </c>
      <c r="AE42" t="s">
        <v>62</v>
      </c>
      <c r="AF42">
        <f t="shared" si="8"/>
        <v>0</v>
      </c>
      <c r="AG42">
        <f t="shared" si="9"/>
        <v>0</v>
      </c>
      <c r="AH42">
        <v>1</v>
      </c>
      <c r="AI42" t="s">
        <v>97</v>
      </c>
      <c r="AJ42">
        <f t="shared" si="0"/>
        <v>0</v>
      </c>
      <c r="AK42" t="s">
        <v>63</v>
      </c>
      <c r="AL42">
        <f t="shared" si="1"/>
        <v>0</v>
      </c>
      <c r="AM42">
        <f t="shared" si="2"/>
        <v>0</v>
      </c>
      <c r="AN42">
        <f t="shared" si="3"/>
        <v>0</v>
      </c>
      <c r="AO42">
        <f t="shared" si="4"/>
        <v>0</v>
      </c>
    </row>
    <row r="43" spans="1:41" x14ac:dyDescent="0.25">
      <c r="A43" s="1">
        <v>4</v>
      </c>
      <c r="B43" t="s">
        <v>88</v>
      </c>
      <c r="C43" t="s">
        <v>89</v>
      </c>
      <c r="D43" s="18" t="s">
        <v>118</v>
      </c>
      <c r="E43" t="s">
        <v>90</v>
      </c>
      <c r="F43" t="s">
        <v>41</v>
      </c>
      <c r="G43" t="s">
        <v>64</v>
      </c>
      <c r="H43" t="s">
        <v>52</v>
      </c>
      <c r="I43" t="s">
        <v>99</v>
      </c>
      <c r="K43" t="s">
        <v>241</v>
      </c>
      <c r="L43">
        <v>8</v>
      </c>
      <c r="M43" s="18" t="s">
        <v>102</v>
      </c>
      <c r="N43" t="s">
        <v>43</v>
      </c>
      <c r="O43" t="s">
        <v>101</v>
      </c>
      <c r="P43">
        <f>6*30</f>
        <v>180</v>
      </c>
      <c r="Q43" t="s">
        <v>51</v>
      </c>
      <c r="R43" t="s">
        <v>47</v>
      </c>
      <c r="S43" t="s">
        <v>47</v>
      </c>
      <c r="T43" t="s">
        <v>47</v>
      </c>
      <c r="U43" t="s">
        <v>47</v>
      </c>
      <c r="V43" t="s">
        <v>47</v>
      </c>
      <c r="W43">
        <v>2.2000000000000002</v>
      </c>
      <c r="X43" t="s">
        <v>97</v>
      </c>
      <c r="Y43" t="s">
        <v>61</v>
      </c>
      <c r="Z43">
        <f>2.6-2.2</f>
        <v>0.39999999999999991</v>
      </c>
      <c r="AA43" t="s">
        <v>62</v>
      </c>
      <c r="AB43">
        <f t="shared" si="5"/>
        <v>0.14142135623730948</v>
      </c>
      <c r="AC43">
        <f t="shared" si="6"/>
        <v>1.8000000000000003</v>
      </c>
      <c r="AD43">
        <f t="shared" si="7"/>
        <v>2.6</v>
      </c>
      <c r="AE43" t="s">
        <v>62</v>
      </c>
      <c r="AF43">
        <f t="shared" si="8"/>
        <v>2.0585786437626905</v>
      </c>
      <c r="AG43">
        <f t="shared" si="9"/>
        <v>2.3414213562373098</v>
      </c>
      <c r="AH43">
        <v>1</v>
      </c>
      <c r="AI43" t="s">
        <v>97</v>
      </c>
      <c r="AJ43">
        <f t="shared" si="0"/>
        <v>2.2000000000000002</v>
      </c>
      <c r="AK43" t="s">
        <v>63</v>
      </c>
      <c r="AL43">
        <f t="shared" si="1"/>
        <v>1.8000000000000003</v>
      </c>
      <c r="AM43">
        <f t="shared" si="2"/>
        <v>2.6</v>
      </c>
      <c r="AN43">
        <f t="shared" si="3"/>
        <v>2.0585786437626905</v>
      </c>
      <c r="AO43">
        <f t="shared" si="4"/>
        <v>2.3414213562373098</v>
      </c>
    </row>
    <row r="44" spans="1:41" x14ac:dyDescent="0.25">
      <c r="A44" s="1">
        <v>4</v>
      </c>
      <c r="B44" t="s">
        <v>88</v>
      </c>
      <c r="C44" t="s">
        <v>89</v>
      </c>
      <c r="D44" s="18" t="s">
        <v>118</v>
      </c>
      <c r="E44" t="s">
        <v>90</v>
      </c>
      <c r="F44" t="s">
        <v>41</v>
      </c>
      <c r="G44" t="s">
        <v>64</v>
      </c>
      <c r="H44" t="s">
        <v>52</v>
      </c>
      <c r="I44" t="s">
        <v>100</v>
      </c>
      <c r="K44" t="s">
        <v>241</v>
      </c>
      <c r="L44">
        <v>8</v>
      </c>
      <c r="M44" s="18" t="s">
        <v>102</v>
      </c>
      <c r="N44" t="s">
        <v>43</v>
      </c>
      <c r="O44" t="s">
        <v>101</v>
      </c>
      <c r="P44">
        <f>6*30</f>
        <v>180</v>
      </c>
      <c r="Q44" t="s">
        <v>51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>
        <v>3.5</v>
      </c>
      <c r="X44" t="s">
        <v>97</v>
      </c>
      <c r="Y44" t="s">
        <v>61</v>
      </c>
      <c r="Z44">
        <f>4-3.5</f>
        <v>0.5</v>
      </c>
      <c r="AA44" t="s">
        <v>62</v>
      </c>
      <c r="AB44">
        <f t="shared" si="5"/>
        <v>0.17677669529663687</v>
      </c>
      <c r="AC44">
        <f t="shared" si="6"/>
        <v>3</v>
      </c>
      <c r="AD44">
        <f t="shared" si="7"/>
        <v>4</v>
      </c>
      <c r="AE44" t="s">
        <v>62</v>
      </c>
      <c r="AF44">
        <f t="shared" si="8"/>
        <v>3.323223304703363</v>
      </c>
      <c r="AG44">
        <f t="shared" si="9"/>
        <v>3.676776695296637</v>
      </c>
      <c r="AH44">
        <v>1</v>
      </c>
      <c r="AI44" t="s">
        <v>97</v>
      </c>
      <c r="AJ44">
        <f t="shared" si="0"/>
        <v>3.5</v>
      </c>
      <c r="AK44" t="s">
        <v>63</v>
      </c>
      <c r="AL44">
        <f t="shared" si="1"/>
        <v>3</v>
      </c>
      <c r="AM44">
        <f t="shared" si="2"/>
        <v>4</v>
      </c>
      <c r="AN44">
        <f t="shared" si="3"/>
        <v>3.323223304703363</v>
      </c>
      <c r="AO44">
        <f t="shared" si="4"/>
        <v>3.676776695296637</v>
      </c>
    </row>
    <row r="45" spans="1:41" x14ac:dyDescent="0.25">
      <c r="A45" s="1">
        <v>4</v>
      </c>
      <c r="B45" t="s">
        <v>88</v>
      </c>
      <c r="C45" t="s">
        <v>89</v>
      </c>
      <c r="D45" s="18" t="s">
        <v>118</v>
      </c>
      <c r="E45" t="s">
        <v>90</v>
      </c>
      <c r="F45" t="s">
        <v>41</v>
      </c>
      <c r="G45" t="s">
        <v>41</v>
      </c>
      <c r="H45" t="s">
        <v>57</v>
      </c>
      <c r="I45" t="s">
        <v>42</v>
      </c>
      <c r="K45" t="s">
        <v>239</v>
      </c>
      <c r="L45">
        <v>12</v>
      </c>
      <c r="M45" s="18" t="s">
        <v>58</v>
      </c>
      <c r="N45" t="s">
        <v>43</v>
      </c>
      <c r="O45" t="s">
        <v>91</v>
      </c>
      <c r="P45">
        <v>4</v>
      </c>
      <c r="Q45" t="s">
        <v>45</v>
      </c>
      <c r="R45">
        <v>1</v>
      </c>
      <c r="S45">
        <v>7</v>
      </c>
      <c r="T45" t="s">
        <v>46</v>
      </c>
      <c r="U45" t="s">
        <v>47</v>
      </c>
      <c r="V45" t="s">
        <v>47</v>
      </c>
      <c r="W45">
        <v>178</v>
      </c>
      <c r="X45" t="s">
        <v>49</v>
      </c>
      <c r="Y45" t="s">
        <v>61</v>
      </c>
      <c r="Z45">
        <v>17.899999999999999</v>
      </c>
      <c r="AA45" t="s">
        <v>62</v>
      </c>
      <c r="AB45">
        <f t="shared" si="5"/>
        <v>5.1672849092471509</v>
      </c>
      <c r="AC45">
        <f t="shared" si="6"/>
        <v>160.1</v>
      </c>
      <c r="AD45">
        <f t="shared" si="7"/>
        <v>195.9</v>
      </c>
      <c r="AE45" t="s">
        <v>62</v>
      </c>
      <c r="AF45">
        <f t="shared" si="8"/>
        <v>172.83271509075286</v>
      </c>
      <c r="AG45">
        <f t="shared" si="9"/>
        <v>183.16728490924714</v>
      </c>
      <c r="AH45">
        <v>1</v>
      </c>
      <c r="AI45" t="s">
        <v>49</v>
      </c>
      <c r="AJ45">
        <f t="shared" si="0"/>
        <v>178</v>
      </c>
      <c r="AK45" t="s">
        <v>63</v>
      </c>
      <c r="AL45">
        <f t="shared" si="1"/>
        <v>160.1</v>
      </c>
      <c r="AM45">
        <f t="shared" si="2"/>
        <v>195.9</v>
      </c>
      <c r="AN45">
        <f t="shared" si="3"/>
        <v>172.83271509075286</v>
      </c>
      <c r="AO45">
        <f t="shared" si="4"/>
        <v>183.16728490924714</v>
      </c>
    </row>
    <row r="46" spans="1:41" x14ac:dyDescent="0.25">
      <c r="A46" s="1">
        <v>4</v>
      </c>
      <c r="B46" t="s">
        <v>88</v>
      </c>
      <c r="C46" t="s">
        <v>89</v>
      </c>
      <c r="D46" s="18" t="s">
        <v>118</v>
      </c>
      <c r="E46" t="s">
        <v>90</v>
      </c>
      <c r="F46" t="s">
        <v>41</v>
      </c>
      <c r="G46" t="s">
        <v>41</v>
      </c>
      <c r="H46" t="s">
        <v>57</v>
      </c>
      <c r="I46" t="s">
        <v>42</v>
      </c>
      <c r="K46" t="s">
        <v>239</v>
      </c>
      <c r="L46">
        <v>12</v>
      </c>
      <c r="M46" s="18" t="s">
        <v>58</v>
      </c>
      <c r="N46" t="s">
        <v>43</v>
      </c>
      <c r="O46" t="s">
        <v>92</v>
      </c>
      <c r="P46">
        <v>11</v>
      </c>
      <c r="Q46" t="s">
        <v>45</v>
      </c>
      <c r="R46">
        <v>8</v>
      </c>
      <c r="S46">
        <v>14</v>
      </c>
      <c r="T46" t="s">
        <v>46</v>
      </c>
      <c r="U46" t="s">
        <v>47</v>
      </c>
      <c r="V46" t="s">
        <v>47</v>
      </c>
      <c r="W46">
        <v>134.80000000000001</v>
      </c>
      <c r="X46" t="s">
        <v>49</v>
      </c>
      <c r="Y46" t="s">
        <v>61</v>
      </c>
      <c r="Z46">
        <v>18.5</v>
      </c>
      <c r="AA46" t="s">
        <v>62</v>
      </c>
      <c r="AB46">
        <f t="shared" si="5"/>
        <v>5.3404899900040386</v>
      </c>
      <c r="AC46">
        <f t="shared" si="6"/>
        <v>116.30000000000001</v>
      </c>
      <c r="AD46">
        <f t="shared" si="7"/>
        <v>153.30000000000001</v>
      </c>
      <c r="AE46" t="s">
        <v>62</v>
      </c>
      <c r="AF46">
        <f t="shared" si="8"/>
        <v>129.45951000999597</v>
      </c>
      <c r="AG46">
        <f t="shared" si="9"/>
        <v>140.14048999000406</v>
      </c>
      <c r="AH46">
        <v>1</v>
      </c>
      <c r="AI46" t="s">
        <v>49</v>
      </c>
      <c r="AJ46">
        <f t="shared" si="0"/>
        <v>134.80000000000001</v>
      </c>
      <c r="AK46" t="s">
        <v>63</v>
      </c>
      <c r="AL46">
        <f t="shared" si="1"/>
        <v>116.30000000000001</v>
      </c>
      <c r="AM46">
        <f t="shared" si="2"/>
        <v>153.30000000000001</v>
      </c>
      <c r="AN46">
        <f t="shared" si="3"/>
        <v>129.45951000999597</v>
      </c>
      <c r="AO46">
        <f t="shared" si="4"/>
        <v>140.14048999000406</v>
      </c>
    </row>
    <row r="47" spans="1:41" x14ac:dyDescent="0.25">
      <c r="A47" s="1">
        <v>4</v>
      </c>
      <c r="B47" t="s">
        <v>88</v>
      </c>
      <c r="C47" t="s">
        <v>89</v>
      </c>
      <c r="D47" s="18" t="s">
        <v>118</v>
      </c>
      <c r="E47" t="s">
        <v>90</v>
      </c>
      <c r="F47" t="s">
        <v>41</v>
      </c>
      <c r="G47" t="s">
        <v>41</v>
      </c>
      <c r="H47" t="s">
        <v>57</v>
      </c>
      <c r="I47" t="s">
        <v>42</v>
      </c>
      <c r="K47" t="s">
        <v>239</v>
      </c>
      <c r="L47">
        <v>12</v>
      </c>
      <c r="M47" s="18" t="s">
        <v>58</v>
      </c>
      <c r="N47" t="s">
        <v>43</v>
      </c>
      <c r="O47" t="s">
        <v>50</v>
      </c>
      <c r="P47">
        <f>1*30</f>
        <v>30</v>
      </c>
      <c r="Q47" t="s">
        <v>51</v>
      </c>
      <c r="R47" t="s">
        <v>47</v>
      </c>
      <c r="S47" t="s">
        <v>47</v>
      </c>
      <c r="T47" t="s">
        <v>47</v>
      </c>
      <c r="U47" t="s">
        <v>47</v>
      </c>
      <c r="V47" t="s">
        <v>47</v>
      </c>
      <c r="W47">
        <v>65.8</v>
      </c>
      <c r="X47" t="s">
        <v>49</v>
      </c>
      <c r="Y47" t="s">
        <v>61</v>
      </c>
      <c r="Z47">
        <v>13.7</v>
      </c>
      <c r="AA47" t="s">
        <v>62</v>
      </c>
      <c r="AB47">
        <f t="shared" si="5"/>
        <v>3.9548493439489367</v>
      </c>
      <c r="AC47">
        <f t="shared" si="6"/>
        <v>52.099999999999994</v>
      </c>
      <c r="AD47">
        <f t="shared" si="7"/>
        <v>79.5</v>
      </c>
      <c r="AE47" t="s">
        <v>62</v>
      </c>
      <c r="AF47">
        <f t="shared" si="8"/>
        <v>61.845150656051061</v>
      </c>
      <c r="AG47">
        <f t="shared" si="9"/>
        <v>69.754849343948933</v>
      </c>
      <c r="AH47">
        <v>1</v>
      </c>
      <c r="AI47" t="s">
        <v>49</v>
      </c>
      <c r="AJ47">
        <f t="shared" si="0"/>
        <v>65.8</v>
      </c>
      <c r="AK47" t="s">
        <v>63</v>
      </c>
      <c r="AL47">
        <f t="shared" si="1"/>
        <v>52.099999999999994</v>
      </c>
      <c r="AM47">
        <f t="shared" si="2"/>
        <v>79.5</v>
      </c>
      <c r="AN47">
        <f t="shared" si="3"/>
        <v>61.845150656051061</v>
      </c>
      <c r="AO47">
        <f t="shared" si="4"/>
        <v>69.754849343948933</v>
      </c>
    </row>
    <row r="48" spans="1:41" x14ac:dyDescent="0.25">
      <c r="A48" s="1">
        <v>4</v>
      </c>
      <c r="B48" t="s">
        <v>88</v>
      </c>
      <c r="C48" t="s">
        <v>89</v>
      </c>
      <c r="D48" s="18" t="s">
        <v>118</v>
      </c>
      <c r="E48" t="s">
        <v>90</v>
      </c>
      <c r="F48" t="s">
        <v>41</v>
      </c>
      <c r="G48" t="s">
        <v>41</v>
      </c>
      <c r="H48" t="s">
        <v>57</v>
      </c>
      <c r="I48" t="s">
        <v>42</v>
      </c>
      <c r="K48" t="s">
        <v>239</v>
      </c>
      <c r="L48">
        <v>12</v>
      </c>
      <c r="M48" s="18" t="s">
        <v>58</v>
      </c>
      <c r="N48" t="s">
        <v>43</v>
      </c>
      <c r="O48" t="s">
        <v>93</v>
      </c>
      <c r="P48">
        <f>4*30</f>
        <v>120</v>
      </c>
      <c r="Q48" t="s">
        <v>51</v>
      </c>
      <c r="R48" t="s">
        <v>47</v>
      </c>
      <c r="S48" t="s">
        <v>47</v>
      </c>
      <c r="T48" t="s">
        <v>47</v>
      </c>
      <c r="U48" t="s">
        <v>47</v>
      </c>
      <c r="V48" t="s">
        <v>47</v>
      </c>
      <c r="W48">
        <v>48.8</v>
      </c>
      <c r="X48" t="s">
        <v>49</v>
      </c>
      <c r="Y48" t="s">
        <v>61</v>
      </c>
      <c r="Z48">
        <v>12</v>
      </c>
      <c r="AA48" t="s">
        <v>62</v>
      </c>
      <c r="AB48">
        <f t="shared" si="5"/>
        <v>3.4641016151377548</v>
      </c>
      <c r="AC48">
        <f t="shared" si="6"/>
        <v>36.799999999999997</v>
      </c>
      <c r="AD48">
        <f t="shared" si="7"/>
        <v>60.8</v>
      </c>
      <c r="AE48" t="s">
        <v>62</v>
      </c>
      <c r="AF48">
        <f t="shared" si="8"/>
        <v>45.33589838486224</v>
      </c>
      <c r="AG48">
        <f t="shared" si="9"/>
        <v>52.264101615137754</v>
      </c>
      <c r="AH48">
        <v>1</v>
      </c>
      <c r="AI48" t="s">
        <v>49</v>
      </c>
      <c r="AJ48">
        <f t="shared" si="0"/>
        <v>48.8</v>
      </c>
      <c r="AK48" t="s">
        <v>63</v>
      </c>
      <c r="AL48">
        <f t="shared" si="1"/>
        <v>36.799999999999997</v>
      </c>
      <c r="AM48">
        <f t="shared" si="2"/>
        <v>60.8</v>
      </c>
      <c r="AN48">
        <f t="shared" si="3"/>
        <v>45.33589838486224</v>
      </c>
      <c r="AO48">
        <f t="shared" si="4"/>
        <v>52.264101615137754</v>
      </c>
    </row>
    <row r="49" spans="1:41" x14ac:dyDescent="0.25">
      <c r="A49" s="1">
        <v>4</v>
      </c>
      <c r="B49" t="s">
        <v>88</v>
      </c>
      <c r="C49" t="s">
        <v>89</v>
      </c>
      <c r="D49" s="18" t="s">
        <v>118</v>
      </c>
      <c r="E49" t="s">
        <v>90</v>
      </c>
      <c r="F49" t="s">
        <v>41</v>
      </c>
      <c r="G49" t="s">
        <v>41</v>
      </c>
      <c r="H49" t="s">
        <v>57</v>
      </c>
      <c r="I49" t="s">
        <v>42</v>
      </c>
      <c r="K49" t="s">
        <v>239</v>
      </c>
      <c r="L49">
        <v>12</v>
      </c>
      <c r="M49" s="18" t="s">
        <v>58</v>
      </c>
      <c r="N49" t="s">
        <v>43</v>
      </c>
      <c r="O49" t="s">
        <v>94</v>
      </c>
      <c r="P49">
        <f>5*30</f>
        <v>150</v>
      </c>
      <c r="Q49" t="s">
        <v>51</v>
      </c>
      <c r="R49" t="s">
        <v>47</v>
      </c>
      <c r="S49" t="s">
        <v>47</v>
      </c>
      <c r="T49" t="s">
        <v>47</v>
      </c>
      <c r="U49" t="s">
        <v>47</v>
      </c>
      <c r="V49" t="s">
        <v>47</v>
      </c>
      <c r="W49">
        <v>55.9</v>
      </c>
      <c r="X49" t="s">
        <v>49</v>
      </c>
      <c r="Y49" t="s">
        <v>61</v>
      </c>
      <c r="Z49">
        <v>13.8</v>
      </c>
      <c r="AA49" t="s">
        <v>62</v>
      </c>
      <c r="AB49">
        <f t="shared" si="5"/>
        <v>3.9837168574084183</v>
      </c>
      <c r="AC49">
        <f t="shared" si="6"/>
        <v>42.099999999999994</v>
      </c>
      <c r="AD49">
        <f t="shared" si="7"/>
        <v>69.7</v>
      </c>
      <c r="AE49" t="s">
        <v>62</v>
      </c>
      <c r="AF49">
        <f t="shared" si="8"/>
        <v>51.916283142591581</v>
      </c>
      <c r="AG49">
        <f t="shared" si="9"/>
        <v>59.883716857408416</v>
      </c>
      <c r="AH49">
        <v>1</v>
      </c>
      <c r="AI49" t="s">
        <v>49</v>
      </c>
      <c r="AJ49">
        <f t="shared" si="0"/>
        <v>55.9</v>
      </c>
      <c r="AK49" t="s">
        <v>63</v>
      </c>
      <c r="AL49">
        <f t="shared" si="1"/>
        <v>42.099999999999994</v>
      </c>
      <c r="AM49">
        <f t="shared" si="2"/>
        <v>69.7</v>
      </c>
      <c r="AN49">
        <f t="shared" si="3"/>
        <v>51.916283142591581</v>
      </c>
      <c r="AO49">
        <f t="shared" si="4"/>
        <v>59.883716857408416</v>
      </c>
    </row>
    <row r="50" spans="1:41" x14ac:dyDescent="0.25">
      <c r="A50" s="1">
        <v>4</v>
      </c>
      <c r="B50" t="s">
        <v>88</v>
      </c>
      <c r="C50" t="s">
        <v>89</v>
      </c>
      <c r="D50" s="18" t="s">
        <v>118</v>
      </c>
      <c r="E50" t="s">
        <v>90</v>
      </c>
      <c r="F50" t="s">
        <v>41</v>
      </c>
      <c r="G50" t="s">
        <v>41</v>
      </c>
      <c r="H50" t="s">
        <v>57</v>
      </c>
      <c r="I50" t="s">
        <v>42</v>
      </c>
      <c r="K50" t="s">
        <v>239</v>
      </c>
      <c r="L50">
        <v>12</v>
      </c>
      <c r="M50" s="18" t="s">
        <v>58</v>
      </c>
      <c r="N50" t="s">
        <v>43</v>
      </c>
      <c r="O50" t="s">
        <v>95</v>
      </c>
      <c r="P50">
        <f>12*30</f>
        <v>360</v>
      </c>
      <c r="Q50" t="s">
        <v>51</v>
      </c>
      <c r="R50" t="s">
        <v>47</v>
      </c>
      <c r="S50" t="s">
        <v>47</v>
      </c>
      <c r="T50" t="s">
        <v>47</v>
      </c>
      <c r="U50" t="s">
        <v>47</v>
      </c>
      <c r="V50" t="s">
        <v>47</v>
      </c>
      <c r="W50">
        <v>48.3</v>
      </c>
      <c r="X50" t="s">
        <v>49</v>
      </c>
      <c r="Y50" t="s">
        <v>61</v>
      </c>
      <c r="Z50">
        <v>10.199999999999999</v>
      </c>
      <c r="AA50" t="s">
        <v>62</v>
      </c>
      <c r="AB50">
        <f t="shared" si="5"/>
        <v>2.9444863728670914</v>
      </c>
      <c r="AC50">
        <f t="shared" si="6"/>
        <v>38.099999999999994</v>
      </c>
      <c r="AD50">
        <f t="shared" si="7"/>
        <v>58.5</v>
      </c>
      <c r="AE50" t="s">
        <v>62</v>
      </c>
      <c r="AF50">
        <f t="shared" si="8"/>
        <v>45.355513627132908</v>
      </c>
      <c r="AG50">
        <f t="shared" si="9"/>
        <v>51.244486372867087</v>
      </c>
      <c r="AH50">
        <v>1</v>
      </c>
      <c r="AI50" t="s">
        <v>49</v>
      </c>
      <c r="AJ50">
        <f t="shared" si="0"/>
        <v>48.3</v>
      </c>
      <c r="AK50" t="s">
        <v>63</v>
      </c>
      <c r="AL50">
        <f t="shared" si="1"/>
        <v>38.099999999999994</v>
      </c>
      <c r="AM50">
        <f t="shared" si="2"/>
        <v>58.5</v>
      </c>
      <c r="AN50">
        <f t="shared" si="3"/>
        <v>45.355513627132908</v>
      </c>
      <c r="AO50">
        <f t="shared" si="4"/>
        <v>51.244486372867087</v>
      </c>
    </row>
    <row r="51" spans="1:41" x14ac:dyDescent="0.25">
      <c r="A51" s="1">
        <v>5</v>
      </c>
      <c r="B51" t="s">
        <v>103</v>
      </c>
      <c r="C51" t="s">
        <v>104</v>
      </c>
      <c r="D51" s="18" t="s">
        <v>118</v>
      </c>
      <c r="E51" t="s">
        <v>90</v>
      </c>
      <c r="F51" t="s">
        <v>41</v>
      </c>
      <c r="G51" t="s">
        <v>41</v>
      </c>
      <c r="H51" t="s">
        <v>57</v>
      </c>
      <c r="I51" t="s">
        <v>42</v>
      </c>
      <c r="K51" t="s">
        <v>239</v>
      </c>
      <c r="L51">
        <v>33</v>
      </c>
      <c r="M51" s="18" t="s">
        <v>105</v>
      </c>
      <c r="N51" t="s">
        <v>43</v>
      </c>
      <c r="O51" t="s">
        <v>44</v>
      </c>
      <c r="P51">
        <v>3.5</v>
      </c>
      <c r="Q51" t="s">
        <v>45</v>
      </c>
      <c r="R51">
        <v>2</v>
      </c>
      <c r="S51">
        <v>5</v>
      </c>
      <c r="T51" t="s">
        <v>46</v>
      </c>
      <c r="U51" t="s">
        <v>47</v>
      </c>
      <c r="V51" t="s">
        <v>47</v>
      </c>
      <c r="W51">
        <v>0.18</v>
      </c>
      <c r="X51" t="s">
        <v>106</v>
      </c>
      <c r="Y51" t="s">
        <v>61</v>
      </c>
      <c r="Z51">
        <v>0.13</v>
      </c>
      <c r="AA51" t="s">
        <v>62</v>
      </c>
      <c r="AB51">
        <f t="shared" si="5"/>
        <v>2.263009527424072E-2</v>
      </c>
      <c r="AC51">
        <f t="shared" si="6"/>
        <v>4.9999999999999989E-2</v>
      </c>
      <c r="AD51">
        <f t="shared" si="7"/>
        <v>0.31</v>
      </c>
      <c r="AE51" t="s">
        <v>62</v>
      </c>
      <c r="AF51">
        <f t="shared" si="8"/>
        <v>0.15736990472575926</v>
      </c>
      <c r="AG51">
        <f t="shared" si="9"/>
        <v>0.20263009527424072</v>
      </c>
      <c r="AH51">
        <v>1000</v>
      </c>
      <c r="AI51" t="s">
        <v>49</v>
      </c>
      <c r="AJ51">
        <f t="shared" si="0"/>
        <v>180</v>
      </c>
      <c r="AK51" t="s">
        <v>63</v>
      </c>
      <c r="AL51">
        <f t="shared" si="1"/>
        <v>49.999999999999986</v>
      </c>
      <c r="AM51">
        <f t="shared" si="2"/>
        <v>310</v>
      </c>
      <c r="AN51">
        <f t="shared" si="3"/>
        <v>157.36990472575926</v>
      </c>
      <c r="AO51">
        <f t="shared" si="4"/>
        <v>202.63009527424072</v>
      </c>
    </row>
    <row r="52" spans="1:41" x14ac:dyDescent="0.25">
      <c r="A52" s="1">
        <v>5</v>
      </c>
      <c r="B52" t="s">
        <v>103</v>
      </c>
      <c r="C52" t="s">
        <v>104</v>
      </c>
      <c r="D52" s="18" t="s">
        <v>118</v>
      </c>
      <c r="E52" t="s">
        <v>90</v>
      </c>
      <c r="F52" t="s">
        <v>41</v>
      </c>
      <c r="G52" t="s">
        <v>41</v>
      </c>
      <c r="H52" t="s">
        <v>57</v>
      </c>
      <c r="I52" t="s">
        <v>42</v>
      </c>
      <c r="K52" t="s">
        <v>239</v>
      </c>
      <c r="L52">
        <v>33</v>
      </c>
      <c r="M52" s="18" t="s">
        <v>105</v>
      </c>
      <c r="N52" t="s">
        <v>43</v>
      </c>
      <c r="O52" t="s">
        <v>107</v>
      </c>
      <c r="P52">
        <f>2*7</f>
        <v>14</v>
      </c>
      <c r="Q52" t="s">
        <v>51</v>
      </c>
      <c r="R52">
        <v>12</v>
      </c>
      <c r="S52">
        <v>15</v>
      </c>
      <c r="T52" t="s">
        <v>46</v>
      </c>
      <c r="U52" t="s">
        <v>47</v>
      </c>
      <c r="V52" t="s">
        <v>47</v>
      </c>
      <c r="W52">
        <v>0.33</v>
      </c>
      <c r="X52" t="s">
        <v>106</v>
      </c>
      <c r="Y52" t="s">
        <v>61</v>
      </c>
      <c r="Z52">
        <v>0.21</v>
      </c>
      <c r="AA52" t="s">
        <v>62</v>
      </c>
      <c r="AB52">
        <f t="shared" si="5"/>
        <v>3.6556307750696543E-2</v>
      </c>
      <c r="AC52">
        <f t="shared" si="6"/>
        <v>0.12000000000000002</v>
      </c>
      <c r="AD52">
        <f t="shared" si="7"/>
        <v>0.54</v>
      </c>
      <c r="AE52" t="s">
        <v>62</v>
      </c>
      <c r="AF52">
        <f t="shared" si="8"/>
        <v>0.29344369224930344</v>
      </c>
      <c r="AG52">
        <f t="shared" si="9"/>
        <v>0.36655630775069659</v>
      </c>
      <c r="AH52">
        <v>1000</v>
      </c>
      <c r="AI52" t="s">
        <v>49</v>
      </c>
      <c r="AJ52">
        <f t="shared" si="0"/>
        <v>330</v>
      </c>
      <c r="AK52" t="s">
        <v>63</v>
      </c>
      <c r="AL52">
        <f t="shared" si="1"/>
        <v>120.00000000000003</v>
      </c>
      <c r="AM52">
        <f t="shared" si="2"/>
        <v>540</v>
      </c>
      <c r="AN52">
        <f t="shared" si="3"/>
        <v>293.44369224930347</v>
      </c>
      <c r="AO52">
        <f t="shared" si="4"/>
        <v>366.55630775069659</v>
      </c>
    </row>
    <row r="53" spans="1:41" x14ac:dyDescent="0.25">
      <c r="A53" s="1">
        <v>5</v>
      </c>
      <c r="B53" t="s">
        <v>103</v>
      </c>
      <c r="C53" t="s">
        <v>104</v>
      </c>
      <c r="D53" s="18" t="s">
        <v>118</v>
      </c>
      <c r="E53" t="s">
        <v>90</v>
      </c>
      <c r="F53" t="s">
        <v>41</v>
      </c>
      <c r="G53" t="s">
        <v>41</v>
      </c>
      <c r="H53" t="s">
        <v>57</v>
      </c>
      <c r="I53" t="s">
        <v>42</v>
      </c>
      <c r="K53" t="s">
        <v>239</v>
      </c>
      <c r="L53">
        <v>33</v>
      </c>
      <c r="M53" s="18" t="s">
        <v>105</v>
      </c>
      <c r="N53" t="s">
        <v>43</v>
      </c>
      <c r="O53" t="s">
        <v>108</v>
      </c>
      <c r="P53">
        <f>5*7</f>
        <v>35</v>
      </c>
      <c r="Q53" t="s">
        <v>51</v>
      </c>
      <c r="R53">
        <v>28</v>
      </c>
      <c r="S53">
        <v>42</v>
      </c>
      <c r="T53" t="s">
        <v>46</v>
      </c>
      <c r="U53" t="s">
        <v>47</v>
      </c>
      <c r="V53" t="s">
        <v>47</v>
      </c>
      <c r="W53">
        <v>0.3</v>
      </c>
      <c r="X53" t="s">
        <v>106</v>
      </c>
      <c r="Y53" t="s">
        <v>61</v>
      </c>
      <c r="Z53">
        <v>0.13</v>
      </c>
      <c r="AA53" t="s">
        <v>62</v>
      </c>
      <c r="AB53">
        <f t="shared" ref="AB53:AB58" si="10">Z53/SQRT(L53)</f>
        <v>2.263009527424072E-2</v>
      </c>
      <c r="AC53">
        <f t="shared" ref="AC53:AC58" si="11">W53-Z53</f>
        <v>0.16999999999999998</v>
      </c>
      <c r="AD53">
        <f t="shared" ref="AD53:AD58" si="12">W53+Z53</f>
        <v>0.43</v>
      </c>
      <c r="AE53" t="s">
        <v>62</v>
      </c>
      <c r="AF53">
        <f t="shared" ref="AF53:AF58" si="13">W53-AB53</f>
        <v>0.27736990472575929</v>
      </c>
      <c r="AG53">
        <f t="shared" ref="AG53:AG58" si="14">W53+AB53</f>
        <v>0.32263009527424069</v>
      </c>
      <c r="AH53">
        <v>1000</v>
      </c>
      <c r="AI53" t="s">
        <v>49</v>
      </c>
      <c r="AJ53">
        <f t="shared" si="0"/>
        <v>300</v>
      </c>
      <c r="AK53" t="s">
        <v>63</v>
      </c>
      <c r="AL53">
        <f t="shared" si="1"/>
        <v>169.99999999999997</v>
      </c>
      <c r="AM53">
        <f t="shared" si="2"/>
        <v>430</v>
      </c>
      <c r="AN53">
        <f t="shared" si="3"/>
        <v>277.36990472575928</v>
      </c>
      <c r="AO53">
        <f t="shared" si="4"/>
        <v>322.63009527424072</v>
      </c>
    </row>
    <row r="54" spans="1:41" x14ac:dyDescent="0.25">
      <c r="A54" s="1">
        <v>5</v>
      </c>
      <c r="B54" t="s">
        <v>103</v>
      </c>
      <c r="C54" t="s">
        <v>104</v>
      </c>
      <c r="D54" s="18" t="s">
        <v>118</v>
      </c>
      <c r="E54" t="s">
        <v>90</v>
      </c>
      <c r="F54" t="s">
        <v>41</v>
      </c>
      <c r="G54" t="s">
        <v>41</v>
      </c>
      <c r="H54" t="s">
        <v>57</v>
      </c>
      <c r="I54" t="s">
        <v>42</v>
      </c>
      <c r="K54" t="s">
        <v>239</v>
      </c>
      <c r="L54">
        <v>33</v>
      </c>
      <c r="M54" s="18" t="s">
        <v>105</v>
      </c>
      <c r="N54" t="s">
        <v>43</v>
      </c>
      <c r="O54" t="s">
        <v>109</v>
      </c>
      <c r="P54">
        <f>10*7</f>
        <v>70</v>
      </c>
      <c r="Q54" t="s">
        <v>51</v>
      </c>
      <c r="R54">
        <v>71</v>
      </c>
      <c r="S54">
        <v>78</v>
      </c>
      <c r="T54" t="s">
        <v>46</v>
      </c>
      <c r="U54" t="s">
        <v>47</v>
      </c>
      <c r="V54" t="s">
        <v>47</v>
      </c>
      <c r="W54">
        <v>0.26</v>
      </c>
      <c r="X54" t="s">
        <v>106</v>
      </c>
      <c r="Y54" t="s">
        <v>61</v>
      </c>
      <c r="Z54">
        <v>0.04</v>
      </c>
      <c r="AA54" t="s">
        <v>62</v>
      </c>
      <c r="AB54">
        <f t="shared" si="10"/>
        <v>6.9631062382279141E-3</v>
      </c>
      <c r="AC54">
        <f t="shared" si="11"/>
        <v>0.22</v>
      </c>
      <c r="AD54">
        <f t="shared" si="12"/>
        <v>0.3</v>
      </c>
      <c r="AE54" t="s">
        <v>62</v>
      </c>
      <c r="AF54">
        <f t="shared" si="13"/>
        <v>0.25303689376177207</v>
      </c>
      <c r="AG54">
        <f t="shared" si="14"/>
        <v>0.26696310623822794</v>
      </c>
      <c r="AH54">
        <v>1000</v>
      </c>
      <c r="AI54" t="s">
        <v>49</v>
      </c>
      <c r="AJ54">
        <f t="shared" si="0"/>
        <v>260</v>
      </c>
      <c r="AK54" t="s">
        <v>63</v>
      </c>
      <c r="AL54">
        <f t="shared" si="1"/>
        <v>220</v>
      </c>
      <c r="AM54">
        <f t="shared" si="2"/>
        <v>300</v>
      </c>
      <c r="AN54">
        <f t="shared" si="3"/>
        <v>253.03689376177206</v>
      </c>
      <c r="AO54">
        <f t="shared" si="4"/>
        <v>266.96310623822797</v>
      </c>
    </row>
    <row r="55" spans="1:41" x14ac:dyDescent="0.25">
      <c r="A55" s="1">
        <v>5</v>
      </c>
      <c r="B55" t="s">
        <v>103</v>
      </c>
      <c r="C55" t="s">
        <v>104</v>
      </c>
      <c r="D55" s="18" t="s">
        <v>118</v>
      </c>
      <c r="E55" t="s">
        <v>90</v>
      </c>
      <c r="F55" t="s">
        <v>41</v>
      </c>
      <c r="G55" t="s">
        <v>41</v>
      </c>
      <c r="H55" t="s">
        <v>57</v>
      </c>
      <c r="I55" t="s">
        <v>42</v>
      </c>
      <c r="K55" t="s">
        <v>239</v>
      </c>
      <c r="L55">
        <v>33</v>
      </c>
      <c r="M55" s="18" t="s">
        <v>105</v>
      </c>
      <c r="N55" t="s">
        <v>43</v>
      </c>
      <c r="O55" t="s">
        <v>110</v>
      </c>
      <c r="P55">
        <f>13*7</f>
        <v>91</v>
      </c>
      <c r="Q55" t="s">
        <v>51</v>
      </c>
      <c r="R55">
        <v>85</v>
      </c>
      <c r="S55">
        <v>92</v>
      </c>
      <c r="T55" t="s">
        <v>46</v>
      </c>
      <c r="U55" t="s">
        <v>47</v>
      </c>
      <c r="V55" t="s">
        <v>47</v>
      </c>
      <c r="W55">
        <v>0.19</v>
      </c>
      <c r="X55" t="s">
        <v>106</v>
      </c>
      <c r="Y55" t="s">
        <v>61</v>
      </c>
      <c r="Z55">
        <v>0.03</v>
      </c>
      <c r="AA55" t="s">
        <v>62</v>
      </c>
      <c r="AB55">
        <f t="shared" si="10"/>
        <v>5.2223296786709349E-3</v>
      </c>
      <c r="AC55">
        <f t="shared" si="11"/>
        <v>0.16</v>
      </c>
      <c r="AD55">
        <f t="shared" si="12"/>
        <v>0.22</v>
      </c>
      <c r="AE55" t="s">
        <v>62</v>
      </c>
      <c r="AF55">
        <f t="shared" si="13"/>
        <v>0.18477767032132908</v>
      </c>
      <c r="AG55">
        <f t="shared" si="14"/>
        <v>0.19522232967867093</v>
      </c>
      <c r="AH55">
        <v>1000</v>
      </c>
      <c r="AI55" t="s">
        <v>49</v>
      </c>
      <c r="AJ55">
        <f t="shared" ref="AJ55:AJ62" si="15">W55*AH55</f>
        <v>190</v>
      </c>
      <c r="AK55" t="s">
        <v>63</v>
      </c>
      <c r="AL55">
        <f t="shared" si="1"/>
        <v>160</v>
      </c>
      <c r="AM55">
        <f t="shared" si="2"/>
        <v>220</v>
      </c>
      <c r="AN55">
        <f t="shared" si="3"/>
        <v>184.77767032132908</v>
      </c>
      <c r="AO55">
        <f t="shared" si="4"/>
        <v>195.22232967867092</v>
      </c>
    </row>
    <row r="56" spans="1:41" x14ac:dyDescent="0.25">
      <c r="A56" s="1">
        <v>5</v>
      </c>
      <c r="B56" t="s">
        <v>103</v>
      </c>
      <c r="C56" t="s">
        <v>104</v>
      </c>
      <c r="D56" s="18" t="s">
        <v>118</v>
      </c>
      <c r="E56" t="s">
        <v>90</v>
      </c>
      <c r="F56" t="s">
        <v>41</v>
      </c>
      <c r="G56" t="s">
        <v>41</v>
      </c>
      <c r="H56" t="s">
        <v>57</v>
      </c>
      <c r="I56" t="s">
        <v>42</v>
      </c>
      <c r="K56" t="s">
        <v>239</v>
      </c>
      <c r="L56">
        <v>33</v>
      </c>
      <c r="M56" s="18" t="s">
        <v>105</v>
      </c>
      <c r="N56" t="s">
        <v>43</v>
      </c>
      <c r="O56" t="s">
        <v>111</v>
      </c>
      <c r="P56">
        <f>17*7</f>
        <v>119</v>
      </c>
      <c r="Q56" t="s">
        <v>51</v>
      </c>
      <c r="R56">
        <v>106</v>
      </c>
      <c r="S56">
        <v>130</v>
      </c>
      <c r="T56" t="s">
        <v>46</v>
      </c>
      <c r="U56" t="s">
        <v>47</v>
      </c>
      <c r="V56" t="s">
        <v>47</v>
      </c>
      <c r="W56">
        <v>0.2</v>
      </c>
      <c r="X56" t="s">
        <v>106</v>
      </c>
      <c r="Y56" t="s">
        <v>61</v>
      </c>
      <c r="Z56">
        <v>7.0000000000000007E-2</v>
      </c>
      <c r="AA56" t="s">
        <v>62</v>
      </c>
      <c r="AB56">
        <f t="shared" si="10"/>
        <v>1.218543591689885E-2</v>
      </c>
      <c r="AC56">
        <f t="shared" si="11"/>
        <v>0.13</v>
      </c>
      <c r="AD56">
        <f t="shared" si="12"/>
        <v>0.27</v>
      </c>
      <c r="AE56" t="s">
        <v>62</v>
      </c>
      <c r="AF56">
        <f t="shared" si="13"/>
        <v>0.18781456408310115</v>
      </c>
      <c r="AG56">
        <f t="shared" si="14"/>
        <v>0.21218543591689887</v>
      </c>
      <c r="AH56">
        <v>1000</v>
      </c>
      <c r="AI56" t="s">
        <v>49</v>
      </c>
      <c r="AJ56">
        <f t="shared" si="15"/>
        <v>200</v>
      </c>
      <c r="AK56" t="s">
        <v>63</v>
      </c>
      <c r="AL56">
        <f t="shared" si="1"/>
        <v>130</v>
      </c>
      <c r="AM56">
        <f t="shared" si="2"/>
        <v>270</v>
      </c>
      <c r="AN56">
        <f t="shared" si="3"/>
        <v>187.81456408310115</v>
      </c>
      <c r="AO56">
        <f t="shared" si="4"/>
        <v>212.18543591689888</v>
      </c>
    </row>
    <row r="57" spans="1:41" x14ac:dyDescent="0.25">
      <c r="A57" s="1">
        <v>5</v>
      </c>
      <c r="B57" t="s">
        <v>103</v>
      </c>
      <c r="C57" t="s">
        <v>104</v>
      </c>
      <c r="D57" s="18" t="s">
        <v>118</v>
      </c>
      <c r="E57" t="s">
        <v>90</v>
      </c>
      <c r="F57" t="s">
        <v>41</v>
      </c>
      <c r="G57" t="s">
        <v>41</v>
      </c>
      <c r="H57" t="s">
        <v>57</v>
      </c>
      <c r="I57" t="s">
        <v>42</v>
      </c>
      <c r="K57" t="s">
        <v>239</v>
      </c>
      <c r="L57">
        <v>33</v>
      </c>
      <c r="M57" s="18" t="s">
        <v>105</v>
      </c>
      <c r="N57" t="s">
        <v>43</v>
      </c>
      <c r="O57" t="s">
        <v>112</v>
      </c>
      <c r="P57">
        <f>24*7</f>
        <v>168</v>
      </c>
      <c r="Q57" t="s">
        <v>51</v>
      </c>
      <c r="R57">
        <v>170</v>
      </c>
      <c r="S57">
        <v>189</v>
      </c>
      <c r="T57" t="s">
        <v>46</v>
      </c>
      <c r="U57" t="s">
        <v>47</v>
      </c>
      <c r="V57" t="s">
        <v>47</v>
      </c>
      <c r="W57">
        <v>0.15</v>
      </c>
      <c r="X57" t="s">
        <v>106</v>
      </c>
      <c r="Y57" t="s">
        <v>61</v>
      </c>
      <c r="Z57">
        <v>0.09</v>
      </c>
      <c r="AA57" t="s">
        <v>62</v>
      </c>
      <c r="AB57">
        <f t="shared" si="10"/>
        <v>1.5666989036012807E-2</v>
      </c>
      <c r="AC57">
        <f t="shared" si="11"/>
        <v>0.06</v>
      </c>
      <c r="AD57">
        <f t="shared" si="12"/>
        <v>0.24</v>
      </c>
      <c r="AE57" t="s">
        <v>62</v>
      </c>
      <c r="AF57">
        <f t="shared" si="13"/>
        <v>0.1343330109639872</v>
      </c>
      <c r="AG57">
        <f t="shared" si="14"/>
        <v>0.16566698903601279</v>
      </c>
      <c r="AH57">
        <v>1000</v>
      </c>
      <c r="AI57" t="s">
        <v>49</v>
      </c>
      <c r="AJ57">
        <f t="shared" si="15"/>
        <v>150</v>
      </c>
      <c r="AK57" t="s">
        <v>63</v>
      </c>
      <c r="AL57">
        <f t="shared" si="1"/>
        <v>60</v>
      </c>
      <c r="AM57">
        <f t="shared" si="2"/>
        <v>240</v>
      </c>
      <c r="AN57">
        <f t="shared" si="3"/>
        <v>134.33301096398719</v>
      </c>
      <c r="AO57">
        <f t="shared" si="4"/>
        <v>165.66698903601278</v>
      </c>
    </row>
    <row r="58" spans="1:41" x14ac:dyDescent="0.25">
      <c r="A58" s="1">
        <v>6</v>
      </c>
      <c r="B58" t="s">
        <v>113</v>
      </c>
      <c r="C58" t="s">
        <v>114</v>
      </c>
      <c r="D58" s="18" t="s">
        <v>117</v>
      </c>
      <c r="E58" t="s">
        <v>115</v>
      </c>
      <c r="F58" t="s">
        <v>41</v>
      </c>
      <c r="G58" t="s">
        <v>41</v>
      </c>
      <c r="H58" t="s">
        <v>57</v>
      </c>
      <c r="I58" t="s">
        <v>42</v>
      </c>
      <c r="J58" t="s">
        <v>116</v>
      </c>
      <c r="K58" t="s">
        <v>239</v>
      </c>
      <c r="L58">
        <v>85</v>
      </c>
      <c r="M58" s="18" t="s">
        <v>58</v>
      </c>
      <c r="N58" t="s">
        <v>59</v>
      </c>
      <c r="O58" t="s">
        <v>73</v>
      </c>
      <c r="P58">
        <f t="shared" ref="P58" si="16">3*30</f>
        <v>90</v>
      </c>
      <c r="Q58" t="s">
        <v>51</v>
      </c>
      <c r="R58" t="s">
        <v>47</v>
      </c>
      <c r="S58" t="s">
        <v>47</v>
      </c>
      <c r="T58" t="s">
        <v>47</v>
      </c>
      <c r="U58" t="s">
        <v>47</v>
      </c>
      <c r="V58" t="s">
        <v>47</v>
      </c>
      <c r="W58">
        <v>137.1</v>
      </c>
      <c r="X58" t="s">
        <v>49</v>
      </c>
      <c r="Y58" t="s">
        <v>61</v>
      </c>
      <c r="Z58">
        <v>56.8</v>
      </c>
      <c r="AA58" t="s">
        <v>62</v>
      </c>
      <c r="AB58">
        <f t="shared" si="10"/>
        <v>6.160825002049835</v>
      </c>
      <c r="AC58">
        <f t="shared" si="11"/>
        <v>80.3</v>
      </c>
      <c r="AD58">
        <f t="shared" si="12"/>
        <v>193.89999999999998</v>
      </c>
      <c r="AE58" t="s">
        <v>62</v>
      </c>
      <c r="AF58">
        <f t="shared" si="13"/>
        <v>130.93917499795015</v>
      </c>
      <c r="AG58">
        <f t="shared" si="14"/>
        <v>143.26082500204984</v>
      </c>
      <c r="AH58">
        <v>1</v>
      </c>
      <c r="AI58" t="s">
        <v>49</v>
      </c>
      <c r="AJ58">
        <f t="shared" si="15"/>
        <v>137.1</v>
      </c>
      <c r="AK58" t="s">
        <v>63</v>
      </c>
      <c r="AL58">
        <f t="shared" si="1"/>
        <v>80.3</v>
      </c>
      <c r="AM58">
        <f t="shared" si="2"/>
        <v>193.89999999999998</v>
      </c>
      <c r="AN58">
        <f t="shared" si="3"/>
        <v>130.93917499795015</v>
      </c>
      <c r="AO58">
        <f t="shared" si="4"/>
        <v>143.26082500204984</v>
      </c>
    </row>
    <row r="59" spans="1:41" x14ac:dyDescent="0.25">
      <c r="A59" s="1">
        <v>7</v>
      </c>
      <c r="B59" t="s">
        <v>119</v>
      </c>
      <c r="C59" t="s">
        <v>120</v>
      </c>
      <c r="D59" s="18" t="s">
        <v>118</v>
      </c>
      <c r="E59" t="s">
        <v>76</v>
      </c>
      <c r="F59" t="s">
        <v>41</v>
      </c>
      <c r="G59" t="s">
        <v>41</v>
      </c>
      <c r="H59" t="s">
        <v>57</v>
      </c>
      <c r="I59" t="s">
        <v>42</v>
      </c>
      <c r="K59" t="s">
        <v>239</v>
      </c>
      <c r="L59">
        <v>49</v>
      </c>
      <c r="M59" s="18" t="s">
        <v>121</v>
      </c>
      <c r="N59" t="s">
        <v>43</v>
      </c>
      <c r="O59" t="s">
        <v>122</v>
      </c>
      <c r="P59">
        <v>3</v>
      </c>
      <c r="Q59" t="s">
        <v>45</v>
      </c>
      <c r="R59">
        <v>1</v>
      </c>
      <c r="S59">
        <v>5</v>
      </c>
      <c r="T59" t="s">
        <v>46</v>
      </c>
      <c r="U59" t="s">
        <v>47</v>
      </c>
      <c r="V59" t="s">
        <v>47</v>
      </c>
      <c r="W59">
        <v>71.8</v>
      </c>
      <c r="X59" t="s">
        <v>123</v>
      </c>
      <c r="Y59" t="s">
        <v>61</v>
      </c>
      <c r="Z59">
        <v>30.3</v>
      </c>
      <c r="AA59" t="s">
        <v>62</v>
      </c>
      <c r="AB59">
        <f t="shared" ref="AB59:AB62" si="17">Z59/SQRT(L59)</f>
        <v>4.3285714285714283</v>
      </c>
      <c r="AC59">
        <f t="shared" ref="AC59:AC62" si="18">W59-Z59</f>
        <v>41.5</v>
      </c>
      <c r="AD59">
        <f t="shared" ref="AD59:AD62" si="19">W59+Z59</f>
        <v>102.1</v>
      </c>
      <c r="AE59" t="s">
        <v>62</v>
      </c>
      <c r="AF59">
        <f t="shared" ref="AF59:AF62" si="20">W59-AB59</f>
        <v>67.471428571428575</v>
      </c>
      <c r="AG59">
        <f t="shared" ref="AG59:AG62" si="21">W59+AB59</f>
        <v>76.128571428571419</v>
      </c>
      <c r="AH59">
        <v>10</v>
      </c>
      <c r="AI59" t="s">
        <v>49</v>
      </c>
      <c r="AJ59">
        <f t="shared" si="15"/>
        <v>718</v>
      </c>
      <c r="AK59" t="s">
        <v>63</v>
      </c>
      <c r="AL59">
        <f t="shared" ref="AL59:AL62" si="22">AC59*AH59</f>
        <v>415</v>
      </c>
      <c r="AM59">
        <f t="shared" ref="AM59:AM62" si="23">AD59*AH59</f>
        <v>1021</v>
      </c>
      <c r="AN59">
        <f t="shared" ref="AN59:AN62" si="24">AF59*AH59</f>
        <v>674.71428571428578</v>
      </c>
      <c r="AO59">
        <f t="shared" ref="AO59:AO62" si="25">AG59*AH59</f>
        <v>761.28571428571422</v>
      </c>
    </row>
    <row r="60" spans="1:41" x14ac:dyDescent="0.25">
      <c r="A60" s="1">
        <v>7</v>
      </c>
      <c r="B60" t="s">
        <v>119</v>
      </c>
      <c r="C60" t="s">
        <v>120</v>
      </c>
      <c r="D60" s="18" t="s">
        <v>118</v>
      </c>
      <c r="E60" t="s">
        <v>76</v>
      </c>
      <c r="F60" t="s">
        <v>41</v>
      </c>
      <c r="G60" t="s">
        <v>41</v>
      </c>
      <c r="H60" t="s">
        <v>57</v>
      </c>
      <c r="I60" t="s">
        <v>42</v>
      </c>
      <c r="K60" t="s">
        <v>239</v>
      </c>
      <c r="L60">
        <v>51</v>
      </c>
      <c r="M60" s="18" t="s">
        <v>121</v>
      </c>
      <c r="N60" t="s">
        <v>43</v>
      </c>
      <c r="O60" t="s">
        <v>92</v>
      </c>
      <c r="P60">
        <v>11</v>
      </c>
      <c r="Q60" t="s">
        <v>45</v>
      </c>
      <c r="R60">
        <v>8</v>
      </c>
      <c r="S60">
        <v>14</v>
      </c>
      <c r="T60" t="s">
        <v>46</v>
      </c>
      <c r="U60" t="s">
        <v>47</v>
      </c>
      <c r="V60" t="s">
        <v>47</v>
      </c>
      <c r="W60">
        <v>58.6</v>
      </c>
      <c r="X60" t="s">
        <v>123</v>
      </c>
      <c r="Y60" t="s">
        <v>61</v>
      </c>
      <c r="Z60">
        <v>15.1</v>
      </c>
      <c r="AA60" t="s">
        <v>62</v>
      </c>
      <c r="AB60">
        <f t="shared" si="17"/>
        <v>2.1144229268822947</v>
      </c>
      <c r="AC60">
        <f t="shared" si="18"/>
        <v>43.5</v>
      </c>
      <c r="AD60">
        <f t="shared" si="19"/>
        <v>73.7</v>
      </c>
      <c r="AE60" t="s">
        <v>62</v>
      </c>
      <c r="AF60">
        <f t="shared" si="20"/>
        <v>56.48557707311771</v>
      </c>
      <c r="AG60">
        <f t="shared" si="21"/>
        <v>60.714422926882293</v>
      </c>
      <c r="AH60">
        <v>10</v>
      </c>
      <c r="AI60" t="s">
        <v>49</v>
      </c>
      <c r="AJ60">
        <f t="shared" si="15"/>
        <v>586</v>
      </c>
      <c r="AK60" t="s">
        <v>63</v>
      </c>
      <c r="AL60">
        <f t="shared" si="22"/>
        <v>435</v>
      </c>
      <c r="AM60">
        <f t="shared" si="23"/>
        <v>737</v>
      </c>
      <c r="AN60">
        <f t="shared" si="24"/>
        <v>564.85577073117713</v>
      </c>
      <c r="AO60">
        <f t="shared" si="25"/>
        <v>607.14422926882298</v>
      </c>
    </row>
    <row r="61" spans="1:41" x14ac:dyDescent="0.25">
      <c r="A61" s="1">
        <v>7</v>
      </c>
      <c r="B61" t="s">
        <v>119</v>
      </c>
      <c r="C61" t="s">
        <v>120</v>
      </c>
      <c r="D61" s="18" t="s">
        <v>118</v>
      </c>
      <c r="E61" t="s">
        <v>76</v>
      </c>
      <c r="F61" t="s">
        <v>41</v>
      </c>
      <c r="G61" t="s">
        <v>41</v>
      </c>
      <c r="H61" t="s">
        <v>57</v>
      </c>
      <c r="I61" t="s">
        <v>42</v>
      </c>
      <c r="K61" t="s">
        <v>239</v>
      </c>
      <c r="L61">
        <v>51</v>
      </c>
      <c r="M61" s="18" t="s">
        <v>121</v>
      </c>
      <c r="N61" t="s">
        <v>43</v>
      </c>
      <c r="O61" t="s">
        <v>50</v>
      </c>
      <c r="P61">
        <v>30</v>
      </c>
      <c r="Q61" t="s">
        <v>51</v>
      </c>
      <c r="R61" t="s">
        <v>47</v>
      </c>
      <c r="S61" t="s">
        <v>47</v>
      </c>
      <c r="T61" t="s">
        <v>47</v>
      </c>
      <c r="U61" t="s">
        <v>47</v>
      </c>
      <c r="V61" t="s">
        <v>47</v>
      </c>
      <c r="W61">
        <v>45</v>
      </c>
      <c r="X61" t="s">
        <v>123</v>
      </c>
      <c r="Y61" t="s">
        <v>61</v>
      </c>
      <c r="Z61">
        <v>14.8</v>
      </c>
      <c r="AA61" t="s">
        <v>62</v>
      </c>
      <c r="AB61">
        <f t="shared" si="17"/>
        <v>2.0724145243614545</v>
      </c>
      <c r="AC61">
        <f t="shared" si="18"/>
        <v>30.2</v>
      </c>
      <c r="AD61">
        <f t="shared" si="19"/>
        <v>59.8</v>
      </c>
      <c r="AE61" t="s">
        <v>62</v>
      </c>
      <c r="AF61">
        <f t="shared" si="20"/>
        <v>42.927585475638544</v>
      </c>
      <c r="AG61">
        <f t="shared" si="21"/>
        <v>47.072414524361456</v>
      </c>
      <c r="AH61">
        <v>10</v>
      </c>
      <c r="AI61" t="s">
        <v>49</v>
      </c>
      <c r="AJ61">
        <f t="shared" si="15"/>
        <v>450</v>
      </c>
      <c r="AK61" t="s">
        <v>63</v>
      </c>
      <c r="AL61">
        <f t="shared" si="22"/>
        <v>302</v>
      </c>
      <c r="AM61">
        <f t="shared" si="23"/>
        <v>598</v>
      </c>
      <c r="AN61">
        <f t="shared" si="24"/>
        <v>429.27585475638546</v>
      </c>
      <c r="AO61">
        <f t="shared" si="25"/>
        <v>470.72414524361454</v>
      </c>
    </row>
    <row r="62" spans="1:41" x14ac:dyDescent="0.25">
      <c r="A62" s="1">
        <v>7</v>
      </c>
      <c r="B62" t="s">
        <v>119</v>
      </c>
      <c r="C62" t="s">
        <v>120</v>
      </c>
      <c r="D62" s="18" t="s">
        <v>118</v>
      </c>
      <c r="E62" t="s">
        <v>76</v>
      </c>
      <c r="F62" t="s">
        <v>41</v>
      </c>
      <c r="G62" t="s">
        <v>41</v>
      </c>
      <c r="H62" t="s">
        <v>57</v>
      </c>
      <c r="I62" t="s">
        <v>42</v>
      </c>
      <c r="K62" t="s">
        <v>239</v>
      </c>
      <c r="L62">
        <v>46</v>
      </c>
      <c r="M62" s="18" t="s">
        <v>121</v>
      </c>
      <c r="N62" t="s">
        <v>43</v>
      </c>
      <c r="O62" t="s">
        <v>101</v>
      </c>
      <c r="P62">
        <f>6*30</f>
        <v>180</v>
      </c>
      <c r="Q62" t="s">
        <v>51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>
        <v>23.6</v>
      </c>
      <c r="X62" t="s">
        <v>123</v>
      </c>
      <c r="Y62" t="s">
        <v>61</v>
      </c>
      <c r="Z62">
        <v>12.3</v>
      </c>
      <c r="AA62" t="s">
        <v>62</v>
      </c>
      <c r="AB62">
        <f t="shared" si="17"/>
        <v>1.8135360607052349</v>
      </c>
      <c r="AC62">
        <f t="shared" si="18"/>
        <v>11.3</v>
      </c>
      <c r="AD62">
        <f t="shared" si="19"/>
        <v>35.900000000000006</v>
      </c>
      <c r="AE62" t="s">
        <v>62</v>
      </c>
      <c r="AF62">
        <f t="shared" si="20"/>
        <v>21.786463939294766</v>
      </c>
      <c r="AG62">
        <f t="shared" si="21"/>
        <v>25.413536060705237</v>
      </c>
      <c r="AH62">
        <v>10</v>
      </c>
      <c r="AI62" t="s">
        <v>49</v>
      </c>
      <c r="AJ62">
        <f t="shared" si="15"/>
        <v>236</v>
      </c>
      <c r="AK62" t="s">
        <v>63</v>
      </c>
      <c r="AL62">
        <f t="shared" si="22"/>
        <v>113</v>
      </c>
      <c r="AM62">
        <f t="shared" si="23"/>
        <v>359.00000000000006</v>
      </c>
      <c r="AN62">
        <f t="shared" si="24"/>
        <v>217.86463939294765</v>
      </c>
      <c r="AO62">
        <f t="shared" si="25"/>
        <v>254.13536060705238</v>
      </c>
    </row>
    <row r="63" spans="1:41" x14ac:dyDescent="0.25">
      <c r="A63" s="1">
        <v>8</v>
      </c>
      <c r="B63" t="s">
        <v>124</v>
      </c>
      <c r="C63" t="s">
        <v>125</v>
      </c>
      <c r="D63" s="18" t="s">
        <v>118</v>
      </c>
      <c r="E63" t="s">
        <v>76</v>
      </c>
      <c r="F63" t="s">
        <v>41</v>
      </c>
      <c r="G63" t="s">
        <v>41</v>
      </c>
      <c r="H63" t="s">
        <v>57</v>
      </c>
      <c r="I63" t="s">
        <v>43</v>
      </c>
      <c r="K63" t="s">
        <v>239</v>
      </c>
      <c r="L63">
        <v>38</v>
      </c>
      <c r="M63" s="18" t="s">
        <v>121</v>
      </c>
      <c r="N63" t="s">
        <v>43</v>
      </c>
      <c r="O63" t="s">
        <v>126</v>
      </c>
      <c r="P63">
        <v>7</v>
      </c>
      <c r="Q63" t="s">
        <v>51</v>
      </c>
      <c r="R63" t="s">
        <v>47</v>
      </c>
      <c r="S63" t="s">
        <v>47</v>
      </c>
      <c r="T63" t="s">
        <v>47</v>
      </c>
      <c r="U63" t="s">
        <v>47</v>
      </c>
      <c r="V63" t="s">
        <v>47</v>
      </c>
      <c r="W63">
        <v>334.71</v>
      </c>
      <c r="X63" t="s">
        <v>49</v>
      </c>
      <c r="Y63" t="s">
        <v>48</v>
      </c>
      <c r="Z63" t="s">
        <v>47</v>
      </c>
      <c r="AA63" t="s">
        <v>47</v>
      </c>
      <c r="AB63" t="s">
        <v>47</v>
      </c>
      <c r="AC63">
        <v>260.39</v>
      </c>
      <c r="AD63">
        <v>481.6</v>
      </c>
      <c r="AE63" t="s">
        <v>78</v>
      </c>
      <c r="AF63">
        <v>260.39</v>
      </c>
      <c r="AG63">
        <v>481.6</v>
      </c>
      <c r="AH63">
        <v>1</v>
      </c>
      <c r="AI63" t="s">
        <v>49</v>
      </c>
      <c r="AJ63">
        <f t="shared" ref="AJ63:AJ69" si="26">W63*AH63</f>
        <v>334.71</v>
      </c>
      <c r="AK63" t="s">
        <v>78</v>
      </c>
      <c r="AL63">
        <f t="shared" ref="AL63:AL69" si="27">AC63*AH63</f>
        <v>260.39</v>
      </c>
      <c r="AM63">
        <f t="shared" ref="AM63:AM69" si="28">AD63*AH63</f>
        <v>481.6</v>
      </c>
      <c r="AN63">
        <f t="shared" ref="AN63:AN69" si="29">AF63*AH63</f>
        <v>260.39</v>
      </c>
      <c r="AO63">
        <f t="shared" ref="AO63:AO69" si="30">AG63*AH63</f>
        <v>481.6</v>
      </c>
    </row>
    <row r="64" spans="1:41" x14ac:dyDescent="0.25">
      <c r="A64" s="1">
        <v>8</v>
      </c>
      <c r="B64" t="s">
        <v>124</v>
      </c>
      <c r="C64" t="s">
        <v>125</v>
      </c>
      <c r="D64" s="18" t="s">
        <v>118</v>
      </c>
      <c r="E64" t="s">
        <v>76</v>
      </c>
      <c r="F64" t="s">
        <v>41</v>
      </c>
      <c r="G64" t="s">
        <v>41</v>
      </c>
      <c r="H64" t="s">
        <v>57</v>
      </c>
      <c r="I64" t="s">
        <v>43</v>
      </c>
      <c r="K64" t="s">
        <v>239</v>
      </c>
      <c r="L64">
        <v>48</v>
      </c>
      <c r="M64" s="18" t="s">
        <v>121</v>
      </c>
      <c r="N64" t="s">
        <v>43</v>
      </c>
      <c r="O64" t="s">
        <v>127</v>
      </c>
      <c r="P64">
        <v>14</v>
      </c>
      <c r="Q64" t="s">
        <v>51</v>
      </c>
      <c r="R64" t="s">
        <v>47</v>
      </c>
      <c r="S64" t="s">
        <v>47</v>
      </c>
      <c r="T64" t="s">
        <v>47</v>
      </c>
      <c r="U64" t="s">
        <v>47</v>
      </c>
      <c r="V64" t="s">
        <v>47</v>
      </c>
      <c r="W64">
        <v>264.76</v>
      </c>
      <c r="X64" t="s">
        <v>49</v>
      </c>
      <c r="Y64" t="s">
        <v>48</v>
      </c>
      <c r="Z64" t="s">
        <v>47</v>
      </c>
      <c r="AA64" t="s">
        <v>47</v>
      </c>
      <c r="AB64" t="s">
        <v>47</v>
      </c>
      <c r="AC64">
        <v>233.63</v>
      </c>
      <c r="AD64">
        <v>341.12</v>
      </c>
      <c r="AE64" t="s">
        <v>78</v>
      </c>
      <c r="AF64">
        <v>233.63</v>
      </c>
      <c r="AG64">
        <v>341.12</v>
      </c>
      <c r="AH64">
        <v>1</v>
      </c>
      <c r="AI64" t="s">
        <v>49</v>
      </c>
      <c r="AJ64">
        <f t="shared" si="26"/>
        <v>264.76</v>
      </c>
      <c r="AK64" t="s">
        <v>78</v>
      </c>
      <c r="AL64">
        <f t="shared" si="27"/>
        <v>233.63</v>
      </c>
      <c r="AM64">
        <f t="shared" si="28"/>
        <v>341.12</v>
      </c>
      <c r="AN64">
        <f t="shared" si="29"/>
        <v>233.63</v>
      </c>
      <c r="AO64">
        <f t="shared" si="30"/>
        <v>341.12</v>
      </c>
    </row>
    <row r="65" spans="1:41" x14ac:dyDescent="0.25">
      <c r="A65" s="1">
        <v>8</v>
      </c>
      <c r="B65" t="s">
        <v>124</v>
      </c>
      <c r="C65" t="s">
        <v>125</v>
      </c>
      <c r="D65" s="18" t="s">
        <v>118</v>
      </c>
      <c r="E65" t="s">
        <v>76</v>
      </c>
      <c r="F65" t="s">
        <v>41</v>
      </c>
      <c r="G65" t="s">
        <v>41</v>
      </c>
      <c r="H65" t="s">
        <v>57</v>
      </c>
      <c r="I65" t="s">
        <v>43</v>
      </c>
      <c r="K65" t="s">
        <v>239</v>
      </c>
      <c r="L65">
        <v>43</v>
      </c>
      <c r="M65" s="18" t="s">
        <v>121</v>
      </c>
      <c r="N65" t="s">
        <v>43</v>
      </c>
      <c r="O65" t="s">
        <v>128</v>
      </c>
      <c r="P65">
        <v>28</v>
      </c>
      <c r="Q65" t="s">
        <v>51</v>
      </c>
      <c r="R65" t="s">
        <v>47</v>
      </c>
      <c r="S65" t="s">
        <v>47</v>
      </c>
      <c r="T65" t="s">
        <v>47</v>
      </c>
      <c r="U65" t="s">
        <v>47</v>
      </c>
      <c r="V65" t="s">
        <v>47</v>
      </c>
      <c r="W65">
        <v>210.45</v>
      </c>
      <c r="X65" t="s">
        <v>49</v>
      </c>
      <c r="Y65" t="s">
        <v>48</v>
      </c>
      <c r="Z65" t="s">
        <v>47</v>
      </c>
      <c r="AA65" t="s">
        <v>47</v>
      </c>
      <c r="AB65" t="s">
        <v>47</v>
      </c>
      <c r="AC65">
        <v>169.9</v>
      </c>
      <c r="AD65">
        <v>260.39</v>
      </c>
      <c r="AE65" t="s">
        <v>78</v>
      </c>
      <c r="AF65">
        <v>169.9</v>
      </c>
      <c r="AG65">
        <v>260.39</v>
      </c>
      <c r="AH65">
        <v>1</v>
      </c>
      <c r="AI65" t="s">
        <v>49</v>
      </c>
      <c r="AJ65">
        <f t="shared" si="26"/>
        <v>210.45</v>
      </c>
      <c r="AK65" t="s">
        <v>78</v>
      </c>
      <c r="AL65">
        <f t="shared" si="27"/>
        <v>169.9</v>
      </c>
      <c r="AM65">
        <f t="shared" si="28"/>
        <v>260.39</v>
      </c>
      <c r="AN65">
        <f t="shared" si="29"/>
        <v>169.9</v>
      </c>
      <c r="AO65">
        <f t="shared" si="30"/>
        <v>260.39</v>
      </c>
    </row>
    <row r="66" spans="1:41" x14ac:dyDescent="0.25">
      <c r="A66" s="1">
        <v>8</v>
      </c>
      <c r="B66" t="s">
        <v>124</v>
      </c>
      <c r="C66" t="s">
        <v>125</v>
      </c>
      <c r="D66" s="18" t="s">
        <v>118</v>
      </c>
      <c r="E66" t="s">
        <v>76</v>
      </c>
      <c r="F66" t="s">
        <v>41</v>
      </c>
      <c r="G66" t="s">
        <v>41</v>
      </c>
      <c r="H66" t="s">
        <v>57</v>
      </c>
      <c r="I66" t="s">
        <v>43</v>
      </c>
      <c r="K66" t="s">
        <v>239</v>
      </c>
      <c r="L66">
        <v>36</v>
      </c>
      <c r="M66" s="18" t="s">
        <v>121</v>
      </c>
      <c r="N66" t="s">
        <v>43</v>
      </c>
      <c r="O66" t="s">
        <v>129</v>
      </c>
      <c r="P66">
        <v>120</v>
      </c>
      <c r="Q66" t="s">
        <v>51</v>
      </c>
      <c r="R66" t="s">
        <v>47</v>
      </c>
      <c r="S66" t="s">
        <v>47</v>
      </c>
      <c r="T66" t="s">
        <v>47</v>
      </c>
      <c r="U66" t="s">
        <v>47</v>
      </c>
      <c r="V66" t="s">
        <v>47</v>
      </c>
      <c r="W66">
        <v>112.1</v>
      </c>
      <c r="X66" t="s">
        <v>49</v>
      </c>
      <c r="Y66" t="s">
        <v>48</v>
      </c>
      <c r="Z66" t="s">
        <v>47</v>
      </c>
      <c r="AA66" t="s">
        <v>47</v>
      </c>
      <c r="AB66" t="s">
        <v>47</v>
      </c>
      <c r="AC66">
        <v>86.39</v>
      </c>
      <c r="AD66">
        <v>154.4</v>
      </c>
      <c r="AE66" t="s">
        <v>78</v>
      </c>
      <c r="AF66">
        <v>86.39</v>
      </c>
      <c r="AG66">
        <v>154.4</v>
      </c>
      <c r="AH66">
        <v>1</v>
      </c>
      <c r="AI66" t="s">
        <v>49</v>
      </c>
      <c r="AJ66">
        <f t="shared" si="26"/>
        <v>112.1</v>
      </c>
      <c r="AK66" t="s">
        <v>78</v>
      </c>
      <c r="AL66">
        <f t="shared" si="27"/>
        <v>86.39</v>
      </c>
      <c r="AM66">
        <f t="shared" si="28"/>
        <v>154.4</v>
      </c>
      <c r="AN66">
        <f t="shared" si="29"/>
        <v>86.39</v>
      </c>
      <c r="AO66">
        <f t="shared" si="30"/>
        <v>154.4</v>
      </c>
    </row>
    <row r="67" spans="1:41" x14ac:dyDescent="0.25">
      <c r="A67" s="1">
        <v>9</v>
      </c>
      <c r="B67" t="s">
        <v>131</v>
      </c>
      <c r="C67" t="s">
        <v>132</v>
      </c>
      <c r="D67" s="18" t="s">
        <v>118</v>
      </c>
      <c r="E67" t="s">
        <v>76</v>
      </c>
      <c r="F67" t="s">
        <v>41</v>
      </c>
      <c r="G67" t="s">
        <v>41</v>
      </c>
      <c r="H67" t="s">
        <v>57</v>
      </c>
      <c r="I67" t="s">
        <v>133</v>
      </c>
      <c r="J67" t="s">
        <v>134</v>
      </c>
      <c r="K67" t="s">
        <v>239</v>
      </c>
      <c r="L67">
        <v>106</v>
      </c>
      <c r="M67" s="18" t="s">
        <v>58</v>
      </c>
      <c r="N67" t="s">
        <v>59</v>
      </c>
      <c r="O67" t="s">
        <v>135</v>
      </c>
      <c r="P67">
        <v>10.17</v>
      </c>
      <c r="Q67" t="s">
        <v>61</v>
      </c>
      <c r="R67">
        <v>1</v>
      </c>
      <c r="S67">
        <v>14</v>
      </c>
      <c r="T67" t="s">
        <v>46</v>
      </c>
      <c r="U67">
        <v>3.05</v>
      </c>
      <c r="V67" t="s">
        <v>62</v>
      </c>
      <c r="W67">
        <v>343.2</v>
      </c>
      <c r="X67" t="s">
        <v>49</v>
      </c>
      <c r="Y67" t="s">
        <v>61</v>
      </c>
      <c r="Z67">
        <f>508.2-343.2</f>
        <v>165</v>
      </c>
      <c r="AA67" t="s">
        <v>62</v>
      </c>
      <c r="AB67">
        <f t="shared" ref="AB67:AB69" si="31">Z67/SQRT(L67)</f>
        <v>16.026216728894859</v>
      </c>
      <c r="AC67">
        <f t="shared" ref="AC67:AC69" si="32">W67-Z67</f>
        <v>178.2</v>
      </c>
      <c r="AD67">
        <f t="shared" ref="AD67:AD69" si="33">W67+Z67</f>
        <v>508.2</v>
      </c>
      <c r="AE67" t="s">
        <v>62</v>
      </c>
      <c r="AF67">
        <f t="shared" ref="AF67:AF69" si="34">W67-AB67</f>
        <v>327.17378327110515</v>
      </c>
      <c r="AG67">
        <f t="shared" ref="AG67:AG69" si="35">W67+AB67</f>
        <v>359.22621672889483</v>
      </c>
      <c r="AH67">
        <v>1</v>
      </c>
      <c r="AI67" t="s">
        <v>49</v>
      </c>
      <c r="AJ67">
        <f t="shared" si="26"/>
        <v>343.2</v>
      </c>
      <c r="AK67" t="s">
        <v>63</v>
      </c>
      <c r="AL67">
        <f t="shared" si="27"/>
        <v>178.2</v>
      </c>
      <c r="AM67">
        <f t="shared" si="28"/>
        <v>508.2</v>
      </c>
      <c r="AN67">
        <f t="shared" si="29"/>
        <v>327.17378327110515</v>
      </c>
      <c r="AO67">
        <f t="shared" si="30"/>
        <v>359.22621672889483</v>
      </c>
    </row>
    <row r="68" spans="1:41" x14ac:dyDescent="0.25">
      <c r="A68" s="1">
        <v>9</v>
      </c>
      <c r="B68" t="s">
        <v>131</v>
      </c>
      <c r="C68" t="s">
        <v>132</v>
      </c>
      <c r="D68" s="18" t="s">
        <v>118</v>
      </c>
      <c r="E68" t="s">
        <v>76</v>
      </c>
      <c r="F68" t="s">
        <v>41</v>
      </c>
      <c r="G68" t="s">
        <v>41</v>
      </c>
      <c r="H68" t="s">
        <v>57</v>
      </c>
      <c r="I68" t="s">
        <v>133</v>
      </c>
      <c r="J68" t="s">
        <v>136</v>
      </c>
      <c r="K68" t="s">
        <v>239</v>
      </c>
      <c r="L68">
        <v>106</v>
      </c>
      <c r="M68" s="18" t="s">
        <v>58</v>
      </c>
      <c r="N68" t="s">
        <v>59</v>
      </c>
      <c r="O68" t="s">
        <v>137</v>
      </c>
      <c r="P68">
        <v>80.38</v>
      </c>
      <c r="Q68" t="s">
        <v>61</v>
      </c>
      <c r="R68">
        <v>60</v>
      </c>
      <c r="S68">
        <v>120</v>
      </c>
      <c r="T68" t="s">
        <v>46</v>
      </c>
      <c r="U68">
        <v>21.48</v>
      </c>
      <c r="V68" t="s">
        <v>62</v>
      </c>
      <c r="W68">
        <v>228.2</v>
      </c>
      <c r="X68" t="s">
        <v>49</v>
      </c>
      <c r="Y68" t="s">
        <v>61</v>
      </c>
      <c r="Z68">
        <f>350.5-228.2</f>
        <v>122.30000000000001</v>
      </c>
      <c r="AA68" t="s">
        <v>62</v>
      </c>
      <c r="AB68">
        <f t="shared" si="31"/>
        <v>11.878826096629341</v>
      </c>
      <c r="AC68">
        <f t="shared" si="32"/>
        <v>105.89999999999998</v>
      </c>
      <c r="AD68">
        <f t="shared" si="33"/>
        <v>350.5</v>
      </c>
      <c r="AE68" t="s">
        <v>62</v>
      </c>
      <c r="AF68">
        <f t="shared" si="34"/>
        <v>216.32117390337064</v>
      </c>
      <c r="AG68">
        <f t="shared" si="35"/>
        <v>240.07882609662934</v>
      </c>
      <c r="AH68">
        <v>1</v>
      </c>
      <c r="AI68" t="s">
        <v>49</v>
      </c>
      <c r="AJ68">
        <f t="shared" si="26"/>
        <v>228.2</v>
      </c>
      <c r="AK68" t="s">
        <v>63</v>
      </c>
      <c r="AL68">
        <f t="shared" si="27"/>
        <v>105.89999999999998</v>
      </c>
      <c r="AM68">
        <f t="shared" si="28"/>
        <v>350.5</v>
      </c>
      <c r="AN68">
        <f t="shared" si="29"/>
        <v>216.32117390337064</v>
      </c>
      <c r="AO68">
        <f t="shared" si="30"/>
        <v>240.07882609662934</v>
      </c>
    </row>
    <row r="69" spans="1:41" x14ac:dyDescent="0.25">
      <c r="A69" s="1">
        <v>9</v>
      </c>
      <c r="B69" t="s">
        <v>131</v>
      </c>
      <c r="C69" t="s">
        <v>132</v>
      </c>
      <c r="D69" s="18" t="s">
        <v>118</v>
      </c>
      <c r="E69" t="s">
        <v>76</v>
      </c>
      <c r="F69" t="s">
        <v>41</v>
      </c>
      <c r="G69" t="s">
        <v>41</v>
      </c>
      <c r="H69" t="s">
        <v>57</v>
      </c>
      <c r="I69" t="s">
        <v>133</v>
      </c>
      <c r="J69" t="s">
        <v>138</v>
      </c>
      <c r="K69" t="s">
        <v>239</v>
      </c>
      <c r="L69">
        <v>106</v>
      </c>
      <c r="M69" s="18" t="s">
        <v>58</v>
      </c>
      <c r="N69" t="s">
        <v>59</v>
      </c>
      <c r="O69" t="s">
        <v>139</v>
      </c>
      <c r="P69">
        <v>164.31</v>
      </c>
      <c r="Q69" t="s">
        <v>61</v>
      </c>
      <c r="R69">
        <v>150</v>
      </c>
      <c r="S69">
        <v>210</v>
      </c>
      <c r="T69" t="s">
        <v>46</v>
      </c>
      <c r="U69">
        <v>17.72</v>
      </c>
      <c r="V69" t="s">
        <v>62</v>
      </c>
      <c r="W69">
        <v>204.8</v>
      </c>
      <c r="X69" t="s">
        <v>49</v>
      </c>
      <c r="Y69" t="s">
        <v>61</v>
      </c>
      <c r="Z69">
        <f>304.3-204.8</f>
        <v>99.5</v>
      </c>
      <c r="AA69" t="s">
        <v>62</v>
      </c>
      <c r="AB69">
        <f t="shared" si="31"/>
        <v>9.6642943304547781</v>
      </c>
      <c r="AC69">
        <f t="shared" si="32"/>
        <v>105.30000000000001</v>
      </c>
      <c r="AD69">
        <f t="shared" si="33"/>
        <v>304.3</v>
      </c>
      <c r="AE69" t="s">
        <v>62</v>
      </c>
      <c r="AF69">
        <f t="shared" si="34"/>
        <v>195.13570566954525</v>
      </c>
      <c r="AG69">
        <f t="shared" si="35"/>
        <v>214.46429433045478</v>
      </c>
      <c r="AH69">
        <v>1</v>
      </c>
      <c r="AI69" t="s">
        <v>49</v>
      </c>
      <c r="AJ69">
        <f t="shared" si="26"/>
        <v>204.8</v>
      </c>
      <c r="AK69" t="s">
        <v>63</v>
      </c>
      <c r="AL69">
        <f t="shared" si="27"/>
        <v>105.30000000000001</v>
      </c>
      <c r="AM69">
        <f t="shared" si="28"/>
        <v>304.3</v>
      </c>
      <c r="AN69">
        <f t="shared" si="29"/>
        <v>195.13570566954525</v>
      </c>
      <c r="AO69">
        <f t="shared" si="30"/>
        <v>214.46429433045478</v>
      </c>
    </row>
    <row r="70" spans="1:41" x14ac:dyDescent="0.25">
      <c r="A70" s="1">
        <v>11</v>
      </c>
      <c r="B70" t="s">
        <v>140</v>
      </c>
      <c r="C70" t="s">
        <v>141</v>
      </c>
      <c r="D70" s="18" t="s">
        <v>117</v>
      </c>
      <c r="E70" t="s">
        <v>40</v>
      </c>
      <c r="F70" t="s">
        <v>41</v>
      </c>
      <c r="G70" t="s">
        <v>41</v>
      </c>
      <c r="H70" t="s">
        <v>57</v>
      </c>
      <c r="I70" s="12" t="s">
        <v>205</v>
      </c>
      <c r="K70" t="s">
        <v>239</v>
      </c>
      <c r="L70">
        <v>48</v>
      </c>
      <c r="M70" s="18" t="s">
        <v>58</v>
      </c>
      <c r="N70" t="s">
        <v>43</v>
      </c>
      <c r="O70" t="s">
        <v>91</v>
      </c>
      <c r="P70">
        <v>4</v>
      </c>
      <c r="Q70" t="s">
        <v>45</v>
      </c>
      <c r="R70">
        <v>1</v>
      </c>
      <c r="S70">
        <v>7</v>
      </c>
      <c r="T70" t="s">
        <v>46</v>
      </c>
      <c r="U70" t="s">
        <v>47</v>
      </c>
      <c r="V70" t="s">
        <v>47</v>
      </c>
      <c r="W70">
        <v>318.10000000000002</v>
      </c>
      <c r="X70" t="s">
        <v>49</v>
      </c>
      <c r="Y70" t="s">
        <v>48</v>
      </c>
      <c r="Z70" t="s">
        <v>47</v>
      </c>
      <c r="AA70" t="s">
        <v>47</v>
      </c>
      <c r="AB70" t="s">
        <v>47</v>
      </c>
      <c r="AC70">
        <v>204.4</v>
      </c>
      <c r="AD70">
        <v>439.8</v>
      </c>
      <c r="AE70" t="s">
        <v>78</v>
      </c>
      <c r="AF70">
        <v>204.4</v>
      </c>
      <c r="AG70">
        <v>439.8</v>
      </c>
      <c r="AH70">
        <v>1</v>
      </c>
      <c r="AI70" t="s">
        <v>49</v>
      </c>
      <c r="AJ70">
        <f t="shared" ref="AJ70:AJ92" si="36">W70*AH70</f>
        <v>318.10000000000002</v>
      </c>
      <c r="AK70" t="s">
        <v>78</v>
      </c>
      <c r="AL70">
        <f t="shared" ref="AL70:AL108" si="37">AC70*AH70</f>
        <v>204.4</v>
      </c>
      <c r="AM70">
        <f t="shared" ref="AM70:AM108" si="38">AD70*AH70</f>
        <v>439.8</v>
      </c>
      <c r="AN70">
        <f t="shared" ref="AN70:AN108" si="39">AF70*AH70</f>
        <v>204.4</v>
      </c>
      <c r="AO70">
        <f t="shared" ref="AO70:AO108" si="40">AG70*AH70</f>
        <v>439.8</v>
      </c>
    </row>
    <row r="71" spans="1:41" x14ac:dyDescent="0.25">
      <c r="A71" s="1">
        <v>11</v>
      </c>
      <c r="B71" t="s">
        <v>140</v>
      </c>
      <c r="C71" t="s">
        <v>141</v>
      </c>
      <c r="D71" s="18" t="s">
        <v>117</v>
      </c>
      <c r="E71" t="s">
        <v>40</v>
      </c>
      <c r="F71" t="s">
        <v>41</v>
      </c>
      <c r="G71" t="s">
        <v>41</v>
      </c>
      <c r="H71" t="s">
        <v>57</v>
      </c>
      <c r="I71" s="12" t="s">
        <v>207</v>
      </c>
      <c r="K71" t="s">
        <v>239</v>
      </c>
      <c r="L71">
        <v>49</v>
      </c>
      <c r="M71" s="18" t="s">
        <v>58</v>
      </c>
      <c r="N71" t="s">
        <v>43</v>
      </c>
      <c r="O71" t="s">
        <v>91</v>
      </c>
      <c r="P71">
        <v>4</v>
      </c>
      <c r="Q71" t="s">
        <v>45</v>
      </c>
      <c r="R71">
        <v>1</v>
      </c>
      <c r="S71">
        <v>7</v>
      </c>
      <c r="T71" t="s">
        <v>46</v>
      </c>
      <c r="U71" t="s">
        <v>47</v>
      </c>
      <c r="V71" t="s">
        <v>47</v>
      </c>
      <c r="W71">
        <v>137.5</v>
      </c>
      <c r="X71" t="s">
        <v>49</v>
      </c>
      <c r="Y71" t="s">
        <v>48</v>
      </c>
      <c r="Z71" t="s">
        <v>47</v>
      </c>
      <c r="AA71" t="s">
        <v>47</v>
      </c>
      <c r="AB71" t="s">
        <v>47</v>
      </c>
      <c r="AC71">
        <v>81.900000000000006</v>
      </c>
      <c r="AD71">
        <v>263.5</v>
      </c>
      <c r="AE71" t="s">
        <v>78</v>
      </c>
      <c r="AF71">
        <v>81.900000000000006</v>
      </c>
      <c r="AG71">
        <v>263.5</v>
      </c>
      <c r="AH71">
        <v>1</v>
      </c>
      <c r="AI71" t="s">
        <v>49</v>
      </c>
      <c r="AJ71">
        <f t="shared" si="36"/>
        <v>137.5</v>
      </c>
      <c r="AK71" t="s">
        <v>78</v>
      </c>
      <c r="AL71">
        <f t="shared" si="37"/>
        <v>81.900000000000006</v>
      </c>
      <c r="AM71">
        <f t="shared" si="38"/>
        <v>263.5</v>
      </c>
      <c r="AN71">
        <f t="shared" si="39"/>
        <v>81.900000000000006</v>
      </c>
      <c r="AO71">
        <f t="shared" si="40"/>
        <v>263.5</v>
      </c>
    </row>
    <row r="72" spans="1:41" x14ac:dyDescent="0.25">
      <c r="A72" s="1">
        <v>11</v>
      </c>
      <c r="B72" t="s">
        <v>140</v>
      </c>
      <c r="C72" t="s">
        <v>141</v>
      </c>
      <c r="D72" s="18" t="s">
        <v>117</v>
      </c>
      <c r="E72" t="s">
        <v>40</v>
      </c>
      <c r="F72" t="s">
        <v>41</v>
      </c>
      <c r="G72" t="s">
        <v>41</v>
      </c>
      <c r="H72" t="s">
        <v>57</v>
      </c>
      <c r="I72" s="12" t="s">
        <v>206</v>
      </c>
      <c r="K72" t="s">
        <v>239</v>
      </c>
      <c r="L72">
        <v>48</v>
      </c>
      <c r="M72" s="18" t="s">
        <v>58</v>
      </c>
      <c r="N72" t="s">
        <v>43</v>
      </c>
      <c r="O72" t="s">
        <v>142</v>
      </c>
      <c r="P72">
        <v>29</v>
      </c>
      <c r="Q72" t="s">
        <v>45</v>
      </c>
      <c r="R72">
        <v>20</v>
      </c>
      <c r="S72">
        <v>38</v>
      </c>
      <c r="T72" t="s">
        <v>46</v>
      </c>
      <c r="U72" t="s">
        <v>47</v>
      </c>
      <c r="V72" t="s">
        <v>47</v>
      </c>
      <c r="W72">
        <v>300.8</v>
      </c>
      <c r="X72" t="s">
        <v>49</v>
      </c>
      <c r="Y72" t="s">
        <v>48</v>
      </c>
      <c r="Z72" t="s">
        <v>47</v>
      </c>
      <c r="AA72" t="s">
        <v>47</v>
      </c>
      <c r="AB72" t="s">
        <v>47</v>
      </c>
      <c r="AC72">
        <v>208.4</v>
      </c>
      <c r="AD72">
        <v>344.6</v>
      </c>
      <c r="AE72" t="s">
        <v>78</v>
      </c>
      <c r="AF72">
        <v>208.4</v>
      </c>
      <c r="AG72">
        <v>344.6</v>
      </c>
      <c r="AH72">
        <v>1</v>
      </c>
      <c r="AI72" t="s">
        <v>49</v>
      </c>
      <c r="AJ72">
        <f t="shared" si="36"/>
        <v>300.8</v>
      </c>
      <c r="AK72" t="s">
        <v>78</v>
      </c>
      <c r="AL72">
        <f t="shared" si="37"/>
        <v>208.4</v>
      </c>
      <c r="AM72">
        <f t="shared" si="38"/>
        <v>344.6</v>
      </c>
      <c r="AN72">
        <f t="shared" si="39"/>
        <v>208.4</v>
      </c>
      <c r="AO72">
        <f t="shared" si="40"/>
        <v>344.6</v>
      </c>
    </row>
    <row r="73" spans="1:41" x14ac:dyDescent="0.25">
      <c r="A73" s="1">
        <v>11</v>
      </c>
      <c r="B73" t="s">
        <v>140</v>
      </c>
      <c r="C73" t="s">
        <v>141</v>
      </c>
      <c r="D73" s="18" t="s">
        <v>117</v>
      </c>
      <c r="E73" t="s">
        <v>40</v>
      </c>
      <c r="F73" t="s">
        <v>41</v>
      </c>
      <c r="G73" t="s">
        <v>41</v>
      </c>
      <c r="H73" t="s">
        <v>57</v>
      </c>
      <c r="I73" s="12" t="s">
        <v>208</v>
      </c>
      <c r="K73" t="s">
        <v>239</v>
      </c>
      <c r="L73">
        <v>49</v>
      </c>
      <c r="M73" s="18" t="s">
        <v>58</v>
      </c>
      <c r="N73" t="s">
        <v>43</v>
      </c>
      <c r="O73" t="s">
        <v>142</v>
      </c>
      <c r="P73">
        <v>29</v>
      </c>
      <c r="Q73" t="s">
        <v>45</v>
      </c>
      <c r="R73">
        <v>20</v>
      </c>
      <c r="S73">
        <v>38</v>
      </c>
      <c r="T73" t="s">
        <v>46</v>
      </c>
      <c r="U73" t="s">
        <v>47</v>
      </c>
      <c r="V73" t="s">
        <v>47</v>
      </c>
      <c r="W73">
        <v>280.89999999999998</v>
      </c>
      <c r="X73" t="s">
        <v>49</v>
      </c>
      <c r="Y73" t="s">
        <v>48</v>
      </c>
      <c r="Z73" t="s">
        <v>47</v>
      </c>
      <c r="AA73" t="s">
        <v>47</v>
      </c>
      <c r="AB73" t="s">
        <v>47</v>
      </c>
      <c r="AC73">
        <v>220.6</v>
      </c>
      <c r="AD73">
        <v>337.9</v>
      </c>
      <c r="AE73" t="s">
        <v>78</v>
      </c>
      <c r="AF73">
        <v>220.6</v>
      </c>
      <c r="AG73">
        <v>337.9</v>
      </c>
      <c r="AH73">
        <v>1</v>
      </c>
      <c r="AI73" t="s">
        <v>49</v>
      </c>
      <c r="AJ73">
        <f t="shared" si="36"/>
        <v>280.89999999999998</v>
      </c>
      <c r="AK73" t="s">
        <v>78</v>
      </c>
      <c r="AL73">
        <f t="shared" si="37"/>
        <v>220.6</v>
      </c>
      <c r="AM73">
        <f t="shared" si="38"/>
        <v>337.9</v>
      </c>
      <c r="AN73">
        <f t="shared" si="39"/>
        <v>220.6</v>
      </c>
      <c r="AO73">
        <f t="shared" si="40"/>
        <v>337.9</v>
      </c>
    </row>
    <row r="74" spans="1:41" x14ac:dyDescent="0.25">
      <c r="A74" s="1">
        <v>12</v>
      </c>
      <c r="B74" t="s">
        <v>143</v>
      </c>
      <c r="C74" t="s">
        <v>144</v>
      </c>
      <c r="D74" s="18" t="s">
        <v>117</v>
      </c>
      <c r="E74" t="s">
        <v>90</v>
      </c>
      <c r="F74" t="s">
        <v>145</v>
      </c>
      <c r="G74" t="s">
        <v>41</v>
      </c>
      <c r="H74" t="s">
        <v>147</v>
      </c>
      <c r="I74" t="s">
        <v>148</v>
      </c>
      <c r="J74">
        <v>1</v>
      </c>
      <c r="K74" t="s">
        <v>244</v>
      </c>
      <c r="L74">
        <v>6</v>
      </c>
      <c r="M74" s="18" t="s">
        <v>146</v>
      </c>
      <c r="N74" t="s">
        <v>47</v>
      </c>
      <c r="O74" t="s">
        <v>149</v>
      </c>
      <c r="P74">
        <v>20</v>
      </c>
      <c r="Q74" t="s">
        <v>51</v>
      </c>
      <c r="R74" t="s">
        <v>47</v>
      </c>
      <c r="S74" t="s">
        <v>47</v>
      </c>
      <c r="T74" t="s">
        <v>47</v>
      </c>
      <c r="U74" t="s">
        <v>47</v>
      </c>
      <c r="V74" t="s">
        <v>47</v>
      </c>
      <c r="W74">
        <v>21.5</v>
      </c>
      <c r="X74" s="11" t="s">
        <v>150</v>
      </c>
      <c r="Y74" s="11" t="s">
        <v>61</v>
      </c>
      <c r="Z74">
        <f>22.8-21.5</f>
        <v>1.3000000000000007</v>
      </c>
      <c r="AA74" t="s">
        <v>62</v>
      </c>
      <c r="AB74">
        <f t="shared" ref="AB74:AB100" si="41">Z74/SQRT(L74)</f>
        <v>0.53072277760302222</v>
      </c>
      <c r="AC74">
        <f t="shared" ref="AC74:AC95" si="42">W74-Z74</f>
        <v>20.2</v>
      </c>
      <c r="AD74">
        <f t="shared" ref="AD74:AD95" si="43">W74+Z74</f>
        <v>22.8</v>
      </c>
      <c r="AE74" t="s">
        <v>62</v>
      </c>
      <c r="AF74">
        <f t="shared" ref="AF74:AF100" si="44">W74-AB74</f>
        <v>20.969277222396979</v>
      </c>
      <c r="AG74">
        <f t="shared" ref="AG74:AG100" si="45">W74+AB74</f>
        <v>22.030722777603021</v>
      </c>
      <c r="AH74">
        <v>1</v>
      </c>
      <c r="AI74" s="10" t="s">
        <v>150</v>
      </c>
      <c r="AJ74">
        <f t="shared" si="36"/>
        <v>21.5</v>
      </c>
      <c r="AK74" t="s">
        <v>63</v>
      </c>
      <c r="AL74">
        <f t="shared" si="37"/>
        <v>20.2</v>
      </c>
      <c r="AM74">
        <f t="shared" si="38"/>
        <v>22.8</v>
      </c>
      <c r="AN74">
        <f t="shared" si="39"/>
        <v>20.969277222396979</v>
      </c>
      <c r="AO74">
        <f t="shared" si="40"/>
        <v>22.030722777603021</v>
      </c>
    </row>
    <row r="75" spans="1:41" x14ac:dyDescent="0.25">
      <c r="A75" s="1">
        <v>12</v>
      </c>
      <c r="B75" t="s">
        <v>143</v>
      </c>
      <c r="C75" t="s">
        <v>144</v>
      </c>
      <c r="D75" s="18" t="s">
        <v>117</v>
      </c>
      <c r="E75" t="s">
        <v>90</v>
      </c>
      <c r="F75" t="s">
        <v>145</v>
      </c>
      <c r="G75" t="s">
        <v>41</v>
      </c>
      <c r="H75" t="s">
        <v>147</v>
      </c>
      <c r="I75" t="s">
        <v>151</v>
      </c>
      <c r="J75">
        <v>2</v>
      </c>
      <c r="K75" t="s">
        <v>244</v>
      </c>
      <c r="L75">
        <v>6</v>
      </c>
      <c r="M75" s="18" t="s">
        <v>146</v>
      </c>
      <c r="N75" t="s">
        <v>47</v>
      </c>
      <c r="O75" t="s">
        <v>149</v>
      </c>
      <c r="P75">
        <v>20</v>
      </c>
      <c r="Q75" t="s">
        <v>51</v>
      </c>
      <c r="R75" t="s">
        <v>47</v>
      </c>
      <c r="S75" t="s">
        <v>47</v>
      </c>
      <c r="T75" t="s">
        <v>47</v>
      </c>
      <c r="U75" t="s">
        <v>47</v>
      </c>
      <c r="V75" t="s">
        <v>47</v>
      </c>
      <c r="W75">
        <v>20.9</v>
      </c>
      <c r="X75" s="10" t="s">
        <v>150</v>
      </c>
      <c r="Y75" s="10" t="s">
        <v>61</v>
      </c>
      <c r="Z75">
        <f>21.5-20.9</f>
        <v>0.60000000000000142</v>
      </c>
      <c r="AA75" t="s">
        <v>62</v>
      </c>
      <c r="AB75">
        <f t="shared" si="41"/>
        <v>0.24494897427831841</v>
      </c>
      <c r="AC75">
        <f t="shared" si="42"/>
        <v>20.299999999999997</v>
      </c>
      <c r="AD75">
        <f t="shared" si="43"/>
        <v>21.5</v>
      </c>
      <c r="AE75" t="s">
        <v>62</v>
      </c>
      <c r="AF75">
        <f t="shared" si="44"/>
        <v>20.655051025721679</v>
      </c>
      <c r="AG75">
        <f t="shared" si="45"/>
        <v>21.144948974278318</v>
      </c>
      <c r="AH75">
        <v>1</v>
      </c>
      <c r="AI75" s="10" t="s">
        <v>150</v>
      </c>
      <c r="AJ75">
        <f t="shared" si="36"/>
        <v>20.9</v>
      </c>
      <c r="AK75" t="s">
        <v>63</v>
      </c>
      <c r="AL75">
        <f t="shared" si="37"/>
        <v>20.299999999999997</v>
      </c>
      <c r="AM75">
        <f t="shared" si="38"/>
        <v>21.5</v>
      </c>
      <c r="AN75">
        <f t="shared" si="39"/>
        <v>20.655051025721679</v>
      </c>
      <c r="AO75">
        <f t="shared" si="40"/>
        <v>21.144948974278318</v>
      </c>
    </row>
    <row r="76" spans="1:41" x14ac:dyDescent="0.25">
      <c r="A76" s="1">
        <v>12</v>
      </c>
      <c r="B76" t="s">
        <v>143</v>
      </c>
      <c r="C76" t="s">
        <v>144</v>
      </c>
      <c r="D76" s="18" t="s">
        <v>117</v>
      </c>
      <c r="E76" t="s">
        <v>90</v>
      </c>
      <c r="F76" t="s">
        <v>145</v>
      </c>
      <c r="G76" t="s">
        <v>41</v>
      </c>
      <c r="H76" t="s">
        <v>147</v>
      </c>
      <c r="I76" t="s">
        <v>152</v>
      </c>
      <c r="J76">
        <v>3</v>
      </c>
      <c r="K76" t="s">
        <v>244</v>
      </c>
      <c r="L76">
        <v>6</v>
      </c>
      <c r="M76" s="18" t="s">
        <v>146</v>
      </c>
      <c r="N76" t="s">
        <v>47</v>
      </c>
      <c r="O76" t="s">
        <v>149</v>
      </c>
      <c r="P76">
        <v>20</v>
      </c>
      <c r="Q76" t="s">
        <v>51</v>
      </c>
      <c r="R76" t="s">
        <v>47</v>
      </c>
      <c r="S76" t="s">
        <v>47</v>
      </c>
      <c r="T76" t="s">
        <v>47</v>
      </c>
      <c r="U76" t="s">
        <v>47</v>
      </c>
      <c r="V76" t="s">
        <v>47</v>
      </c>
      <c r="W76">
        <v>23</v>
      </c>
      <c r="X76" s="10" t="s">
        <v>150</v>
      </c>
      <c r="Y76" s="10" t="s">
        <v>61</v>
      </c>
      <c r="Z76">
        <f>23.4-23</f>
        <v>0.39999999999999858</v>
      </c>
      <c r="AA76" t="s">
        <v>62</v>
      </c>
      <c r="AB76">
        <f t="shared" si="41"/>
        <v>0.16329931618554464</v>
      </c>
      <c r="AC76">
        <f t="shared" si="42"/>
        <v>22.6</v>
      </c>
      <c r="AD76">
        <f t="shared" si="43"/>
        <v>23.4</v>
      </c>
      <c r="AE76" t="s">
        <v>62</v>
      </c>
      <c r="AF76">
        <f t="shared" si="44"/>
        <v>22.836700683814456</v>
      </c>
      <c r="AG76">
        <f t="shared" si="45"/>
        <v>23.163299316185544</v>
      </c>
      <c r="AH76">
        <v>1</v>
      </c>
      <c r="AI76" s="10" t="s">
        <v>150</v>
      </c>
      <c r="AJ76">
        <f t="shared" si="36"/>
        <v>23</v>
      </c>
      <c r="AK76" t="s">
        <v>63</v>
      </c>
      <c r="AL76">
        <f t="shared" si="37"/>
        <v>22.6</v>
      </c>
      <c r="AM76">
        <f t="shared" si="38"/>
        <v>23.4</v>
      </c>
      <c r="AN76">
        <f t="shared" si="39"/>
        <v>22.836700683814456</v>
      </c>
      <c r="AO76">
        <f t="shared" si="40"/>
        <v>23.163299316185544</v>
      </c>
    </row>
    <row r="77" spans="1:41" x14ac:dyDescent="0.25">
      <c r="A77" s="1">
        <v>12</v>
      </c>
      <c r="B77" t="s">
        <v>143</v>
      </c>
      <c r="C77" t="s">
        <v>144</v>
      </c>
      <c r="D77" s="18" t="s">
        <v>117</v>
      </c>
      <c r="E77" t="s">
        <v>90</v>
      </c>
      <c r="F77" t="s">
        <v>145</v>
      </c>
      <c r="G77" t="s">
        <v>41</v>
      </c>
      <c r="H77" t="s">
        <v>153</v>
      </c>
      <c r="I77" t="s">
        <v>148</v>
      </c>
      <c r="J77">
        <v>1</v>
      </c>
      <c r="K77" t="s">
        <v>244</v>
      </c>
      <c r="L77">
        <v>6</v>
      </c>
      <c r="M77" s="18" t="s">
        <v>146</v>
      </c>
      <c r="N77" t="s">
        <v>47</v>
      </c>
      <c r="O77" t="s">
        <v>149</v>
      </c>
      <c r="P77">
        <v>20</v>
      </c>
      <c r="Q77" t="s">
        <v>51</v>
      </c>
      <c r="R77" t="s">
        <v>47</v>
      </c>
      <c r="S77" t="s">
        <v>47</v>
      </c>
      <c r="T77" t="s">
        <v>47</v>
      </c>
      <c r="U77" t="s">
        <v>47</v>
      </c>
      <c r="V77" t="s">
        <v>47</v>
      </c>
      <c r="W77">
        <v>7</v>
      </c>
      <c r="X77" s="10" t="s">
        <v>150</v>
      </c>
      <c r="Y77" s="10" t="s">
        <v>61</v>
      </c>
      <c r="Z77">
        <f>7.7-7</f>
        <v>0.70000000000000018</v>
      </c>
      <c r="AA77" t="s">
        <v>62</v>
      </c>
      <c r="AB77">
        <f t="shared" si="41"/>
        <v>0.2857738033247042</v>
      </c>
      <c r="AC77">
        <f t="shared" si="42"/>
        <v>6.3</v>
      </c>
      <c r="AD77">
        <f t="shared" si="43"/>
        <v>7.7</v>
      </c>
      <c r="AE77" t="s">
        <v>62</v>
      </c>
      <c r="AF77">
        <f t="shared" si="44"/>
        <v>6.7142261966752956</v>
      </c>
      <c r="AG77">
        <f t="shared" si="45"/>
        <v>7.2857738033247044</v>
      </c>
      <c r="AH77">
        <v>1</v>
      </c>
      <c r="AI77" s="10" t="s">
        <v>150</v>
      </c>
      <c r="AJ77">
        <f t="shared" si="36"/>
        <v>7</v>
      </c>
      <c r="AK77" t="s">
        <v>63</v>
      </c>
      <c r="AL77">
        <f t="shared" si="37"/>
        <v>6.3</v>
      </c>
      <c r="AM77">
        <f t="shared" si="38"/>
        <v>7.7</v>
      </c>
      <c r="AN77">
        <f t="shared" si="39"/>
        <v>6.7142261966752956</v>
      </c>
      <c r="AO77">
        <f t="shared" si="40"/>
        <v>7.2857738033247044</v>
      </c>
    </row>
    <row r="78" spans="1:41" x14ac:dyDescent="0.25">
      <c r="A78" s="1">
        <v>12</v>
      </c>
      <c r="B78" t="s">
        <v>143</v>
      </c>
      <c r="C78" t="s">
        <v>144</v>
      </c>
      <c r="D78" s="18" t="s">
        <v>117</v>
      </c>
      <c r="E78" t="s">
        <v>90</v>
      </c>
      <c r="F78" t="s">
        <v>145</v>
      </c>
      <c r="G78" t="s">
        <v>41</v>
      </c>
      <c r="H78" t="s">
        <v>153</v>
      </c>
      <c r="I78" t="s">
        <v>151</v>
      </c>
      <c r="J78">
        <v>2</v>
      </c>
      <c r="K78" t="s">
        <v>244</v>
      </c>
      <c r="L78">
        <v>6</v>
      </c>
      <c r="M78" s="18" t="s">
        <v>146</v>
      </c>
      <c r="N78" t="s">
        <v>47</v>
      </c>
      <c r="O78" t="s">
        <v>149</v>
      </c>
      <c r="P78">
        <v>20</v>
      </c>
      <c r="Q78" t="s">
        <v>51</v>
      </c>
      <c r="R78" t="s">
        <v>47</v>
      </c>
      <c r="S78" t="s">
        <v>47</v>
      </c>
      <c r="T78" t="s">
        <v>47</v>
      </c>
      <c r="U78" t="s">
        <v>47</v>
      </c>
      <c r="V78" t="s">
        <v>47</v>
      </c>
      <c r="W78">
        <v>7.2</v>
      </c>
      <c r="X78" s="10" t="s">
        <v>150</v>
      </c>
      <c r="Y78" s="10" t="s">
        <v>61</v>
      </c>
      <c r="Z78">
        <f>8.1-7.2</f>
        <v>0.89999999999999947</v>
      </c>
      <c r="AA78" t="s">
        <v>62</v>
      </c>
      <c r="AB78">
        <f t="shared" si="41"/>
        <v>0.3674234614174765</v>
      </c>
      <c r="AC78">
        <f t="shared" si="42"/>
        <v>6.3000000000000007</v>
      </c>
      <c r="AD78">
        <f t="shared" si="43"/>
        <v>8.1</v>
      </c>
      <c r="AE78" t="s">
        <v>62</v>
      </c>
      <c r="AF78">
        <f t="shared" si="44"/>
        <v>6.8325765385825239</v>
      </c>
      <c r="AG78">
        <f t="shared" si="45"/>
        <v>7.5674234614174765</v>
      </c>
      <c r="AH78">
        <v>1</v>
      </c>
      <c r="AI78" s="10" t="s">
        <v>150</v>
      </c>
      <c r="AJ78">
        <f t="shared" si="36"/>
        <v>7.2</v>
      </c>
      <c r="AK78" t="s">
        <v>63</v>
      </c>
      <c r="AL78">
        <f t="shared" si="37"/>
        <v>6.3000000000000007</v>
      </c>
      <c r="AM78">
        <f t="shared" si="38"/>
        <v>8.1</v>
      </c>
      <c r="AN78">
        <f t="shared" si="39"/>
        <v>6.8325765385825239</v>
      </c>
      <c r="AO78">
        <f t="shared" si="40"/>
        <v>7.5674234614174765</v>
      </c>
    </row>
    <row r="79" spans="1:41" x14ac:dyDescent="0.25">
      <c r="A79" s="1">
        <v>12</v>
      </c>
      <c r="B79" t="s">
        <v>143</v>
      </c>
      <c r="C79" t="s">
        <v>144</v>
      </c>
      <c r="D79" s="18" t="s">
        <v>117</v>
      </c>
      <c r="E79" t="s">
        <v>90</v>
      </c>
      <c r="F79" t="s">
        <v>145</v>
      </c>
      <c r="G79" t="s">
        <v>41</v>
      </c>
      <c r="H79" t="s">
        <v>153</v>
      </c>
      <c r="I79" t="s">
        <v>152</v>
      </c>
      <c r="J79">
        <v>3</v>
      </c>
      <c r="K79" t="s">
        <v>244</v>
      </c>
      <c r="L79">
        <v>6</v>
      </c>
      <c r="M79" s="18" t="s">
        <v>146</v>
      </c>
      <c r="N79" t="s">
        <v>47</v>
      </c>
      <c r="O79" t="s">
        <v>149</v>
      </c>
      <c r="P79">
        <v>20</v>
      </c>
      <c r="Q79" t="s">
        <v>51</v>
      </c>
      <c r="R79" t="s">
        <v>47</v>
      </c>
      <c r="S79" t="s">
        <v>47</v>
      </c>
      <c r="T79" t="s">
        <v>47</v>
      </c>
      <c r="U79" t="s">
        <v>47</v>
      </c>
      <c r="V79" t="s">
        <v>47</v>
      </c>
      <c r="W79">
        <v>5.4</v>
      </c>
      <c r="X79" s="10" t="s">
        <v>150</v>
      </c>
      <c r="Y79" s="10" t="s">
        <v>61</v>
      </c>
      <c r="Z79">
        <f>5.8-5.4</f>
        <v>0.39999999999999947</v>
      </c>
      <c r="AA79" t="s">
        <v>62</v>
      </c>
      <c r="AB79">
        <f t="shared" si="41"/>
        <v>0.163299316185545</v>
      </c>
      <c r="AC79">
        <f t="shared" si="42"/>
        <v>5.0000000000000009</v>
      </c>
      <c r="AD79">
        <f t="shared" si="43"/>
        <v>5.8</v>
      </c>
      <c r="AE79" t="s">
        <v>62</v>
      </c>
      <c r="AF79">
        <f t="shared" si="44"/>
        <v>5.2367006838144556</v>
      </c>
      <c r="AG79">
        <f t="shared" si="45"/>
        <v>5.5632993161855451</v>
      </c>
      <c r="AH79">
        <v>1</v>
      </c>
      <c r="AI79" s="10" t="s">
        <v>150</v>
      </c>
      <c r="AJ79">
        <f t="shared" si="36"/>
        <v>5.4</v>
      </c>
      <c r="AK79" t="s">
        <v>63</v>
      </c>
      <c r="AL79">
        <f t="shared" si="37"/>
        <v>5.0000000000000009</v>
      </c>
      <c r="AM79">
        <f t="shared" si="38"/>
        <v>5.8</v>
      </c>
      <c r="AN79">
        <f t="shared" si="39"/>
        <v>5.2367006838144556</v>
      </c>
      <c r="AO79">
        <f t="shared" si="40"/>
        <v>5.5632993161855451</v>
      </c>
    </row>
    <row r="80" spans="1:41" x14ac:dyDescent="0.25">
      <c r="A80" s="1">
        <v>12</v>
      </c>
      <c r="B80" t="s">
        <v>143</v>
      </c>
      <c r="C80" t="s">
        <v>144</v>
      </c>
      <c r="D80" s="18" t="s">
        <v>117</v>
      </c>
      <c r="E80" t="s">
        <v>90</v>
      </c>
      <c r="F80" t="s">
        <v>145</v>
      </c>
      <c r="G80" t="s">
        <v>41</v>
      </c>
      <c r="H80" t="s">
        <v>154</v>
      </c>
      <c r="I80" t="s">
        <v>148</v>
      </c>
      <c r="J80">
        <v>1</v>
      </c>
      <c r="K80" t="s">
        <v>244</v>
      </c>
      <c r="L80">
        <v>6</v>
      </c>
      <c r="M80" s="18" t="s">
        <v>146</v>
      </c>
      <c r="N80" t="s">
        <v>47</v>
      </c>
      <c r="O80" t="s">
        <v>149</v>
      </c>
      <c r="P80">
        <v>20</v>
      </c>
      <c r="Q80" t="s">
        <v>51</v>
      </c>
      <c r="R80" t="s">
        <v>47</v>
      </c>
      <c r="S80" t="s">
        <v>47</v>
      </c>
      <c r="T80" t="s">
        <v>47</v>
      </c>
      <c r="U80" t="s">
        <v>47</v>
      </c>
      <c r="V80" t="s">
        <v>47</v>
      </c>
      <c r="W80">
        <v>13.2</v>
      </c>
      <c r="X80" s="10" t="s">
        <v>150</v>
      </c>
      <c r="Y80" s="10" t="s">
        <v>61</v>
      </c>
      <c r="Z80">
        <f>14.2-13.2</f>
        <v>1</v>
      </c>
      <c r="AA80" t="s">
        <v>62</v>
      </c>
      <c r="AB80">
        <f t="shared" si="41"/>
        <v>0.40824829046386307</v>
      </c>
      <c r="AC80">
        <f t="shared" si="42"/>
        <v>12.2</v>
      </c>
      <c r="AD80">
        <f t="shared" si="43"/>
        <v>14.2</v>
      </c>
      <c r="AE80" t="s">
        <v>62</v>
      </c>
      <c r="AF80">
        <f t="shared" si="44"/>
        <v>12.791751709536136</v>
      </c>
      <c r="AG80">
        <f t="shared" si="45"/>
        <v>13.608248290463862</v>
      </c>
      <c r="AH80">
        <v>1</v>
      </c>
      <c r="AI80" s="10" t="s">
        <v>150</v>
      </c>
      <c r="AJ80">
        <f t="shared" si="36"/>
        <v>13.2</v>
      </c>
      <c r="AK80" t="s">
        <v>63</v>
      </c>
      <c r="AL80">
        <f t="shared" si="37"/>
        <v>12.2</v>
      </c>
      <c r="AM80">
        <f t="shared" si="38"/>
        <v>14.2</v>
      </c>
      <c r="AN80">
        <f t="shared" si="39"/>
        <v>12.791751709536136</v>
      </c>
      <c r="AO80">
        <f t="shared" si="40"/>
        <v>13.608248290463862</v>
      </c>
    </row>
    <row r="81" spans="1:41" x14ac:dyDescent="0.25">
      <c r="A81" s="1">
        <v>12</v>
      </c>
      <c r="B81" t="s">
        <v>143</v>
      </c>
      <c r="C81" t="s">
        <v>144</v>
      </c>
      <c r="D81" s="18" t="s">
        <v>117</v>
      </c>
      <c r="E81" t="s">
        <v>90</v>
      </c>
      <c r="F81" t="s">
        <v>145</v>
      </c>
      <c r="G81" t="s">
        <v>41</v>
      </c>
      <c r="H81" t="s">
        <v>154</v>
      </c>
      <c r="I81" t="s">
        <v>151</v>
      </c>
      <c r="J81">
        <v>2</v>
      </c>
      <c r="K81" t="s">
        <v>244</v>
      </c>
      <c r="L81">
        <v>6</v>
      </c>
      <c r="M81" s="18" t="s">
        <v>146</v>
      </c>
      <c r="N81" t="s">
        <v>47</v>
      </c>
      <c r="O81" t="s">
        <v>149</v>
      </c>
      <c r="P81">
        <v>20</v>
      </c>
      <c r="Q81" t="s">
        <v>51</v>
      </c>
      <c r="R81" t="s">
        <v>47</v>
      </c>
      <c r="S81" t="s">
        <v>47</v>
      </c>
      <c r="T81" t="s">
        <v>47</v>
      </c>
      <c r="U81" t="s">
        <v>47</v>
      </c>
      <c r="V81" t="s">
        <v>47</v>
      </c>
      <c r="W81">
        <v>8.6999999999999993</v>
      </c>
      <c r="X81" s="10" t="s">
        <v>150</v>
      </c>
      <c r="Y81" s="10" t="s">
        <v>61</v>
      </c>
      <c r="Z81">
        <f>9.1-8.7</f>
        <v>0.40000000000000036</v>
      </c>
      <c r="AA81" t="s">
        <v>62</v>
      </c>
      <c r="AB81">
        <f t="shared" si="41"/>
        <v>0.16329931618554536</v>
      </c>
      <c r="AC81">
        <f t="shared" si="42"/>
        <v>8.2999999999999989</v>
      </c>
      <c r="AD81">
        <f t="shared" si="43"/>
        <v>9.1</v>
      </c>
      <c r="AE81" t="s">
        <v>62</v>
      </c>
      <c r="AF81">
        <f t="shared" si="44"/>
        <v>8.5367006838144537</v>
      </c>
      <c r="AG81">
        <f t="shared" si="45"/>
        <v>8.8632993161855449</v>
      </c>
      <c r="AH81">
        <v>1</v>
      </c>
      <c r="AI81" s="10" t="s">
        <v>150</v>
      </c>
      <c r="AJ81">
        <f t="shared" si="36"/>
        <v>8.6999999999999993</v>
      </c>
      <c r="AK81" t="s">
        <v>63</v>
      </c>
      <c r="AL81">
        <f t="shared" si="37"/>
        <v>8.2999999999999989</v>
      </c>
      <c r="AM81">
        <f t="shared" si="38"/>
        <v>9.1</v>
      </c>
      <c r="AN81">
        <f t="shared" si="39"/>
        <v>8.5367006838144537</v>
      </c>
      <c r="AO81">
        <f t="shared" si="40"/>
        <v>8.8632993161855449</v>
      </c>
    </row>
    <row r="82" spans="1:41" x14ac:dyDescent="0.25">
      <c r="A82" s="1">
        <v>12</v>
      </c>
      <c r="B82" t="s">
        <v>143</v>
      </c>
      <c r="C82" t="s">
        <v>144</v>
      </c>
      <c r="D82" s="18" t="s">
        <v>117</v>
      </c>
      <c r="E82" t="s">
        <v>90</v>
      </c>
      <c r="F82" t="s">
        <v>145</v>
      </c>
      <c r="G82" t="s">
        <v>41</v>
      </c>
      <c r="H82" t="s">
        <v>154</v>
      </c>
      <c r="I82" t="s">
        <v>152</v>
      </c>
      <c r="J82">
        <v>3</v>
      </c>
      <c r="K82" t="s">
        <v>244</v>
      </c>
      <c r="L82">
        <v>6</v>
      </c>
      <c r="M82" s="18" t="s">
        <v>146</v>
      </c>
      <c r="N82" t="s">
        <v>47</v>
      </c>
      <c r="O82" t="s">
        <v>149</v>
      </c>
      <c r="P82">
        <v>20</v>
      </c>
      <c r="Q82" t="s">
        <v>51</v>
      </c>
      <c r="R82" t="s">
        <v>47</v>
      </c>
      <c r="S82" t="s">
        <v>47</v>
      </c>
      <c r="T82" t="s">
        <v>47</v>
      </c>
      <c r="U82" t="s">
        <v>47</v>
      </c>
      <c r="V82" t="s">
        <v>47</v>
      </c>
      <c r="W82">
        <v>3.8</v>
      </c>
      <c r="X82" s="10" t="s">
        <v>150</v>
      </c>
      <c r="Y82" s="10" t="s">
        <v>61</v>
      </c>
      <c r="Z82">
        <f>4-3.8</f>
        <v>0.20000000000000018</v>
      </c>
      <c r="AA82" t="s">
        <v>62</v>
      </c>
      <c r="AB82">
        <f t="shared" si="41"/>
        <v>8.1649658092772678E-2</v>
      </c>
      <c r="AC82">
        <f t="shared" si="42"/>
        <v>3.5999999999999996</v>
      </c>
      <c r="AD82">
        <f t="shared" si="43"/>
        <v>4</v>
      </c>
      <c r="AE82" t="s">
        <v>62</v>
      </c>
      <c r="AF82">
        <f t="shared" si="44"/>
        <v>3.718350341907227</v>
      </c>
      <c r="AG82">
        <f t="shared" si="45"/>
        <v>3.8816496580927726</v>
      </c>
      <c r="AH82">
        <v>1</v>
      </c>
      <c r="AI82" s="10" t="s">
        <v>150</v>
      </c>
      <c r="AJ82">
        <f t="shared" si="36"/>
        <v>3.8</v>
      </c>
      <c r="AK82" t="s">
        <v>63</v>
      </c>
      <c r="AL82">
        <f t="shared" si="37"/>
        <v>3.5999999999999996</v>
      </c>
      <c r="AM82">
        <f t="shared" si="38"/>
        <v>4</v>
      </c>
      <c r="AN82">
        <f t="shared" si="39"/>
        <v>3.718350341907227</v>
      </c>
      <c r="AO82">
        <f t="shared" si="40"/>
        <v>3.8816496580927726</v>
      </c>
    </row>
    <row r="83" spans="1:41" x14ac:dyDescent="0.25">
      <c r="A83" s="1">
        <v>12</v>
      </c>
      <c r="B83" t="s">
        <v>143</v>
      </c>
      <c r="C83" t="s">
        <v>144</v>
      </c>
      <c r="D83" s="18" t="s">
        <v>117</v>
      </c>
      <c r="E83" t="s">
        <v>90</v>
      </c>
      <c r="F83" t="s">
        <v>145</v>
      </c>
      <c r="G83" t="s">
        <v>41</v>
      </c>
      <c r="H83" t="s">
        <v>155</v>
      </c>
      <c r="I83" t="s">
        <v>148</v>
      </c>
      <c r="J83">
        <v>1</v>
      </c>
      <c r="K83" t="s">
        <v>244</v>
      </c>
      <c r="L83">
        <v>6</v>
      </c>
      <c r="M83" s="18" t="s">
        <v>146</v>
      </c>
      <c r="N83" t="s">
        <v>47</v>
      </c>
      <c r="O83" t="s">
        <v>149</v>
      </c>
      <c r="P83">
        <v>20</v>
      </c>
      <c r="Q83" t="s">
        <v>51</v>
      </c>
      <c r="R83" t="s">
        <v>47</v>
      </c>
      <c r="S83" t="s">
        <v>47</v>
      </c>
      <c r="T83" t="s">
        <v>47</v>
      </c>
      <c r="U83" t="s">
        <v>47</v>
      </c>
      <c r="V83" t="s">
        <v>47</v>
      </c>
      <c r="W83">
        <v>1.7</v>
      </c>
      <c r="X83" s="10" t="s">
        <v>150</v>
      </c>
      <c r="Y83" s="10" t="s">
        <v>61</v>
      </c>
      <c r="Z83">
        <f>1.8-1.7</f>
        <v>0.10000000000000009</v>
      </c>
      <c r="AA83" t="s">
        <v>62</v>
      </c>
      <c r="AB83">
        <f t="shared" si="41"/>
        <v>4.0824829046386339E-2</v>
      </c>
      <c r="AC83">
        <f t="shared" si="42"/>
        <v>1.5999999999999999</v>
      </c>
      <c r="AD83">
        <f t="shared" si="43"/>
        <v>1.8</v>
      </c>
      <c r="AE83" t="s">
        <v>62</v>
      </c>
      <c r="AF83">
        <f t="shared" si="44"/>
        <v>1.6591751709536136</v>
      </c>
      <c r="AG83">
        <f t="shared" si="45"/>
        <v>1.7408248290463864</v>
      </c>
      <c r="AH83">
        <v>1</v>
      </c>
      <c r="AI83" s="10" t="s">
        <v>150</v>
      </c>
      <c r="AJ83">
        <f t="shared" si="36"/>
        <v>1.7</v>
      </c>
      <c r="AK83" t="s">
        <v>63</v>
      </c>
      <c r="AL83">
        <f t="shared" si="37"/>
        <v>1.5999999999999999</v>
      </c>
      <c r="AM83">
        <f t="shared" si="38"/>
        <v>1.8</v>
      </c>
      <c r="AN83">
        <f t="shared" si="39"/>
        <v>1.6591751709536136</v>
      </c>
      <c r="AO83">
        <f t="shared" si="40"/>
        <v>1.7408248290463864</v>
      </c>
    </row>
    <row r="84" spans="1:41" x14ac:dyDescent="0.25">
      <c r="A84" s="1">
        <v>12</v>
      </c>
      <c r="B84" t="s">
        <v>143</v>
      </c>
      <c r="C84" t="s">
        <v>144</v>
      </c>
      <c r="D84" s="18" t="s">
        <v>117</v>
      </c>
      <c r="E84" t="s">
        <v>90</v>
      </c>
      <c r="F84" t="s">
        <v>145</v>
      </c>
      <c r="G84" t="s">
        <v>41</v>
      </c>
      <c r="H84" t="s">
        <v>155</v>
      </c>
      <c r="I84" t="s">
        <v>151</v>
      </c>
      <c r="J84">
        <v>2</v>
      </c>
      <c r="K84" t="s">
        <v>244</v>
      </c>
      <c r="L84">
        <v>6</v>
      </c>
      <c r="M84" s="18" t="s">
        <v>146</v>
      </c>
      <c r="N84" t="s">
        <v>47</v>
      </c>
      <c r="O84" t="s">
        <v>149</v>
      </c>
      <c r="P84">
        <v>20</v>
      </c>
      <c r="Q84" t="s">
        <v>51</v>
      </c>
      <c r="R84" t="s">
        <v>47</v>
      </c>
      <c r="S84" t="s">
        <v>47</v>
      </c>
      <c r="T84" t="s">
        <v>47</v>
      </c>
      <c r="U84" t="s">
        <v>47</v>
      </c>
      <c r="V84" t="s">
        <v>47</v>
      </c>
      <c r="W84">
        <v>1.7</v>
      </c>
      <c r="X84" s="10" t="s">
        <v>150</v>
      </c>
      <c r="Y84" s="10" t="s">
        <v>61</v>
      </c>
      <c r="Z84">
        <f>2-1.7</f>
        <v>0.30000000000000004</v>
      </c>
      <c r="AA84" t="s">
        <v>62</v>
      </c>
      <c r="AB84">
        <f t="shared" si="41"/>
        <v>0.12247448713915893</v>
      </c>
      <c r="AC84">
        <f t="shared" si="42"/>
        <v>1.4</v>
      </c>
      <c r="AD84">
        <f t="shared" si="43"/>
        <v>2</v>
      </c>
      <c r="AE84" t="s">
        <v>62</v>
      </c>
      <c r="AF84">
        <f t="shared" si="44"/>
        <v>1.577525512860841</v>
      </c>
      <c r="AG84">
        <f t="shared" si="45"/>
        <v>1.8224744871391589</v>
      </c>
      <c r="AH84">
        <v>1</v>
      </c>
      <c r="AI84" s="10" t="s">
        <v>150</v>
      </c>
      <c r="AJ84">
        <f t="shared" si="36"/>
        <v>1.7</v>
      </c>
      <c r="AK84" t="s">
        <v>63</v>
      </c>
      <c r="AL84">
        <f t="shared" si="37"/>
        <v>1.4</v>
      </c>
      <c r="AM84">
        <f t="shared" si="38"/>
        <v>2</v>
      </c>
      <c r="AN84">
        <f t="shared" si="39"/>
        <v>1.577525512860841</v>
      </c>
      <c r="AO84">
        <f t="shared" si="40"/>
        <v>1.8224744871391589</v>
      </c>
    </row>
    <row r="85" spans="1:41" x14ac:dyDescent="0.25">
      <c r="A85" s="1">
        <v>12</v>
      </c>
      <c r="B85" t="s">
        <v>143</v>
      </c>
      <c r="C85" t="s">
        <v>144</v>
      </c>
      <c r="D85" s="18" t="s">
        <v>117</v>
      </c>
      <c r="E85" t="s">
        <v>90</v>
      </c>
      <c r="F85" t="s">
        <v>145</v>
      </c>
      <c r="G85" t="s">
        <v>41</v>
      </c>
      <c r="H85" t="s">
        <v>155</v>
      </c>
      <c r="I85" t="s">
        <v>152</v>
      </c>
      <c r="J85">
        <v>3</v>
      </c>
      <c r="K85" t="s">
        <v>244</v>
      </c>
      <c r="L85">
        <v>6</v>
      </c>
      <c r="M85" s="18" t="s">
        <v>146</v>
      </c>
      <c r="N85" t="s">
        <v>47</v>
      </c>
      <c r="O85" t="s">
        <v>149</v>
      </c>
      <c r="P85">
        <v>20</v>
      </c>
      <c r="Q85" t="s">
        <v>51</v>
      </c>
      <c r="R85" t="s">
        <v>47</v>
      </c>
      <c r="S85" t="s">
        <v>47</v>
      </c>
      <c r="T85" t="s">
        <v>47</v>
      </c>
      <c r="U85" t="s">
        <v>47</v>
      </c>
      <c r="V85" t="s">
        <v>47</v>
      </c>
      <c r="W85">
        <v>1.6</v>
      </c>
      <c r="X85" s="10" t="s">
        <v>150</v>
      </c>
      <c r="Y85" s="10" t="s">
        <v>61</v>
      </c>
      <c r="Z85">
        <f>1.7-1.6</f>
        <v>9.9999999999999867E-2</v>
      </c>
      <c r="AA85" t="s">
        <v>62</v>
      </c>
      <c r="AB85">
        <f t="shared" si="41"/>
        <v>4.0824829046386249E-2</v>
      </c>
      <c r="AC85">
        <f t="shared" si="42"/>
        <v>1.5000000000000002</v>
      </c>
      <c r="AD85">
        <f t="shared" si="43"/>
        <v>1.7</v>
      </c>
      <c r="AE85" t="s">
        <v>62</v>
      </c>
      <c r="AF85">
        <f t="shared" si="44"/>
        <v>1.5591751709536139</v>
      </c>
      <c r="AG85">
        <f t="shared" si="45"/>
        <v>1.6408248290463863</v>
      </c>
      <c r="AH85">
        <v>1</v>
      </c>
      <c r="AI85" s="10" t="s">
        <v>150</v>
      </c>
      <c r="AJ85">
        <f t="shared" si="36"/>
        <v>1.6</v>
      </c>
      <c r="AK85" t="s">
        <v>63</v>
      </c>
      <c r="AL85">
        <f t="shared" si="37"/>
        <v>1.5000000000000002</v>
      </c>
      <c r="AM85">
        <f t="shared" si="38"/>
        <v>1.7</v>
      </c>
      <c r="AN85">
        <f t="shared" si="39"/>
        <v>1.5591751709536139</v>
      </c>
      <c r="AO85">
        <f t="shared" si="40"/>
        <v>1.6408248290463863</v>
      </c>
    </row>
    <row r="86" spans="1:41" x14ac:dyDescent="0.25">
      <c r="A86" s="1">
        <v>12</v>
      </c>
      <c r="B86" t="s">
        <v>143</v>
      </c>
      <c r="C86" t="s">
        <v>144</v>
      </c>
      <c r="D86" s="18" t="s">
        <v>117</v>
      </c>
      <c r="E86" t="s">
        <v>90</v>
      </c>
      <c r="F86" t="s">
        <v>145</v>
      </c>
      <c r="G86" t="s">
        <v>41</v>
      </c>
      <c r="H86" t="s">
        <v>156</v>
      </c>
      <c r="I86" t="s">
        <v>148</v>
      </c>
      <c r="J86">
        <v>1</v>
      </c>
      <c r="K86" t="s">
        <v>244</v>
      </c>
      <c r="L86">
        <v>6</v>
      </c>
      <c r="M86" s="18" t="s">
        <v>146</v>
      </c>
      <c r="N86" t="s">
        <v>47</v>
      </c>
      <c r="O86" t="s">
        <v>149</v>
      </c>
      <c r="P86">
        <v>20</v>
      </c>
      <c r="Q86" t="s">
        <v>51</v>
      </c>
      <c r="R86" t="s">
        <v>47</v>
      </c>
      <c r="S86" t="s">
        <v>47</v>
      </c>
      <c r="T86" t="s">
        <v>47</v>
      </c>
      <c r="U86" t="s">
        <v>47</v>
      </c>
      <c r="V86" t="s">
        <v>47</v>
      </c>
      <c r="W86">
        <v>0.7</v>
      </c>
      <c r="X86" s="10" t="s">
        <v>150</v>
      </c>
      <c r="Y86" s="10" t="s">
        <v>61</v>
      </c>
      <c r="Z86">
        <f>0.8-0.7</f>
        <v>0.10000000000000009</v>
      </c>
      <c r="AA86" t="s">
        <v>62</v>
      </c>
      <c r="AB86">
        <f t="shared" si="41"/>
        <v>4.0824829046386339E-2</v>
      </c>
      <c r="AC86">
        <f t="shared" si="42"/>
        <v>0.59999999999999987</v>
      </c>
      <c r="AD86">
        <f t="shared" si="43"/>
        <v>0.8</v>
      </c>
      <c r="AE86" t="s">
        <v>62</v>
      </c>
      <c r="AF86">
        <f t="shared" si="44"/>
        <v>0.65917517095361366</v>
      </c>
      <c r="AG86">
        <f t="shared" si="45"/>
        <v>0.74082482904638625</v>
      </c>
      <c r="AH86">
        <v>1</v>
      </c>
      <c r="AI86" s="10" t="s">
        <v>150</v>
      </c>
      <c r="AJ86">
        <f t="shared" si="36"/>
        <v>0.7</v>
      </c>
      <c r="AK86" t="s">
        <v>63</v>
      </c>
      <c r="AL86">
        <f t="shared" si="37"/>
        <v>0.59999999999999987</v>
      </c>
      <c r="AM86">
        <f t="shared" si="38"/>
        <v>0.8</v>
      </c>
      <c r="AN86">
        <f t="shared" si="39"/>
        <v>0.65917517095361366</v>
      </c>
      <c r="AO86">
        <f t="shared" si="40"/>
        <v>0.74082482904638625</v>
      </c>
    </row>
    <row r="87" spans="1:41" x14ac:dyDescent="0.25">
      <c r="A87" s="1">
        <v>12</v>
      </c>
      <c r="B87" t="s">
        <v>143</v>
      </c>
      <c r="C87" t="s">
        <v>144</v>
      </c>
      <c r="D87" s="18" t="s">
        <v>117</v>
      </c>
      <c r="E87" t="s">
        <v>90</v>
      </c>
      <c r="F87" t="s">
        <v>145</v>
      </c>
      <c r="G87" t="s">
        <v>41</v>
      </c>
      <c r="H87" t="s">
        <v>156</v>
      </c>
      <c r="I87" t="s">
        <v>151</v>
      </c>
      <c r="J87">
        <v>2</v>
      </c>
      <c r="K87" t="s">
        <v>244</v>
      </c>
      <c r="L87">
        <v>6</v>
      </c>
      <c r="M87" s="18" t="s">
        <v>146</v>
      </c>
      <c r="N87" t="s">
        <v>47</v>
      </c>
      <c r="O87" t="s">
        <v>149</v>
      </c>
      <c r="P87">
        <v>20</v>
      </c>
      <c r="Q87" t="s">
        <v>51</v>
      </c>
      <c r="R87" t="s">
        <v>47</v>
      </c>
      <c r="S87" t="s">
        <v>47</v>
      </c>
      <c r="T87" t="s">
        <v>47</v>
      </c>
      <c r="U87" t="s">
        <v>47</v>
      </c>
      <c r="V87" t="s">
        <v>47</v>
      </c>
      <c r="W87">
        <v>0.7</v>
      </c>
      <c r="X87" s="10" t="s">
        <v>150</v>
      </c>
      <c r="Y87" s="10" t="s">
        <v>61</v>
      </c>
      <c r="Z87">
        <f>0.7-0.7</f>
        <v>0</v>
      </c>
      <c r="AA87" t="s">
        <v>62</v>
      </c>
      <c r="AB87">
        <f t="shared" si="41"/>
        <v>0</v>
      </c>
      <c r="AC87">
        <f t="shared" si="42"/>
        <v>0.7</v>
      </c>
      <c r="AD87">
        <f t="shared" si="43"/>
        <v>0.7</v>
      </c>
      <c r="AE87" t="s">
        <v>62</v>
      </c>
      <c r="AF87">
        <f t="shared" si="44"/>
        <v>0.7</v>
      </c>
      <c r="AG87">
        <f t="shared" si="45"/>
        <v>0.7</v>
      </c>
      <c r="AH87">
        <v>1</v>
      </c>
      <c r="AI87" s="10" t="s">
        <v>150</v>
      </c>
      <c r="AJ87">
        <f t="shared" si="36"/>
        <v>0.7</v>
      </c>
      <c r="AK87" t="s">
        <v>63</v>
      </c>
      <c r="AL87">
        <f t="shared" si="37"/>
        <v>0.7</v>
      </c>
      <c r="AM87">
        <f t="shared" si="38"/>
        <v>0.7</v>
      </c>
      <c r="AN87">
        <f t="shared" si="39"/>
        <v>0.7</v>
      </c>
      <c r="AO87">
        <f t="shared" si="40"/>
        <v>0.7</v>
      </c>
    </row>
    <row r="88" spans="1:41" x14ac:dyDescent="0.25">
      <c r="A88" s="1">
        <v>12</v>
      </c>
      <c r="B88" t="s">
        <v>143</v>
      </c>
      <c r="C88" t="s">
        <v>144</v>
      </c>
      <c r="D88" s="18" t="s">
        <v>117</v>
      </c>
      <c r="E88" t="s">
        <v>90</v>
      </c>
      <c r="F88" t="s">
        <v>145</v>
      </c>
      <c r="G88" t="s">
        <v>41</v>
      </c>
      <c r="H88" t="s">
        <v>156</v>
      </c>
      <c r="I88" t="s">
        <v>152</v>
      </c>
      <c r="J88">
        <v>3</v>
      </c>
      <c r="K88" t="s">
        <v>244</v>
      </c>
      <c r="L88">
        <v>6</v>
      </c>
      <c r="M88" s="18" t="s">
        <v>146</v>
      </c>
      <c r="N88" t="s">
        <v>47</v>
      </c>
      <c r="O88" t="s">
        <v>149</v>
      </c>
      <c r="P88">
        <v>20</v>
      </c>
      <c r="Q88" t="s">
        <v>51</v>
      </c>
      <c r="R88" t="s">
        <v>47</v>
      </c>
      <c r="S88" t="s">
        <v>47</v>
      </c>
      <c r="T88" t="s">
        <v>47</v>
      </c>
      <c r="U88" t="s">
        <v>47</v>
      </c>
      <c r="V88" t="s">
        <v>47</v>
      </c>
      <c r="W88">
        <v>0.6</v>
      </c>
      <c r="X88" s="10" t="s">
        <v>150</v>
      </c>
      <c r="Y88" s="10" t="s">
        <v>61</v>
      </c>
      <c r="Z88">
        <f>0.6-0.6</f>
        <v>0</v>
      </c>
      <c r="AA88" t="s">
        <v>62</v>
      </c>
      <c r="AB88">
        <f t="shared" si="41"/>
        <v>0</v>
      </c>
      <c r="AC88">
        <f t="shared" si="42"/>
        <v>0.6</v>
      </c>
      <c r="AD88">
        <f t="shared" si="43"/>
        <v>0.6</v>
      </c>
      <c r="AE88" t="s">
        <v>62</v>
      </c>
      <c r="AF88">
        <f t="shared" si="44"/>
        <v>0.6</v>
      </c>
      <c r="AG88">
        <f t="shared" si="45"/>
        <v>0.6</v>
      </c>
      <c r="AH88">
        <v>1</v>
      </c>
      <c r="AI88" s="10" t="s">
        <v>150</v>
      </c>
      <c r="AJ88">
        <f t="shared" si="36"/>
        <v>0.6</v>
      </c>
      <c r="AK88" t="s">
        <v>63</v>
      </c>
      <c r="AL88">
        <f t="shared" si="37"/>
        <v>0.6</v>
      </c>
      <c r="AM88">
        <f t="shared" si="38"/>
        <v>0.6</v>
      </c>
      <c r="AN88">
        <f t="shared" si="39"/>
        <v>0.6</v>
      </c>
      <c r="AO88">
        <f t="shared" si="40"/>
        <v>0.6</v>
      </c>
    </row>
    <row r="89" spans="1:41" x14ac:dyDescent="0.25">
      <c r="A89" s="1">
        <v>12</v>
      </c>
      <c r="B89" t="s">
        <v>143</v>
      </c>
      <c r="C89" t="s">
        <v>144</v>
      </c>
      <c r="D89" s="18" t="s">
        <v>117</v>
      </c>
      <c r="E89" t="s">
        <v>90</v>
      </c>
      <c r="F89" t="s">
        <v>145</v>
      </c>
      <c r="G89" t="s">
        <v>41</v>
      </c>
      <c r="H89" t="s">
        <v>157</v>
      </c>
      <c r="I89" t="s">
        <v>148</v>
      </c>
      <c r="J89">
        <v>1</v>
      </c>
      <c r="K89" t="s">
        <v>244</v>
      </c>
      <c r="L89">
        <v>6</v>
      </c>
      <c r="M89" s="18" t="s">
        <v>146</v>
      </c>
      <c r="N89" t="s">
        <v>47</v>
      </c>
      <c r="O89" t="s">
        <v>149</v>
      </c>
      <c r="P89">
        <v>20</v>
      </c>
      <c r="Q89" t="s">
        <v>51</v>
      </c>
      <c r="R89" t="s">
        <v>47</v>
      </c>
      <c r="S89" t="s">
        <v>47</v>
      </c>
      <c r="T89" t="s">
        <v>47</v>
      </c>
      <c r="U89" t="s">
        <v>47</v>
      </c>
      <c r="V89" t="s">
        <v>47</v>
      </c>
      <c r="W89">
        <v>0.2</v>
      </c>
      <c r="X89" s="10" t="s">
        <v>150</v>
      </c>
      <c r="Y89" s="10" t="s">
        <v>61</v>
      </c>
      <c r="Z89">
        <f>0.2-0.2</f>
        <v>0</v>
      </c>
      <c r="AA89" t="s">
        <v>62</v>
      </c>
      <c r="AB89">
        <f t="shared" si="41"/>
        <v>0</v>
      </c>
      <c r="AC89">
        <f t="shared" si="42"/>
        <v>0.2</v>
      </c>
      <c r="AD89">
        <f t="shared" si="43"/>
        <v>0.2</v>
      </c>
      <c r="AE89" t="s">
        <v>62</v>
      </c>
      <c r="AF89">
        <f t="shared" si="44"/>
        <v>0.2</v>
      </c>
      <c r="AG89">
        <f t="shared" si="45"/>
        <v>0.2</v>
      </c>
      <c r="AH89">
        <v>1</v>
      </c>
      <c r="AI89" s="10" t="s">
        <v>150</v>
      </c>
      <c r="AJ89">
        <f t="shared" si="36"/>
        <v>0.2</v>
      </c>
      <c r="AK89" t="s">
        <v>63</v>
      </c>
      <c r="AL89">
        <f t="shared" si="37"/>
        <v>0.2</v>
      </c>
      <c r="AM89">
        <f t="shared" si="38"/>
        <v>0.2</v>
      </c>
      <c r="AN89">
        <f t="shared" si="39"/>
        <v>0.2</v>
      </c>
      <c r="AO89">
        <f t="shared" si="40"/>
        <v>0.2</v>
      </c>
    </row>
    <row r="90" spans="1:41" x14ac:dyDescent="0.25">
      <c r="A90" s="1">
        <v>12</v>
      </c>
      <c r="B90" t="s">
        <v>143</v>
      </c>
      <c r="C90" t="s">
        <v>144</v>
      </c>
      <c r="D90" s="18" t="s">
        <v>117</v>
      </c>
      <c r="E90" t="s">
        <v>90</v>
      </c>
      <c r="F90" t="s">
        <v>145</v>
      </c>
      <c r="G90" t="s">
        <v>41</v>
      </c>
      <c r="H90" t="s">
        <v>157</v>
      </c>
      <c r="I90" t="s">
        <v>151</v>
      </c>
      <c r="J90">
        <v>2</v>
      </c>
      <c r="K90" t="s">
        <v>244</v>
      </c>
      <c r="L90">
        <v>6</v>
      </c>
      <c r="M90" s="18" t="s">
        <v>146</v>
      </c>
      <c r="N90" t="s">
        <v>47</v>
      </c>
      <c r="O90" t="s">
        <v>149</v>
      </c>
      <c r="P90">
        <v>20</v>
      </c>
      <c r="Q90" t="s">
        <v>51</v>
      </c>
      <c r="R90" t="s">
        <v>47</v>
      </c>
      <c r="S90" t="s">
        <v>47</v>
      </c>
      <c r="T90" t="s">
        <v>47</v>
      </c>
      <c r="U90" t="s">
        <v>47</v>
      </c>
      <c r="V90" t="s">
        <v>47</v>
      </c>
      <c r="W90">
        <v>0.2</v>
      </c>
      <c r="X90" s="10" t="s">
        <v>150</v>
      </c>
      <c r="Y90" s="10" t="s">
        <v>61</v>
      </c>
      <c r="Z90">
        <f>0.2-0.2</f>
        <v>0</v>
      </c>
      <c r="AA90" t="s">
        <v>62</v>
      </c>
      <c r="AB90">
        <f t="shared" si="41"/>
        <v>0</v>
      </c>
      <c r="AC90">
        <f t="shared" si="42"/>
        <v>0.2</v>
      </c>
      <c r="AD90">
        <f t="shared" si="43"/>
        <v>0.2</v>
      </c>
      <c r="AE90" t="s">
        <v>62</v>
      </c>
      <c r="AF90">
        <f t="shared" si="44"/>
        <v>0.2</v>
      </c>
      <c r="AG90">
        <f t="shared" si="45"/>
        <v>0.2</v>
      </c>
      <c r="AH90">
        <v>1</v>
      </c>
      <c r="AI90" s="10" t="s">
        <v>150</v>
      </c>
      <c r="AJ90">
        <f t="shared" si="36"/>
        <v>0.2</v>
      </c>
      <c r="AK90" t="s">
        <v>63</v>
      </c>
      <c r="AL90">
        <f t="shared" si="37"/>
        <v>0.2</v>
      </c>
      <c r="AM90">
        <f t="shared" si="38"/>
        <v>0.2</v>
      </c>
      <c r="AN90">
        <f t="shared" si="39"/>
        <v>0.2</v>
      </c>
      <c r="AO90">
        <f t="shared" si="40"/>
        <v>0.2</v>
      </c>
    </row>
    <row r="91" spans="1:41" x14ac:dyDescent="0.25">
      <c r="A91" s="1">
        <v>12</v>
      </c>
      <c r="B91" t="s">
        <v>143</v>
      </c>
      <c r="C91" t="s">
        <v>144</v>
      </c>
      <c r="D91" s="18" t="s">
        <v>117</v>
      </c>
      <c r="E91" t="s">
        <v>90</v>
      </c>
      <c r="F91" t="s">
        <v>145</v>
      </c>
      <c r="G91" t="s">
        <v>41</v>
      </c>
      <c r="H91" t="s">
        <v>157</v>
      </c>
      <c r="I91" t="s">
        <v>152</v>
      </c>
      <c r="J91">
        <v>3</v>
      </c>
      <c r="K91" t="s">
        <v>244</v>
      </c>
      <c r="L91">
        <v>6</v>
      </c>
      <c r="M91" s="18" t="s">
        <v>146</v>
      </c>
      <c r="N91" t="s">
        <v>47</v>
      </c>
      <c r="O91" t="s">
        <v>149</v>
      </c>
      <c r="P91">
        <v>20</v>
      </c>
      <c r="Q91" t="s">
        <v>51</v>
      </c>
      <c r="R91" t="s">
        <v>47</v>
      </c>
      <c r="S91" t="s">
        <v>47</v>
      </c>
      <c r="T91" t="s">
        <v>47</v>
      </c>
      <c r="U91" t="s">
        <v>47</v>
      </c>
      <c r="V91" t="s">
        <v>47</v>
      </c>
      <c r="W91">
        <v>0.3</v>
      </c>
      <c r="X91" s="10" t="s">
        <v>150</v>
      </c>
      <c r="Y91" s="10" t="s">
        <v>61</v>
      </c>
      <c r="Z91">
        <f>0.3-0.3</f>
        <v>0</v>
      </c>
      <c r="AA91" t="s">
        <v>62</v>
      </c>
      <c r="AB91">
        <f t="shared" si="41"/>
        <v>0</v>
      </c>
      <c r="AC91">
        <f t="shared" si="42"/>
        <v>0.3</v>
      </c>
      <c r="AD91">
        <f t="shared" si="43"/>
        <v>0.3</v>
      </c>
      <c r="AE91" t="s">
        <v>62</v>
      </c>
      <c r="AF91">
        <f t="shared" si="44"/>
        <v>0.3</v>
      </c>
      <c r="AG91">
        <f t="shared" si="45"/>
        <v>0.3</v>
      </c>
      <c r="AH91">
        <v>1</v>
      </c>
      <c r="AI91" s="10" t="s">
        <v>150</v>
      </c>
      <c r="AJ91">
        <f t="shared" si="36"/>
        <v>0.3</v>
      </c>
      <c r="AK91" t="s">
        <v>63</v>
      </c>
      <c r="AL91">
        <f t="shared" si="37"/>
        <v>0.3</v>
      </c>
      <c r="AM91">
        <f t="shared" si="38"/>
        <v>0.3</v>
      </c>
      <c r="AN91">
        <f t="shared" si="39"/>
        <v>0.3</v>
      </c>
      <c r="AO91">
        <f t="shared" si="40"/>
        <v>0.3</v>
      </c>
    </row>
    <row r="92" spans="1:41" x14ac:dyDescent="0.25">
      <c r="A92" s="1">
        <v>12</v>
      </c>
      <c r="B92" t="s">
        <v>143</v>
      </c>
      <c r="C92" t="s">
        <v>144</v>
      </c>
      <c r="D92" s="18" t="s">
        <v>117</v>
      </c>
      <c r="E92" t="s">
        <v>90</v>
      </c>
      <c r="F92" t="s">
        <v>145</v>
      </c>
      <c r="G92" t="s">
        <v>41</v>
      </c>
      <c r="H92" t="s">
        <v>158</v>
      </c>
      <c r="I92" t="s">
        <v>148</v>
      </c>
      <c r="J92">
        <v>1</v>
      </c>
      <c r="K92" t="s">
        <v>244</v>
      </c>
      <c r="L92">
        <v>6</v>
      </c>
      <c r="M92" s="18" t="s">
        <v>146</v>
      </c>
      <c r="N92" t="s">
        <v>47</v>
      </c>
      <c r="O92" t="s">
        <v>149</v>
      </c>
      <c r="P92">
        <v>20</v>
      </c>
      <c r="Q92" t="s">
        <v>51</v>
      </c>
      <c r="R92" t="s">
        <v>47</v>
      </c>
      <c r="S92" t="s">
        <v>47</v>
      </c>
      <c r="T92" t="s">
        <v>47</v>
      </c>
      <c r="U92" t="s">
        <v>47</v>
      </c>
      <c r="V92" t="s">
        <v>47</v>
      </c>
      <c r="W92">
        <v>0.3</v>
      </c>
      <c r="X92" s="10" t="s">
        <v>150</v>
      </c>
      <c r="Y92" s="10" t="s">
        <v>61</v>
      </c>
      <c r="Z92">
        <f>0.4-0.3</f>
        <v>0.10000000000000003</v>
      </c>
      <c r="AA92" t="s">
        <v>62</v>
      </c>
      <c r="AB92">
        <f t="shared" si="41"/>
        <v>4.0824829046386318E-2</v>
      </c>
      <c r="AC92">
        <f t="shared" si="42"/>
        <v>0.19999999999999996</v>
      </c>
      <c r="AD92">
        <f t="shared" si="43"/>
        <v>0.4</v>
      </c>
      <c r="AE92" t="s">
        <v>62</v>
      </c>
      <c r="AF92">
        <f t="shared" si="44"/>
        <v>0.25917517095361364</v>
      </c>
      <c r="AG92">
        <f t="shared" si="45"/>
        <v>0.34082482904638634</v>
      </c>
      <c r="AH92">
        <v>1</v>
      </c>
      <c r="AI92" s="10" t="s">
        <v>150</v>
      </c>
      <c r="AJ92">
        <f t="shared" si="36"/>
        <v>0.3</v>
      </c>
      <c r="AK92" t="s">
        <v>63</v>
      </c>
      <c r="AL92">
        <f t="shared" si="37"/>
        <v>0.19999999999999996</v>
      </c>
      <c r="AM92">
        <f t="shared" si="38"/>
        <v>0.4</v>
      </c>
      <c r="AN92">
        <f t="shared" si="39"/>
        <v>0.25917517095361364</v>
      </c>
      <c r="AO92">
        <f t="shared" si="40"/>
        <v>0.34082482904638634</v>
      </c>
    </row>
    <row r="93" spans="1:41" x14ac:dyDescent="0.25">
      <c r="A93" s="1">
        <v>12</v>
      </c>
      <c r="B93" t="s">
        <v>143</v>
      </c>
      <c r="C93" t="s">
        <v>144</v>
      </c>
      <c r="D93" s="18" t="s">
        <v>117</v>
      </c>
      <c r="E93" t="s">
        <v>90</v>
      </c>
      <c r="F93" t="s">
        <v>145</v>
      </c>
      <c r="G93" t="s">
        <v>41</v>
      </c>
      <c r="H93" t="s">
        <v>158</v>
      </c>
      <c r="I93" t="s">
        <v>151</v>
      </c>
      <c r="J93">
        <v>2</v>
      </c>
      <c r="K93" t="s">
        <v>244</v>
      </c>
      <c r="L93">
        <v>6</v>
      </c>
      <c r="M93" s="18" t="s">
        <v>146</v>
      </c>
      <c r="N93" t="s">
        <v>47</v>
      </c>
      <c r="O93" t="s">
        <v>149</v>
      </c>
      <c r="P93">
        <v>20</v>
      </c>
      <c r="Q93" t="s">
        <v>51</v>
      </c>
      <c r="R93" t="s">
        <v>47</v>
      </c>
      <c r="S93" t="s">
        <v>47</v>
      </c>
      <c r="T93" t="s">
        <v>47</v>
      </c>
      <c r="U93" t="s">
        <v>47</v>
      </c>
      <c r="V93" t="s">
        <v>47</v>
      </c>
      <c r="W93">
        <v>0.3</v>
      </c>
      <c r="X93" s="10" t="s">
        <v>150</v>
      </c>
      <c r="Y93" s="10" t="s">
        <v>61</v>
      </c>
      <c r="Z93">
        <f>0.3-0.3</f>
        <v>0</v>
      </c>
      <c r="AA93" t="s">
        <v>62</v>
      </c>
      <c r="AB93">
        <f t="shared" si="41"/>
        <v>0</v>
      </c>
      <c r="AC93">
        <f t="shared" si="42"/>
        <v>0.3</v>
      </c>
      <c r="AD93">
        <f t="shared" si="43"/>
        <v>0.3</v>
      </c>
      <c r="AE93" t="s">
        <v>62</v>
      </c>
      <c r="AF93">
        <f t="shared" si="44"/>
        <v>0.3</v>
      </c>
      <c r="AG93">
        <f t="shared" si="45"/>
        <v>0.3</v>
      </c>
      <c r="AH93">
        <v>1</v>
      </c>
      <c r="AI93" s="10" t="s">
        <v>150</v>
      </c>
      <c r="AJ93">
        <f t="shared" ref="AJ93:AJ140" si="46">W93*AH93</f>
        <v>0.3</v>
      </c>
      <c r="AK93" t="s">
        <v>63</v>
      </c>
      <c r="AL93">
        <f t="shared" si="37"/>
        <v>0.3</v>
      </c>
      <c r="AM93">
        <f t="shared" si="38"/>
        <v>0.3</v>
      </c>
      <c r="AN93">
        <f t="shared" si="39"/>
        <v>0.3</v>
      </c>
      <c r="AO93">
        <f t="shared" si="40"/>
        <v>0.3</v>
      </c>
    </row>
    <row r="94" spans="1:41" x14ac:dyDescent="0.25">
      <c r="A94" s="1">
        <v>12</v>
      </c>
      <c r="B94" t="s">
        <v>143</v>
      </c>
      <c r="C94" t="s">
        <v>144</v>
      </c>
      <c r="D94" s="18" t="s">
        <v>117</v>
      </c>
      <c r="E94" t="s">
        <v>90</v>
      </c>
      <c r="F94" t="s">
        <v>145</v>
      </c>
      <c r="G94" t="s">
        <v>41</v>
      </c>
      <c r="H94" t="s">
        <v>158</v>
      </c>
      <c r="I94" t="s">
        <v>152</v>
      </c>
      <c r="J94">
        <v>3</v>
      </c>
      <c r="K94" t="s">
        <v>244</v>
      </c>
      <c r="L94">
        <v>6</v>
      </c>
      <c r="M94" s="18" t="s">
        <v>146</v>
      </c>
      <c r="N94" t="s">
        <v>47</v>
      </c>
      <c r="O94" t="s">
        <v>149</v>
      </c>
      <c r="P94">
        <v>20</v>
      </c>
      <c r="Q94" t="s">
        <v>51</v>
      </c>
      <c r="R94" t="s">
        <v>47</v>
      </c>
      <c r="S94" t="s">
        <v>47</v>
      </c>
      <c r="T94" t="s">
        <v>47</v>
      </c>
      <c r="U94" t="s">
        <v>47</v>
      </c>
      <c r="V94" t="s">
        <v>47</v>
      </c>
      <c r="W94">
        <v>0.3</v>
      </c>
      <c r="X94" s="10" t="s">
        <v>150</v>
      </c>
      <c r="Y94" s="10" t="s">
        <v>61</v>
      </c>
      <c r="Z94">
        <f>0.4-0.3</f>
        <v>0.10000000000000003</v>
      </c>
      <c r="AA94" t="s">
        <v>62</v>
      </c>
      <c r="AB94">
        <f t="shared" si="41"/>
        <v>4.0824829046386318E-2</v>
      </c>
      <c r="AC94">
        <f t="shared" si="42"/>
        <v>0.19999999999999996</v>
      </c>
      <c r="AD94">
        <f t="shared" si="43"/>
        <v>0.4</v>
      </c>
      <c r="AE94" t="s">
        <v>62</v>
      </c>
      <c r="AF94">
        <f t="shared" si="44"/>
        <v>0.25917517095361364</v>
      </c>
      <c r="AG94">
        <f t="shared" si="45"/>
        <v>0.34082482904638634</v>
      </c>
      <c r="AH94">
        <v>1</v>
      </c>
      <c r="AI94" s="10" t="s">
        <v>150</v>
      </c>
      <c r="AJ94">
        <f t="shared" si="46"/>
        <v>0.3</v>
      </c>
      <c r="AK94" t="s">
        <v>63</v>
      </c>
      <c r="AL94">
        <f t="shared" si="37"/>
        <v>0.19999999999999996</v>
      </c>
      <c r="AM94">
        <f t="shared" si="38"/>
        <v>0.4</v>
      </c>
      <c r="AN94">
        <f t="shared" si="39"/>
        <v>0.25917517095361364</v>
      </c>
      <c r="AO94">
        <f t="shared" si="40"/>
        <v>0.34082482904638634</v>
      </c>
    </row>
    <row r="95" spans="1:41" x14ac:dyDescent="0.25">
      <c r="A95" s="1">
        <v>12</v>
      </c>
      <c r="B95" t="s">
        <v>143</v>
      </c>
      <c r="C95" t="s">
        <v>144</v>
      </c>
      <c r="D95" s="18" t="s">
        <v>117</v>
      </c>
      <c r="E95" t="s">
        <v>90</v>
      </c>
      <c r="F95" t="s">
        <v>145</v>
      </c>
      <c r="G95" t="s">
        <v>41</v>
      </c>
      <c r="H95" t="s">
        <v>159</v>
      </c>
      <c r="I95" t="s">
        <v>148</v>
      </c>
      <c r="J95">
        <v>1</v>
      </c>
      <c r="K95" t="s">
        <v>244</v>
      </c>
      <c r="L95">
        <v>6</v>
      </c>
      <c r="M95" s="18" t="s">
        <v>146</v>
      </c>
      <c r="N95" t="s">
        <v>47</v>
      </c>
      <c r="O95" t="s">
        <v>149</v>
      </c>
      <c r="P95">
        <v>20</v>
      </c>
      <c r="Q95" t="s">
        <v>51</v>
      </c>
      <c r="R95" t="s">
        <v>47</v>
      </c>
      <c r="S95" t="s">
        <v>47</v>
      </c>
      <c r="T95" t="s">
        <v>47</v>
      </c>
      <c r="U95" t="s">
        <v>47</v>
      </c>
      <c r="V95" t="s">
        <v>47</v>
      </c>
      <c r="W95">
        <v>2.2000000000000002</v>
      </c>
      <c r="X95" s="10" t="s">
        <v>150</v>
      </c>
      <c r="Y95" s="10" t="s">
        <v>61</v>
      </c>
      <c r="Z95">
        <f>2.3-2.2</f>
        <v>9.9999999999999645E-2</v>
      </c>
      <c r="AA95" t="s">
        <v>62</v>
      </c>
      <c r="AB95">
        <f t="shared" si="41"/>
        <v>4.0824829046386159E-2</v>
      </c>
      <c r="AC95">
        <f t="shared" si="42"/>
        <v>2.1000000000000005</v>
      </c>
      <c r="AD95">
        <f t="shared" si="43"/>
        <v>2.2999999999999998</v>
      </c>
      <c r="AE95" t="s">
        <v>62</v>
      </c>
      <c r="AF95">
        <f t="shared" si="44"/>
        <v>2.1591751709536142</v>
      </c>
      <c r="AG95">
        <f t="shared" si="45"/>
        <v>2.2408248290463861</v>
      </c>
      <c r="AH95">
        <v>1</v>
      </c>
      <c r="AI95" s="10" t="s">
        <v>150</v>
      </c>
      <c r="AJ95">
        <f t="shared" si="46"/>
        <v>2.2000000000000002</v>
      </c>
      <c r="AK95" t="s">
        <v>63</v>
      </c>
      <c r="AL95">
        <f t="shared" si="37"/>
        <v>2.1000000000000005</v>
      </c>
      <c r="AM95">
        <f t="shared" si="38"/>
        <v>2.2999999999999998</v>
      </c>
      <c r="AN95">
        <f t="shared" si="39"/>
        <v>2.1591751709536142</v>
      </c>
      <c r="AO95">
        <f t="shared" si="40"/>
        <v>2.2408248290463861</v>
      </c>
    </row>
    <row r="96" spans="1:41" x14ac:dyDescent="0.25">
      <c r="A96" s="1">
        <v>12</v>
      </c>
      <c r="B96" t="s">
        <v>143</v>
      </c>
      <c r="C96" t="s">
        <v>144</v>
      </c>
      <c r="D96" s="18" t="s">
        <v>117</v>
      </c>
      <c r="E96" t="s">
        <v>90</v>
      </c>
      <c r="F96" t="s">
        <v>145</v>
      </c>
      <c r="G96" t="s">
        <v>41</v>
      </c>
      <c r="H96" t="s">
        <v>159</v>
      </c>
      <c r="I96" t="s">
        <v>151</v>
      </c>
      <c r="J96">
        <v>2</v>
      </c>
      <c r="K96" t="s">
        <v>244</v>
      </c>
      <c r="L96">
        <v>6</v>
      </c>
      <c r="M96" s="18" t="s">
        <v>146</v>
      </c>
      <c r="N96" t="s">
        <v>47</v>
      </c>
      <c r="O96" t="s">
        <v>149</v>
      </c>
      <c r="P96">
        <v>20</v>
      </c>
      <c r="Q96" t="s">
        <v>51</v>
      </c>
      <c r="R96" t="s">
        <v>47</v>
      </c>
      <c r="S96" t="s">
        <v>47</v>
      </c>
      <c r="T96" t="s">
        <v>47</v>
      </c>
      <c r="U96" t="s">
        <v>47</v>
      </c>
      <c r="V96" t="s">
        <v>47</v>
      </c>
      <c r="W96">
        <v>1.9</v>
      </c>
      <c r="X96" s="10" t="s">
        <v>150</v>
      </c>
      <c r="Y96" s="10" t="s">
        <v>61</v>
      </c>
      <c r="Z96">
        <f>2-1.9</f>
        <v>0.10000000000000009</v>
      </c>
      <c r="AA96" t="s">
        <v>62</v>
      </c>
      <c r="AB96">
        <f t="shared" si="41"/>
        <v>4.0824829046386339E-2</v>
      </c>
      <c r="AC96">
        <f t="shared" ref="AC96:AC113" si="47">W96-Z96</f>
        <v>1.7999999999999998</v>
      </c>
      <c r="AD96">
        <f t="shared" ref="AD96:AD113" si="48">W96+Z96</f>
        <v>2</v>
      </c>
      <c r="AE96" t="s">
        <v>62</v>
      </c>
      <c r="AF96">
        <f t="shared" si="44"/>
        <v>1.8591751709536135</v>
      </c>
      <c r="AG96">
        <f t="shared" si="45"/>
        <v>1.9408248290463863</v>
      </c>
      <c r="AH96">
        <v>1</v>
      </c>
      <c r="AI96" s="10" t="s">
        <v>150</v>
      </c>
      <c r="AJ96">
        <f t="shared" si="46"/>
        <v>1.9</v>
      </c>
      <c r="AK96" t="s">
        <v>63</v>
      </c>
      <c r="AL96">
        <f t="shared" si="37"/>
        <v>1.7999999999999998</v>
      </c>
      <c r="AM96">
        <f t="shared" si="38"/>
        <v>2</v>
      </c>
      <c r="AN96">
        <f t="shared" si="39"/>
        <v>1.8591751709536135</v>
      </c>
      <c r="AO96">
        <f t="shared" si="40"/>
        <v>1.9408248290463863</v>
      </c>
    </row>
    <row r="97" spans="1:41" x14ac:dyDescent="0.25">
      <c r="A97" s="1">
        <v>12</v>
      </c>
      <c r="B97" t="s">
        <v>143</v>
      </c>
      <c r="C97" t="s">
        <v>144</v>
      </c>
      <c r="D97" s="18" t="s">
        <v>117</v>
      </c>
      <c r="E97" t="s">
        <v>90</v>
      </c>
      <c r="F97" t="s">
        <v>145</v>
      </c>
      <c r="G97" t="s">
        <v>41</v>
      </c>
      <c r="H97" t="s">
        <v>159</v>
      </c>
      <c r="I97" t="s">
        <v>152</v>
      </c>
      <c r="J97">
        <v>3</v>
      </c>
      <c r="K97" t="s">
        <v>244</v>
      </c>
      <c r="L97">
        <v>6</v>
      </c>
      <c r="M97" s="18" t="s">
        <v>146</v>
      </c>
      <c r="N97" t="s">
        <v>47</v>
      </c>
      <c r="O97" t="s">
        <v>149</v>
      </c>
      <c r="P97">
        <v>20</v>
      </c>
      <c r="Q97" t="s">
        <v>51</v>
      </c>
      <c r="R97" t="s">
        <v>47</v>
      </c>
      <c r="S97" t="s">
        <v>47</v>
      </c>
      <c r="T97" t="s">
        <v>47</v>
      </c>
      <c r="U97" t="s">
        <v>47</v>
      </c>
      <c r="V97" t="s">
        <v>47</v>
      </c>
      <c r="W97">
        <v>1.3</v>
      </c>
      <c r="X97" s="10" t="s">
        <v>150</v>
      </c>
      <c r="Y97" s="10" t="s">
        <v>61</v>
      </c>
      <c r="Z97">
        <f>1.3-1.3</f>
        <v>0</v>
      </c>
      <c r="AA97" t="s">
        <v>62</v>
      </c>
      <c r="AB97">
        <f t="shared" si="41"/>
        <v>0</v>
      </c>
      <c r="AC97">
        <f t="shared" si="47"/>
        <v>1.3</v>
      </c>
      <c r="AD97">
        <f t="shared" si="48"/>
        <v>1.3</v>
      </c>
      <c r="AE97" t="s">
        <v>62</v>
      </c>
      <c r="AF97">
        <f t="shared" si="44"/>
        <v>1.3</v>
      </c>
      <c r="AG97">
        <f t="shared" si="45"/>
        <v>1.3</v>
      </c>
      <c r="AH97">
        <v>1</v>
      </c>
      <c r="AI97" s="10" t="s">
        <v>150</v>
      </c>
      <c r="AJ97">
        <f t="shared" si="46"/>
        <v>1.3</v>
      </c>
      <c r="AK97" t="s">
        <v>63</v>
      </c>
      <c r="AL97">
        <f t="shared" si="37"/>
        <v>1.3</v>
      </c>
      <c r="AM97">
        <f t="shared" si="38"/>
        <v>1.3</v>
      </c>
      <c r="AN97">
        <f t="shared" si="39"/>
        <v>1.3</v>
      </c>
      <c r="AO97">
        <f t="shared" si="40"/>
        <v>1.3</v>
      </c>
    </row>
    <row r="98" spans="1:41" x14ac:dyDescent="0.25">
      <c r="A98" s="1">
        <v>12</v>
      </c>
      <c r="B98" t="s">
        <v>143</v>
      </c>
      <c r="C98" t="s">
        <v>144</v>
      </c>
      <c r="D98" s="18" t="s">
        <v>117</v>
      </c>
      <c r="E98" t="s">
        <v>90</v>
      </c>
      <c r="F98" t="s">
        <v>145</v>
      </c>
      <c r="G98" t="s">
        <v>41</v>
      </c>
      <c r="H98" t="s">
        <v>160</v>
      </c>
      <c r="I98" t="s">
        <v>148</v>
      </c>
      <c r="J98">
        <v>1</v>
      </c>
      <c r="K98" t="s">
        <v>244</v>
      </c>
      <c r="L98">
        <v>6</v>
      </c>
      <c r="M98" s="18" t="s">
        <v>146</v>
      </c>
      <c r="N98" t="s">
        <v>47</v>
      </c>
      <c r="O98" t="s">
        <v>149</v>
      </c>
      <c r="P98">
        <v>20</v>
      </c>
      <c r="Q98" t="s">
        <v>51</v>
      </c>
      <c r="R98" t="s">
        <v>47</v>
      </c>
      <c r="S98" t="s">
        <v>47</v>
      </c>
      <c r="T98" t="s">
        <v>47</v>
      </c>
      <c r="U98" t="s">
        <v>47</v>
      </c>
      <c r="V98" t="s">
        <v>47</v>
      </c>
      <c r="W98">
        <v>49.2</v>
      </c>
      <c r="X98" s="10" t="s">
        <v>150</v>
      </c>
      <c r="Y98" s="10" t="s">
        <v>61</v>
      </c>
      <c r="Z98">
        <f>50.8-49.2</f>
        <v>1.5999999999999943</v>
      </c>
      <c r="AA98" t="s">
        <v>62</v>
      </c>
      <c r="AB98">
        <f t="shared" si="41"/>
        <v>0.65319726474217854</v>
      </c>
      <c r="AC98">
        <f t="shared" si="47"/>
        <v>47.600000000000009</v>
      </c>
      <c r="AD98">
        <f t="shared" si="48"/>
        <v>50.8</v>
      </c>
      <c r="AE98" t="s">
        <v>62</v>
      </c>
      <c r="AF98">
        <f t="shared" si="44"/>
        <v>48.546802735257828</v>
      </c>
      <c r="AG98">
        <f t="shared" si="45"/>
        <v>49.853197264742178</v>
      </c>
      <c r="AH98">
        <v>1</v>
      </c>
      <c r="AI98" s="10" t="s">
        <v>150</v>
      </c>
      <c r="AJ98">
        <f t="shared" si="46"/>
        <v>49.2</v>
      </c>
      <c r="AK98" t="s">
        <v>63</v>
      </c>
      <c r="AL98">
        <f t="shared" si="37"/>
        <v>47.600000000000009</v>
      </c>
      <c r="AM98">
        <f t="shared" si="38"/>
        <v>50.8</v>
      </c>
      <c r="AN98">
        <f t="shared" si="39"/>
        <v>48.546802735257828</v>
      </c>
      <c r="AO98">
        <f t="shared" si="40"/>
        <v>49.853197264742178</v>
      </c>
    </row>
    <row r="99" spans="1:41" x14ac:dyDescent="0.25">
      <c r="A99" s="1">
        <v>12</v>
      </c>
      <c r="B99" t="s">
        <v>143</v>
      </c>
      <c r="C99" t="s">
        <v>144</v>
      </c>
      <c r="D99" s="18" t="s">
        <v>117</v>
      </c>
      <c r="E99" t="s">
        <v>90</v>
      </c>
      <c r="F99" t="s">
        <v>145</v>
      </c>
      <c r="G99" t="s">
        <v>41</v>
      </c>
      <c r="H99" t="s">
        <v>160</v>
      </c>
      <c r="I99" t="s">
        <v>151</v>
      </c>
      <c r="J99">
        <v>2</v>
      </c>
      <c r="K99" t="s">
        <v>244</v>
      </c>
      <c r="L99">
        <v>6</v>
      </c>
      <c r="M99" s="18" t="s">
        <v>146</v>
      </c>
      <c r="N99" t="s">
        <v>47</v>
      </c>
      <c r="O99" t="s">
        <v>149</v>
      </c>
      <c r="P99">
        <v>20</v>
      </c>
      <c r="Q99" t="s">
        <v>51</v>
      </c>
      <c r="R99" t="s">
        <v>47</v>
      </c>
      <c r="S99" t="s">
        <v>47</v>
      </c>
      <c r="T99" t="s">
        <v>47</v>
      </c>
      <c r="U99" t="s">
        <v>47</v>
      </c>
      <c r="V99" t="s">
        <v>47</v>
      </c>
      <c r="W99">
        <v>56</v>
      </c>
      <c r="X99" s="10" t="s">
        <v>150</v>
      </c>
      <c r="Y99" s="10" t="s">
        <v>61</v>
      </c>
      <c r="Z99">
        <f>57.2-56</f>
        <v>1.2000000000000028</v>
      </c>
      <c r="AA99" t="s">
        <v>62</v>
      </c>
      <c r="AB99">
        <f t="shared" si="41"/>
        <v>0.48989794855663682</v>
      </c>
      <c r="AC99">
        <f t="shared" si="47"/>
        <v>54.8</v>
      </c>
      <c r="AD99">
        <f t="shared" si="48"/>
        <v>57.2</v>
      </c>
      <c r="AE99" t="s">
        <v>62</v>
      </c>
      <c r="AF99">
        <f t="shared" si="44"/>
        <v>55.510102051443361</v>
      </c>
      <c r="AG99">
        <f t="shared" si="45"/>
        <v>56.489897948556639</v>
      </c>
      <c r="AH99">
        <v>1</v>
      </c>
      <c r="AI99" s="10" t="s">
        <v>150</v>
      </c>
      <c r="AJ99">
        <f t="shared" si="46"/>
        <v>56</v>
      </c>
      <c r="AK99" t="s">
        <v>63</v>
      </c>
      <c r="AL99">
        <f t="shared" si="37"/>
        <v>54.8</v>
      </c>
      <c r="AM99">
        <f t="shared" si="38"/>
        <v>57.2</v>
      </c>
      <c r="AN99">
        <f t="shared" si="39"/>
        <v>55.510102051443361</v>
      </c>
      <c r="AO99">
        <f t="shared" si="40"/>
        <v>56.489897948556639</v>
      </c>
    </row>
    <row r="100" spans="1:41" x14ac:dyDescent="0.25">
      <c r="A100" s="1">
        <v>12</v>
      </c>
      <c r="B100" t="s">
        <v>143</v>
      </c>
      <c r="C100" t="s">
        <v>144</v>
      </c>
      <c r="D100" s="18" t="s">
        <v>117</v>
      </c>
      <c r="E100" t="s">
        <v>90</v>
      </c>
      <c r="F100" t="s">
        <v>145</v>
      </c>
      <c r="G100" t="s">
        <v>41</v>
      </c>
      <c r="H100" t="s">
        <v>160</v>
      </c>
      <c r="I100" t="s">
        <v>152</v>
      </c>
      <c r="J100">
        <v>3</v>
      </c>
      <c r="K100" t="s">
        <v>244</v>
      </c>
      <c r="L100">
        <v>6</v>
      </c>
      <c r="M100" s="18" t="s">
        <v>146</v>
      </c>
      <c r="N100" t="s">
        <v>47</v>
      </c>
      <c r="O100" t="s">
        <v>149</v>
      </c>
      <c r="P100">
        <v>20</v>
      </c>
      <c r="Q100" t="s">
        <v>51</v>
      </c>
      <c r="R100" t="s">
        <v>47</v>
      </c>
      <c r="S100" t="s">
        <v>47</v>
      </c>
      <c r="T100" t="s">
        <v>47</v>
      </c>
      <c r="U100" t="s">
        <v>47</v>
      </c>
      <c r="V100" t="s">
        <v>47</v>
      </c>
      <c r="W100">
        <v>61.6</v>
      </c>
      <c r="X100" s="10" t="s">
        <v>150</v>
      </c>
      <c r="Y100" s="10" t="s">
        <v>61</v>
      </c>
      <c r="Z100">
        <f>61.6-61.6</f>
        <v>0</v>
      </c>
      <c r="AA100" t="s">
        <v>62</v>
      </c>
      <c r="AB100">
        <f t="shared" si="41"/>
        <v>0</v>
      </c>
      <c r="AC100">
        <f t="shared" si="47"/>
        <v>61.6</v>
      </c>
      <c r="AD100">
        <f t="shared" si="48"/>
        <v>61.6</v>
      </c>
      <c r="AE100" t="s">
        <v>62</v>
      </c>
      <c r="AF100">
        <f t="shared" si="44"/>
        <v>61.6</v>
      </c>
      <c r="AG100">
        <f t="shared" si="45"/>
        <v>61.6</v>
      </c>
      <c r="AH100">
        <v>1</v>
      </c>
      <c r="AI100" s="10" t="s">
        <v>150</v>
      </c>
      <c r="AJ100">
        <f t="shared" si="46"/>
        <v>61.6</v>
      </c>
      <c r="AK100" t="s">
        <v>63</v>
      </c>
      <c r="AL100">
        <f t="shared" si="37"/>
        <v>61.6</v>
      </c>
      <c r="AM100">
        <f t="shared" si="38"/>
        <v>61.6</v>
      </c>
      <c r="AN100">
        <f t="shared" si="39"/>
        <v>61.6</v>
      </c>
      <c r="AO100">
        <f t="shared" si="40"/>
        <v>61.6</v>
      </c>
    </row>
    <row r="101" spans="1:41" x14ac:dyDescent="0.25">
      <c r="A101" s="1">
        <v>13</v>
      </c>
      <c r="B101" t="s">
        <v>161</v>
      </c>
      <c r="C101" t="s">
        <v>162</v>
      </c>
      <c r="D101" s="18" t="s">
        <v>117</v>
      </c>
      <c r="E101" t="s">
        <v>90</v>
      </c>
      <c r="F101" t="s">
        <v>145</v>
      </c>
      <c r="G101" t="s">
        <v>64</v>
      </c>
      <c r="H101" t="s">
        <v>52</v>
      </c>
      <c r="I101" t="s">
        <v>163</v>
      </c>
      <c r="K101" t="s">
        <v>243</v>
      </c>
      <c r="L101" t="s">
        <v>59</v>
      </c>
      <c r="M101" s="18" t="s">
        <v>164</v>
      </c>
      <c r="N101" t="s">
        <v>47</v>
      </c>
      <c r="O101" t="s">
        <v>165</v>
      </c>
      <c r="P101">
        <v>12</v>
      </c>
      <c r="Q101" t="s">
        <v>51</v>
      </c>
      <c r="R101" t="s">
        <v>47</v>
      </c>
      <c r="S101" t="s">
        <v>47</v>
      </c>
      <c r="T101" t="s">
        <v>47</v>
      </c>
      <c r="U101" t="s">
        <v>47</v>
      </c>
      <c r="V101" t="s">
        <v>47</v>
      </c>
      <c r="W101">
        <v>18.23</v>
      </c>
      <c r="X101" s="11" t="s">
        <v>53</v>
      </c>
      <c r="Y101" s="10" t="s">
        <v>61</v>
      </c>
      <c r="Z101">
        <v>2.02</v>
      </c>
      <c r="AA101" t="s">
        <v>62</v>
      </c>
      <c r="AB101" t="s">
        <v>47</v>
      </c>
      <c r="AC101">
        <f t="shared" si="47"/>
        <v>16.21</v>
      </c>
      <c r="AD101">
        <f t="shared" si="48"/>
        <v>20.25</v>
      </c>
      <c r="AE101" t="s">
        <v>62</v>
      </c>
      <c r="AF101">
        <v>16.21</v>
      </c>
      <c r="AG101">
        <v>20.25</v>
      </c>
      <c r="AH101">
        <v>1</v>
      </c>
      <c r="AI101" t="s">
        <v>97</v>
      </c>
      <c r="AJ101">
        <f t="shared" si="46"/>
        <v>18.23</v>
      </c>
      <c r="AK101" t="s">
        <v>62</v>
      </c>
      <c r="AL101">
        <f t="shared" si="37"/>
        <v>16.21</v>
      </c>
      <c r="AM101">
        <f t="shared" si="38"/>
        <v>20.25</v>
      </c>
      <c r="AN101">
        <f t="shared" si="39"/>
        <v>16.21</v>
      </c>
      <c r="AO101">
        <f t="shared" si="40"/>
        <v>20.25</v>
      </c>
    </row>
    <row r="102" spans="1:41" x14ac:dyDescent="0.25">
      <c r="A102" s="1">
        <v>13</v>
      </c>
      <c r="B102" t="s">
        <v>161</v>
      </c>
      <c r="C102" t="s">
        <v>162</v>
      </c>
      <c r="D102" s="18" t="s">
        <v>117</v>
      </c>
      <c r="E102" t="s">
        <v>90</v>
      </c>
      <c r="F102" t="s">
        <v>145</v>
      </c>
      <c r="G102" t="s">
        <v>166</v>
      </c>
      <c r="H102" t="s">
        <v>52</v>
      </c>
      <c r="I102" t="s">
        <v>167</v>
      </c>
      <c r="K102" t="s">
        <v>243</v>
      </c>
      <c r="L102" t="s">
        <v>59</v>
      </c>
      <c r="M102" s="18" t="s">
        <v>164</v>
      </c>
      <c r="N102" t="s">
        <v>47</v>
      </c>
      <c r="O102" t="s">
        <v>165</v>
      </c>
      <c r="P102">
        <v>12</v>
      </c>
      <c r="Q102" t="s">
        <v>51</v>
      </c>
      <c r="R102" t="s">
        <v>47</v>
      </c>
      <c r="S102" t="s">
        <v>47</v>
      </c>
      <c r="T102" t="s">
        <v>47</v>
      </c>
      <c r="U102" t="s">
        <v>47</v>
      </c>
      <c r="V102" t="s">
        <v>47</v>
      </c>
      <c r="W102">
        <v>16.59</v>
      </c>
      <c r="X102" s="10" t="s">
        <v>53</v>
      </c>
      <c r="Y102" s="10" t="s">
        <v>61</v>
      </c>
      <c r="Z102">
        <v>1.7</v>
      </c>
      <c r="AA102" t="s">
        <v>62</v>
      </c>
      <c r="AB102" t="s">
        <v>47</v>
      </c>
      <c r="AC102">
        <f t="shared" si="47"/>
        <v>14.89</v>
      </c>
      <c r="AD102">
        <f t="shared" si="48"/>
        <v>18.29</v>
      </c>
      <c r="AE102" t="s">
        <v>62</v>
      </c>
      <c r="AF102">
        <v>14.89</v>
      </c>
      <c r="AG102">
        <v>18.29</v>
      </c>
      <c r="AH102">
        <v>1</v>
      </c>
      <c r="AI102" t="s">
        <v>97</v>
      </c>
      <c r="AJ102">
        <f t="shared" si="46"/>
        <v>16.59</v>
      </c>
      <c r="AK102" t="s">
        <v>62</v>
      </c>
      <c r="AL102">
        <f t="shared" si="37"/>
        <v>14.89</v>
      </c>
      <c r="AM102">
        <f t="shared" si="38"/>
        <v>18.29</v>
      </c>
      <c r="AN102">
        <f t="shared" si="39"/>
        <v>14.89</v>
      </c>
      <c r="AO102">
        <f t="shared" si="40"/>
        <v>18.29</v>
      </c>
    </row>
    <row r="103" spans="1:41" x14ac:dyDescent="0.25">
      <c r="A103" s="1">
        <v>13</v>
      </c>
      <c r="B103" t="s">
        <v>161</v>
      </c>
      <c r="C103" t="s">
        <v>162</v>
      </c>
      <c r="D103" s="18" t="s">
        <v>117</v>
      </c>
      <c r="E103" t="s">
        <v>90</v>
      </c>
      <c r="F103" t="s">
        <v>145</v>
      </c>
      <c r="G103" t="s">
        <v>168</v>
      </c>
      <c r="H103" t="s">
        <v>52</v>
      </c>
      <c r="I103" t="s">
        <v>169</v>
      </c>
      <c r="K103" t="s">
        <v>243</v>
      </c>
      <c r="L103" t="s">
        <v>59</v>
      </c>
      <c r="M103" s="18" t="s">
        <v>164</v>
      </c>
      <c r="N103" t="s">
        <v>47</v>
      </c>
      <c r="O103" t="s">
        <v>165</v>
      </c>
      <c r="P103">
        <v>12</v>
      </c>
      <c r="Q103" t="s">
        <v>51</v>
      </c>
      <c r="R103" t="s">
        <v>47</v>
      </c>
      <c r="S103" t="s">
        <v>47</v>
      </c>
      <c r="T103" t="s">
        <v>47</v>
      </c>
      <c r="U103" t="s">
        <v>47</v>
      </c>
      <c r="V103" t="s">
        <v>47</v>
      </c>
      <c r="W103">
        <v>17.23</v>
      </c>
      <c r="X103" s="10" t="s">
        <v>53</v>
      </c>
      <c r="Y103" s="10" t="s">
        <v>61</v>
      </c>
      <c r="Z103">
        <v>2.0299999999999998</v>
      </c>
      <c r="AA103" t="s">
        <v>62</v>
      </c>
      <c r="AB103" t="s">
        <v>47</v>
      </c>
      <c r="AC103">
        <f t="shared" si="47"/>
        <v>15.200000000000001</v>
      </c>
      <c r="AD103">
        <f t="shared" si="48"/>
        <v>19.260000000000002</v>
      </c>
      <c r="AE103" t="s">
        <v>62</v>
      </c>
      <c r="AF103">
        <v>15.200000000000001</v>
      </c>
      <c r="AG103">
        <v>19.260000000000002</v>
      </c>
      <c r="AH103">
        <v>1</v>
      </c>
      <c r="AI103" t="s">
        <v>97</v>
      </c>
      <c r="AJ103">
        <f t="shared" si="46"/>
        <v>17.23</v>
      </c>
      <c r="AK103" t="s">
        <v>62</v>
      </c>
      <c r="AL103">
        <f t="shared" si="37"/>
        <v>15.200000000000001</v>
      </c>
      <c r="AM103">
        <f t="shared" si="38"/>
        <v>19.260000000000002</v>
      </c>
      <c r="AN103">
        <f t="shared" si="39"/>
        <v>15.200000000000001</v>
      </c>
      <c r="AO103">
        <f t="shared" si="40"/>
        <v>19.260000000000002</v>
      </c>
    </row>
    <row r="104" spans="1:41" x14ac:dyDescent="0.25">
      <c r="A104" s="1">
        <v>14</v>
      </c>
      <c r="B104" t="s">
        <v>170</v>
      </c>
      <c r="C104" t="s">
        <v>171</v>
      </c>
      <c r="D104" s="18" t="s">
        <v>117</v>
      </c>
      <c r="E104" t="s">
        <v>90</v>
      </c>
      <c r="F104" t="s">
        <v>145</v>
      </c>
      <c r="G104" t="s">
        <v>64</v>
      </c>
      <c r="H104" t="s">
        <v>52</v>
      </c>
      <c r="I104" t="s">
        <v>172</v>
      </c>
      <c r="J104">
        <v>0</v>
      </c>
      <c r="K104" t="s">
        <v>242</v>
      </c>
      <c r="L104">
        <v>3</v>
      </c>
      <c r="M104" s="18" t="s">
        <v>146</v>
      </c>
      <c r="N104" t="s">
        <v>47</v>
      </c>
      <c r="O104" t="s">
        <v>173</v>
      </c>
      <c r="P104">
        <v>21</v>
      </c>
      <c r="Q104" t="s">
        <v>51</v>
      </c>
      <c r="R104" t="s">
        <v>47</v>
      </c>
      <c r="S104" t="s">
        <v>47</v>
      </c>
      <c r="T104" t="s">
        <v>47</v>
      </c>
      <c r="U104" t="s">
        <v>47</v>
      </c>
      <c r="V104" t="s">
        <v>47</v>
      </c>
      <c r="W104">
        <v>59.8</v>
      </c>
      <c r="X104" s="10" t="s">
        <v>53</v>
      </c>
      <c r="Y104" s="10" t="s">
        <v>61</v>
      </c>
      <c r="Z104">
        <f>89.7-59.8</f>
        <v>29.900000000000006</v>
      </c>
      <c r="AA104" t="s">
        <v>63</v>
      </c>
      <c r="AB104">
        <f>89.7-59.8</f>
        <v>29.900000000000006</v>
      </c>
      <c r="AC104">
        <f t="shared" si="47"/>
        <v>29.899999999999991</v>
      </c>
      <c r="AD104">
        <f t="shared" si="48"/>
        <v>89.7</v>
      </c>
      <c r="AE104" t="s">
        <v>62</v>
      </c>
      <c r="AF104">
        <f t="shared" ref="AF104:AF113" si="49">W104-AB104</f>
        <v>29.899999999999991</v>
      </c>
      <c r="AG104">
        <f t="shared" ref="AG104:AG113" si="50">W104+AB104</f>
        <v>89.7</v>
      </c>
      <c r="AH104">
        <v>1</v>
      </c>
      <c r="AI104" t="s">
        <v>97</v>
      </c>
      <c r="AJ104">
        <f t="shared" si="46"/>
        <v>59.8</v>
      </c>
      <c r="AK104" t="s">
        <v>62</v>
      </c>
      <c r="AL104">
        <f t="shared" si="37"/>
        <v>29.899999999999991</v>
      </c>
      <c r="AM104">
        <f t="shared" si="38"/>
        <v>89.7</v>
      </c>
      <c r="AN104">
        <f t="shared" si="39"/>
        <v>29.899999999999991</v>
      </c>
      <c r="AO104">
        <f t="shared" si="40"/>
        <v>89.7</v>
      </c>
    </row>
    <row r="105" spans="1:41" x14ac:dyDescent="0.25">
      <c r="A105" s="1">
        <v>14</v>
      </c>
      <c r="B105" t="s">
        <v>170</v>
      </c>
      <c r="C105" t="s">
        <v>171</v>
      </c>
      <c r="D105" s="18" t="s">
        <v>117</v>
      </c>
      <c r="E105" t="s">
        <v>90</v>
      </c>
      <c r="F105" t="s">
        <v>145</v>
      </c>
      <c r="G105" t="s">
        <v>64</v>
      </c>
      <c r="H105" t="s">
        <v>52</v>
      </c>
      <c r="I105" t="s">
        <v>172</v>
      </c>
      <c r="J105">
        <v>0</v>
      </c>
      <c r="K105" t="s">
        <v>242</v>
      </c>
      <c r="L105">
        <v>3</v>
      </c>
      <c r="M105" s="18" t="s">
        <v>146</v>
      </c>
      <c r="N105" t="s">
        <v>47</v>
      </c>
      <c r="O105" t="s">
        <v>109</v>
      </c>
      <c r="P105">
        <v>70</v>
      </c>
      <c r="Q105" t="s">
        <v>51</v>
      </c>
      <c r="R105" t="s">
        <v>47</v>
      </c>
      <c r="S105" t="s">
        <v>47</v>
      </c>
      <c r="T105" t="s">
        <v>47</v>
      </c>
      <c r="U105" t="s">
        <v>47</v>
      </c>
      <c r="V105" t="s">
        <v>47</v>
      </c>
      <c r="W105">
        <v>0</v>
      </c>
      <c r="X105" s="10" t="s">
        <v>53</v>
      </c>
      <c r="Y105" s="10" t="s">
        <v>61</v>
      </c>
      <c r="Z105">
        <v>0</v>
      </c>
      <c r="AA105" t="s">
        <v>63</v>
      </c>
      <c r="AB105">
        <v>0</v>
      </c>
      <c r="AC105">
        <f t="shared" si="47"/>
        <v>0</v>
      </c>
      <c r="AD105">
        <f t="shared" si="48"/>
        <v>0</v>
      </c>
      <c r="AE105" t="s">
        <v>62</v>
      </c>
      <c r="AF105">
        <f t="shared" si="49"/>
        <v>0</v>
      </c>
      <c r="AG105">
        <f t="shared" si="50"/>
        <v>0</v>
      </c>
      <c r="AH105">
        <v>1</v>
      </c>
      <c r="AI105" t="s">
        <v>97</v>
      </c>
      <c r="AJ105">
        <f t="shared" si="46"/>
        <v>0</v>
      </c>
      <c r="AK105" t="s">
        <v>62</v>
      </c>
      <c r="AL105">
        <f t="shared" si="37"/>
        <v>0</v>
      </c>
      <c r="AM105">
        <f t="shared" si="38"/>
        <v>0</v>
      </c>
      <c r="AN105">
        <f t="shared" si="39"/>
        <v>0</v>
      </c>
      <c r="AO105">
        <f t="shared" si="40"/>
        <v>0</v>
      </c>
    </row>
    <row r="106" spans="1:41" x14ac:dyDescent="0.25">
      <c r="A106" s="1">
        <v>14</v>
      </c>
      <c r="B106" t="s">
        <v>170</v>
      </c>
      <c r="C106" t="s">
        <v>171</v>
      </c>
      <c r="D106" s="18" t="s">
        <v>117</v>
      </c>
      <c r="E106" t="s">
        <v>90</v>
      </c>
      <c r="F106" t="s">
        <v>145</v>
      </c>
      <c r="G106" t="s">
        <v>64</v>
      </c>
      <c r="H106" t="s">
        <v>52</v>
      </c>
      <c r="I106" t="s">
        <v>148</v>
      </c>
      <c r="J106">
        <v>1</v>
      </c>
      <c r="K106" t="s">
        <v>242</v>
      </c>
      <c r="L106">
        <v>3</v>
      </c>
      <c r="M106" s="18" t="s">
        <v>146</v>
      </c>
      <c r="N106" t="s">
        <v>47</v>
      </c>
      <c r="O106" t="s">
        <v>173</v>
      </c>
      <c r="P106">
        <v>21</v>
      </c>
      <c r="Q106" t="s">
        <v>51</v>
      </c>
      <c r="R106" t="s">
        <v>47</v>
      </c>
      <c r="S106" t="s">
        <v>47</v>
      </c>
      <c r="T106" t="s">
        <v>47</v>
      </c>
      <c r="U106" t="s">
        <v>47</v>
      </c>
      <c r="V106" t="s">
        <v>47</v>
      </c>
      <c r="W106">
        <v>3290.6</v>
      </c>
      <c r="X106" s="10" t="s">
        <v>53</v>
      </c>
      <c r="Y106" s="10" t="s">
        <v>61</v>
      </c>
      <c r="Z106">
        <f>4307.7-3290.6</f>
        <v>1017.0999999999999</v>
      </c>
      <c r="AA106" t="s">
        <v>63</v>
      </c>
      <c r="AB106">
        <f>4307.7-3290.6</f>
        <v>1017.0999999999999</v>
      </c>
      <c r="AC106">
        <f t="shared" si="47"/>
        <v>2273.5</v>
      </c>
      <c r="AD106">
        <f t="shared" si="48"/>
        <v>4307.7</v>
      </c>
      <c r="AE106" t="s">
        <v>62</v>
      </c>
      <c r="AF106">
        <f t="shared" si="49"/>
        <v>2273.5</v>
      </c>
      <c r="AG106">
        <f t="shared" si="50"/>
        <v>4307.7</v>
      </c>
      <c r="AH106">
        <v>1</v>
      </c>
      <c r="AI106" t="s">
        <v>97</v>
      </c>
      <c r="AJ106">
        <f t="shared" si="46"/>
        <v>3290.6</v>
      </c>
      <c r="AK106" t="s">
        <v>62</v>
      </c>
      <c r="AL106">
        <f t="shared" si="37"/>
        <v>2273.5</v>
      </c>
      <c r="AM106">
        <f t="shared" si="38"/>
        <v>4307.7</v>
      </c>
      <c r="AN106">
        <f t="shared" si="39"/>
        <v>2273.5</v>
      </c>
      <c r="AO106">
        <f t="shared" si="40"/>
        <v>4307.7</v>
      </c>
    </row>
    <row r="107" spans="1:41" x14ac:dyDescent="0.25">
      <c r="A107" s="1">
        <v>14</v>
      </c>
      <c r="B107" t="s">
        <v>170</v>
      </c>
      <c r="C107" t="s">
        <v>171</v>
      </c>
      <c r="D107" s="18" t="s">
        <v>117</v>
      </c>
      <c r="E107" t="s">
        <v>90</v>
      </c>
      <c r="F107" t="s">
        <v>145</v>
      </c>
      <c r="G107" t="s">
        <v>64</v>
      </c>
      <c r="H107" t="s">
        <v>52</v>
      </c>
      <c r="I107" t="s">
        <v>148</v>
      </c>
      <c r="J107">
        <v>1</v>
      </c>
      <c r="K107" t="s">
        <v>242</v>
      </c>
      <c r="L107">
        <v>3</v>
      </c>
      <c r="M107" s="18" t="s">
        <v>146</v>
      </c>
      <c r="N107" t="s">
        <v>47</v>
      </c>
      <c r="O107" t="s">
        <v>109</v>
      </c>
      <c r="P107">
        <v>70</v>
      </c>
      <c r="Q107" t="s">
        <v>51</v>
      </c>
      <c r="R107" t="s">
        <v>47</v>
      </c>
      <c r="S107" t="s">
        <v>47</v>
      </c>
      <c r="T107" t="s">
        <v>47</v>
      </c>
      <c r="U107" t="s">
        <v>47</v>
      </c>
      <c r="V107" t="s">
        <v>47</v>
      </c>
      <c r="W107">
        <v>2662.4</v>
      </c>
      <c r="X107" s="10" t="s">
        <v>53</v>
      </c>
      <c r="Y107" s="10" t="s">
        <v>61</v>
      </c>
      <c r="Z107">
        <f>4367.5-2662.7</f>
        <v>1704.8000000000002</v>
      </c>
      <c r="AA107" t="s">
        <v>63</v>
      </c>
      <c r="AB107">
        <f>4367.5-2662.7</f>
        <v>1704.8000000000002</v>
      </c>
      <c r="AC107">
        <f t="shared" si="47"/>
        <v>957.59999999999991</v>
      </c>
      <c r="AD107">
        <f t="shared" si="48"/>
        <v>4367.2000000000007</v>
      </c>
      <c r="AE107" t="s">
        <v>62</v>
      </c>
      <c r="AF107">
        <f t="shared" si="49"/>
        <v>957.59999999999991</v>
      </c>
      <c r="AG107">
        <f t="shared" si="50"/>
        <v>4367.2000000000007</v>
      </c>
      <c r="AH107">
        <v>1</v>
      </c>
      <c r="AI107" t="s">
        <v>97</v>
      </c>
      <c r="AJ107">
        <f t="shared" si="46"/>
        <v>2662.4</v>
      </c>
      <c r="AK107" t="s">
        <v>62</v>
      </c>
      <c r="AL107">
        <f t="shared" si="37"/>
        <v>957.59999999999991</v>
      </c>
      <c r="AM107">
        <f t="shared" si="38"/>
        <v>4367.2000000000007</v>
      </c>
      <c r="AN107">
        <f t="shared" si="39"/>
        <v>957.59999999999991</v>
      </c>
      <c r="AO107">
        <f t="shared" si="40"/>
        <v>4367.2000000000007</v>
      </c>
    </row>
    <row r="108" spans="1:41" x14ac:dyDescent="0.25">
      <c r="A108" s="1">
        <v>14</v>
      </c>
      <c r="B108" t="s">
        <v>170</v>
      </c>
      <c r="C108" t="s">
        <v>171</v>
      </c>
      <c r="D108" s="18" t="s">
        <v>117</v>
      </c>
      <c r="E108" t="s">
        <v>90</v>
      </c>
      <c r="F108" t="s">
        <v>145</v>
      </c>
      <c r="G108" t="s">
        <v>64</v>
      </c>
      <c r="H108" t="s">
        <v>52</v>
      </c>
      <c r="I108" t="s">
        <v>174</v>
      </c>
      <c r="J108">
        <v>4</v>
      </c>
      <c r="K108" t="s">
        <v>242</v>
      </c>
      <c r="L108">
        <v>3</v>
      </c>
      <c r="M108" s="18" t="s">
        <v>146</v>
      </c>
      <c r="N108" t="s">
        <v>47</v>
      </c>
      <c r="O108" t="s">
        <v>173</v>
      </c>
      <c r="P108">
        <v>21</v>
      </c>
      <c r="Q108" t="s">
        <v>51</v>
      </c>
      <c r="R108" t="s">
        <v>47</v>
      </c>
      <c r="S108" t="s">
        <v>47</v>
      </c>
      <c r="T108" t="s">
        <v>47</v>
      </c>
      <c r="U108" t="s">
        <v>47</v>
      </c>
      <c r="V108" t="s">
        <v>47</v>
      </c>
      <c r="W108">
        <v>3081.2</v>
      </c>
      <c r="X108" s="10" t="s">
        <v>53</v>
      </c>
      <c r="Y108" s="10" t="s">
        <v>61</v>
      </c>
      <c r="Z108">
        <f>4457.3-3081.2</f>
        <v>1376.1000000000004</v>
      </c>
      <c r="AA108" t="s">
        <v>63</v>
      </c>
      <c r="AB108">
        <f>4457.3-3081.2</f>
        <v>1376.1000000000004</v>
      </c>
      <c r="AC108">
        <f t="shared" si="47"/>
        <v>1705.0999999999995</v>
      </c>
      <c r="AD108">
        <f t="shared" si="48"/>
        <v>4457.3</v>
      </c>
      <c r="AE108" t="s">
        <v>62</v>
      </c>
      <c r="AF108">
        <f t="shared" si="49"/>
        <v>1705.0999999999995</v>
      </c>
      <c r="AG108">
        <f t="shared" si="50"/>
        <v>4457.3</v>
      </c>
      <c r="AH108">
        <v>1</v>
      </c>
      <c r="AI108" t="s">
        <v>97</v>
      </c>
      <c r="AJ108">
        <f t="shared" si="46"/>
        <v>3081.2</v>
      </c>
      <c r="AK108" t="s">
        <v>62</v>
      </c>
      <c r="AL108">
        <f t="shared" si="37"/>
        <v>1705.0999999999995</v>
      </c>
      <c r="AM108">
        <f t="shared" si="38"/>
        <v>4457.3</v>
      </c>
      <c r="AN108">
        <f t="shared" si="39"/>
        <v>1705.0999999999995</v>
      </c>
      <c r="AO108">
        <f t="shared" si="40"/>
        <v>4457.3</v>
      </c>
    </row>
    <row r="109" spans="1:41" x14ac:dyDescent="0.25">
      <c r="A109" s="1">
        <v>14</v>
      </c>
      <c r="B109" t="s">
        <v>170</v>
      </c>
      <c r="C109" t="s">
        <v>171</v>
      </c>
      <c r="D109" s="18" t="s">
        <v>117</v>
      </c>
      <c r="E109" t="s">
        <v>90</v>
      </c>
      <c r="F109" t="s">
        <v>145</v>
      </c>
      <c r="G109" t="s">
        <v>64</v>
      </c>
      <c r="H109" t="s">
        <v>52</v>
      </c>
      <c r="I109" t="s">
        <v>174</v>
      </c>
      <c r="J109">
        <v>4</v>
      </c>
      <c r="K109" t="s">
        <v>242</v>
      </c>
      <c r="L109">
        <v>3</v>
      </c>
      <c r="M109" s="18" t="s">
        <v>146</v>
      </c>
      <c r="N109" t="s">
        <v>47</v>
      </c>
      <c r="O109" t="s">
        <v>109</v>
      </c>
      <c r="P109">
        <v>70</v>
      </c>
      <c r="Q109" t="s">
        <v>51</v>
      </c>
      <c r="R109" t="s">
        <v>47</v>
      </c>
      <c r="S109" t="s">
        <v>47</v>
      </c>
      <c r="T109" t="s">
        <v>47</v>
      </c>
      <c r="U109" t="s">
        <v>47</v>
      </c>
      <c r="V109" t="s">
        <v>47</v>
      </c>
      <c r="W109">
        <v>4666.7</v>
      </c>
      <c r="X109" s="10" t="s">
        <v>53</v>
      </c>
      <c r="Y109" s="10" t="s">
        <v>61</v>
      </c>
      <c r="Z109" s="11">
        <f>6955.1-4666.7</f>
        <v>2288.4000000000005</v>
      </c>
      <c r="AA109" t="s">
        <v>63</v>
      </c>
      <c r="AB109" s="11">
        <f>6955.1-4666.7</f>
        <v>2288.4000000000005</v>
      </c>
      <c r="AC109">
        <f t="shared" si="47"/>
        <v>2378.2999999999993</v>
      </c>
      <c r="AD109">
        <f t="shared" si="48"/>
        <v>6955.1</v>
      </c>
      <c r="AE109" t="s">
        <v>62</v>
      </c>
      <c r="AF109">
        <f t="shared" si="49"/>
        <v>2378.2999999999993</v>
      </c>
      <c r="AG109">
        <f t="shared" si="50"/>
        <v>6955.1</v>
      </c>
      <c r="AH109">
        <v>1</v>
      </c>
      <c r="AI109" t="s">
        <v>97</v>
      </c>
      <c r="AJ109">
        <f t="shared" si="46"/>
        <v>4666.7</v>
      </c>
      <c r="AK109" t="s">
        <v>62</v>
      </c>
      <c r="AL109">
        <f t="shared" ref="AL109:AL140" si="51">AC109*AH109</f>
        <v>2378.2999999999993</v>
      </c>
      <c r="AM109">
        <f t="shared" ref="AM109:AM140" si="52">AD109*AH109</f>
        <v>6955.1</v>
      </c>
      <c r="AN109">
        <f t="shared" ref="AN109:AN140" si="53">AF109*AH109</f>
        <v>2378.2999999999993</v>
      </c>
      <c r="AO109">
        <f t="shared" ref="AO109:AO140" si="54">AG109*AH109</f>
        <v>6955.1</v>
      </c>
    </row>
    <row r="110" spans="1:41" x14ac:dyDescent="0.25">
      <c r="A110" s="1">
        <v>14</v>
      </c>
      <c r="B110" t="s">
        <v>170</v>
      </c>
      <c r="C110" t="s">
        <v>171</v>
      </c>
      <c r="D110" s="18" t="s">
        <v>117</v>
      </c>
      <c r="E110" t="s">
        <v>90</v>
      </c>
      <c r="F110" t="s">
        <v>145</v>
      </c>
      <c r="G110" t="s">
        <v>64</v>
      </c>
      <c r="H110" t="s">
        <v>52</v>
      </c>
      <c r="I110" t="s">
        <v>175</v>
      </c>
      <c r="J110">
        <v>8</v>
      </c>
      <c r="K110" t="s">
        <v>242</v>
      </c>
      <c r="L110">
        <v>3</v>
      </c>
      <c r="M110" s="18" t="s">
        <v>146</v>
      </c>
      <c r="N110" t="s">
        <v>47</v>
      </c>
      <c r="O110" t="s">
        <v>173</v>
      </c>
      <c r="P110">
        <v>21</v>
      </c>
      <c r="Q110" t="s">
        <v>51</v>
      </c>
      <c r="R110" t="s">
        <v>47</v>
      </c>
      <c r="S110" t="s">
        <v>47</v>
      </c>
      <c r="T110" t="s">
        <v>47</v>
      </c>
      <c r="U110" t="s">
        <v>47</v>
      </c>
      <c r="V110" t="s">
        <v>47</v>
      </c>
      <c r="W110">
        <v>0</v>
      </c>
      <c r="X110" s="10" t="s">
        <v>53</v>
      </c>
      <c r="Y110" s="10" t="s">
        <v>61</v>
      </c>
      <c r="Z110">
        <v>0</v>
      </c>
      <c r="AA110" t="s">
        <v>63</v>
      </c>
      <c r="AB110">
        <v>0</v>
      </c>
      <c r="AC110">
        <f t="shared" si="47"/>
        <v>0</v>
      </c>
      <c r="AD110">
        <f t="shared" si="48"/>
        <v>0</v>
      </c>
      <c r="AE110" t="s">
        <v>62</v>
      </c>
      <c r="AF110">
        <f t="shared" si="49"/>
        <v>0</v>
      </c>
      <c r="AG110">
        <f t="shared" si="50"/>
        <v>0</v>
      </c>
      <c r="AH110">
        <v>1</v>
      </c>
      <c r="AI110" t="s">
        <v>97</v>
      </c>
      <c r="AJ110">
        <f t="shared" si="46"/>
        <v>0</v>
      </c>
      <c r="AK110" t="s">
        <v>62</v>
      </c>
      <c r="AL110">
        <f t="shared" si="51"/>
        <v>0</v>
      </c>
      <c r="AM110">
        <f t="shared" si="52"/>
        <v>0</v>
      </c>
      <c r="AN110">
        <f t="shared" si="53"/>
        <v>0</v>
      </c>
      <c r="AO110">
        <f t="shared" si="54"/>
        <v>0</v>
      </c>
    </row>
    <row r="111" spans="1:41" x14ac:dyDescent="0.25">
      <c r="A111" s="1">
        <v>14</v>
      </c>
      <c r="B111" t="s">
        <v>170</v>
      </c>
      <c r="C111" t="s">
        <v>171</v>
      </c>
      <c r="D111" s="18" t="s">
        <v>117</v>
      </c>
      <c r="E111" t="s">
        <v>90</v>
      </c>
      <c r="F111" t="s">
        <v>145</v>
      </c>
      <c r="G111" t="s">
        <v>64</v>
      </c>
      <c r="H111" t="s">
        <v>52</v>
      </c>
      <c r="I111" t="s">
        <v>175</v>
      </c>
      <c r="J111">
        <v>8</v>
      </c>
      <c r="K111" t="s">
        <v>242</v>
      </c>
      <c r="L111">
        <v>3</v>
      </c>
      <c r="M111" s="18" t="s">
        <v>146</v>
      </c>
      <c r="N111" t="s">
        <v>47</v>
      </c>
      <c r="O111" t="s">
        <v>109</v>
      </c>
      <c r="P111">
        <v>70</v>
      </c>
      <c r="Q111" t="s">
        <v>51</v>
      </c>
      <c r="R111" t="s">
        <v>47</v>
      </c>
      <c r="S111" t="s">
        <v>47</v>
      </c>
      <c r="T111" t="s">
        <v>47</v>
      </c>
      <c r="U111" t="s">
        <v>47</v>
      </c>
      <c r="V111" t="s">
        <v>47</v>
      </c>
      <c r="W111">
        <v>1675.2</v>
      </c>
      <c r="X111" s="10" t="s">
        <v>53</v>
      </c>
      <c r="Y111" s="10" t="s">
        <v>61</v>
      </c>
      <c r="Z111">
        <f>3170.9-1675.2</f>
        <v>1495.7</v>
      </c>
      <c r="AA111" t="s">
        <v>63</v>
      </c>
      <c r="AB111">
        <f>3170.9-1675.2</f>
        <v>1495.7</v>
      </c>
      <c r="AC111">
        <f t="shared" si="47"/>
        <v>179.5</v>
      </c>
      <c r="AD111">
        <f t="shared" si="48"/>
        <v>3170.9</v>
      </c>
      <c r="AE111" t="s">
        <v>62</v>
      </c>
      <c r="AF111">
        <f t="shared" si="49"/>
        <v>179.5</v>
      </c>
      <c r="AG111">
        <f t="shared" si="50"/>
        <v>3170.9</v>
      </c>
      <c r="AH111">
        <v>1</v>
      </c>
      <c r="AI111" t="s">
        <v>97</v>
      </c>
      <c r="AJ111">
        <f t="shared" si="46"/>
        <v>1675.2</v>
      </c>
      <c r="AK111" t="s">
        <v>62</v>
      </c>
      <c r="AL111">
        <f t="shared" si="51"/>
        <v>179.5</v>
      </c>
      <c r="AM111">
        <f t="shared" si="52"/>
        <v>3170.9</v>
      </c>
      <c r="AN111">
        <f t="shared" si="53"/>
        <v>179.5</v>
      </c>
      <c r="AO111">
        <f t="shared" si="54"/>
        <v>3170.9</v>
      </c>
    </row>
    <row r="112" spans="1:41" x14ac:dyDescent="0.25">
      <c r="A112" s="1">
        <v>14</v>
      </c>
      <c r="B112" t="s">
        <v>170</v>
      </c>
      <c r="C112" t="s">
        <v>171</v>
      </c>
      <c r="D112" s="18" t="s">
        <v>117</v>
      </c>
      <c r="E112" t="s">
        <v>90</v>
      </c>
      <c r="F112" t="s">
        <v>145</v>
      </c>
      <c r="G112" t="s">
        <v>64</v>
      </c>
      <c r="H112" t="s">
        <v>52</v>
      </c>
      <c r="I112" t="s">
        <v>176</v>
      </c>
      <c r="J112">
        <v>24</v>
      </c>
      <c r="K112" t="s">
        <v>242</v>
      </c>
      <c r="L112">
        <v>3</v>
      </c>
      <c r="M112" s="18" t="s">
        <v>146</v>
      </c>
      <c r="N112" t="s">
        <v>47</v>
      </c>
      <c r="O112" t="s">
        <v>173</v>
      </c>
      <c r="P112">
        <v>21</v>
      </c>
      <c r="Q112" t="s">
        <v>51</v>
      </c>
      <c r="R112" t="s">
        <v>47</v>
      </c>
      <c r="S112" t="s">
        <v>47</v>
      </c>
      <c r="T112" t="s">
        <v>47</v>
      </c>
      <c r="U112" t="s">
        <v>47</v>
      </c>
      <c r="V112" t="s">
        <v>47</v>
      </c>
      <c r="W112">
        <v>74.8</v>
      </c>
      <c r="X112" s="10" t="s">
        <v>53</v>
      </c>
      <c r="Y112" s="10" t="s">
        <v>61</v>
      </c>
      <c r="Z112">
        <f>119.7-74.8</f>
        <v>44.900000000000006</v>
      </c>
      <c r="AA112" t="s">
        <v>63</v>
      </c>
      <c r="AB112">
        <f>119.7-74.8</f>
        <v>44.900000000000006</v>
      </c>
      <c r="AC112">
        <f t="shared" si="47"/>
        <v>29.899999999999991</v>
      </c>
      <c r="AD112">
        <f t="shared" si="48"/>
        <v>119.7</v>
      </c>
      <c r="AE112" t="s">
        <v>62</v>
      </c>
      <c r="AF112">
        <f t="shared" si="49"/>
        <v>29.899999999999991</v>
      </c>
      <c r="AG112">
        <f t="shared" si="50"/>
        <v>119.7</v>
      </c>
      <c r="AH112">
        <v>1</v>
      </c>
      <c r="AI112" t="s">
        <v>97</v>
      </c>
      <c r="AJ112">
        <f t="shared" si="46"/>
        <v>74.8</v>
      </c>
      <c r="AK112" t="s">
        <v>62</v>
      </c>
      <c r="AL112">
        <f t="shared" si="51"/>
        <v>29.899999999999991</v>
      </c>
      <c r="AM112">
        <f t="shared" si="52"/>
        <v>119.7</v>
      </c>
      <c r="AN112">
        <f t="shared" si="53"/>
        <v>29.899999999999991</v>
      </c>
      <c r="AO112">
        <f t="shared" si="54"/>
        <v>119.7</v>
      </c>
    </row>
    <row r="113" spans="1:41" x14ac:dyDescent="0.25">
      <c r="A113" s="1">
        <v>14</v>
      </c>
      <c r="B113" t="s">
        <v>170</v>
      </c>
      <c r="C113" t="s">
        <v>171</v>
      </c>
      <c r="D113" s="18" t="s">
        <v>117</v>
      </c>
      <c r="E113" t="s">
        <v>90</v>
      </c>
      <c r="F113" t="s">
        <v>145</v>
      </c>
      <c r="G113" t="s">
        <v>64</v>
      </c>
      <c r="H113" t="s">
        <v>52</v>
      </c>
      <c r="I113" t="s">
        <v>176</v>
      </c>
      <c r="J113">
        <v>24</v>
      </c>
      <c r="K113" t="s">
        <v>242</v>
      </c>
      <c r="L113">
        <v>3</v>
      </c>
      <c r="M113" s="18" t="s">
        <v>146</v>
      </c>
      <c r="N113" t="s">
        <v>47</v>
      </c>
      <c r="O113" t="s">
        <v>109</v>
      </c>
      <c r="P113">
        <v>70</v>
      </c>
      <c r="Q113" t="s">
        <v>51</v>
      </c>
      <c r="R113" t="s">
        <v>47</v>
      </c>
      <c r="S113" t="s">
        <v>47</v>
      </c>
      <c r="T113" t="s">
        <v>47</v>
      </c>
      <c r="U113" t="s">
        <v>47</v>
      </c>
      <c r="V113" t="s">
        <v>47</v>
      </c>
      <c r="W113">
        <v>837.6</v>
      </c>
      <c r="X113" s="10" t="s">
        <v>53</v>
      </c>
      <c r="Y113" s="10" t="s">
        <v>61</v>
      </c>
      <c r="Z113">
        <f>972.2-837.6</f>
        <v>134.60000000000002</v>
      </c>
      <c r="AA113" t="s">
        <v>63</v>
      </c>
      <c r="AB113">
        <f>972.2-837.6</f>
        <v>134.60000000000002</v>
      </c>
      <c r="AC113">
        <f t="shared" si="47"/>
        <v>703</v>
      </c>
      <c r="AD113">
        <f t="shared" si="48"/>
        <v>972.2</v>
      </c>
      <c r="AE113" t="s">
        <v>62</v>
      </c>
      <c r="AF113">
        <f t="shared" si="49"/>
        <v>703</v>
      </c>
      <c r="AG113">
        <f t="shared" si="50"/>
        <v>972.2</v>
      </c>
      <c r="AH113">
        <v>1</v>
      </c>
      <c r="AI113" t="s">
        <v>97</v>
      </c>
      <c r="AJ113">
        <f t="shared" si="46"/>
        <v>837.6</v>
      </c>
      <c r="AK113" t="s">
        <v>62</v>
      </c>
      <c r="AL113">
        <f t="shared" si="51"/>
        <v>703</v>
      </c>
      <c r="AM113">
        <f t="shared" si="52"/>
        <v>972.2</v>
      </c>
      <c r="AN113">
        <f t="shared" si="53"/>
        <v>703</v>
      </c>
      <c r="AO113">
        <f t="shared" si="54"/>
        <v>972.2</v>
      </c>
    </row>
    <row r="114" spans="1:41" x14ac:dyDescent="0.25">
      <c r="A114" s="1">
        <v>15</v>
      </c>
      <c r="B114" t="s">
        <v>177</v>
      </c>
      <c r="C114" t="s">
        <v>178</v>
      </c>
      <c r="D114" s="18" t="s">
        <v>117</v>
      </c>
      <c r="E114" t="s">
        <v>179</v>
      </c>
      <c r="F114" t="s">
        <v>41</v>
      </c>
      <c r="G114" t="s">
        <v>41</v>
      </c>
      <c r="H114" t="s">
        <v>52</v>
      </c>
      <c r="I114" t="s">
        <v>180</v>
      </c>
      <c r="K114" t="s">
        <v>240</v>
      </c>
      <c r="L114">
        <v>36</v>
      </c>
      <c r="M114" s="18" t="s">
        <v>146</v>
      </c>
      <c r="N114" t="s">
        <v>43</v>
      </c>
      <c r="O114" t="s">
        <v>180</v>
      </c>
      <c r="P114">
        <v>0</v>
      </c>
      <c r="Q114" t="s">
        <v>45</v>
      </c>
      <c r="R114">
        <v>0</v>
      </c>
      <c r="S114">
        <v>0</v>
      </c>
      <c r="T114" t="s">
        <v>46</v>
      </c>
      <c r="U114" t="s">
        <v>47</v>
      </c>
      <c r="V114" t="s">
        <v>47</v>
      </c>
      <c r="W114">
        <v>2278</v>
      </c>
      <c r="X114" s="11" t="s">
        <v>53</v>
      </c>
      <c r="Y114" s="11" t="s">
        <v>48</v>
      </c>
      <c r="Z114" s="11" t="s">
        <v>47</v>
      </c>
      <c r="AA114" s="11" t="s">
        <v>47</v>
      </c>
      <c r="AB114" t="s">
        <v>47</v>
      </c>
      <c r="AC114">
        <v>1906.1</v>
      </c>
      <c r="AD114">
        <v>2716.3</v>
      </c>
      <c r="AE114" t="s">
        <v>78</v>
      </c>
      <c r="AF114">
        <v>1906.1</v>
      </c>
      <c r="AG114">
        <v>2716.3</v>
      </c>
      <c r="AH114">
        <v>1</v>
      </c>
      <c r="AI114" t="s">
        <v>97</v>
      </c>
      <c r="AJ114">
        <f t="shared" si="46"/>
        <v>2278</v>
      </c>
      <c r="AK114" t="s">
        <v>78</v>
      </c>
      <c r="AL114">
        <f t="shared" si="51"/>
        <v>1906.1</v>
      </c>
      <c r="AM114">
        <f t="shared" si="52"/>
        <v>2716.3</v>
      </c>
      <c r="AN114">
        <f t="shared" si="53"/>
        <v>1906.1</v>
      </c>
      <c r="AO114">
        <f t="shared" si="54"/>
        <v>2716.3</v>
      </c>
    </row>
    <row r="115" spans="1:41" x14ac:dyDescent="0.25">
      <c r="A115" s="1">
        <v>15</v>
      </c>
      <c r="B115" t="s">
        <v>177</v>
      </c>
      <c r="C115" t="s">
        <v>178</v>
      </c>
      <c r="D115" s="18" t="s">
        <v>117</v>
      </c>
      <c r="E115" t="s">
        <v>179</v>
      </c>
      <c r="F115" t="s">
        <v>41</v>
      </c>
      <c r="G115" t="s">
        <v>41</v>
      </c>
      <c r="H115" t="s">
        <v>52</v>
      </c>
      <c r="I115" t="s">
        <v>181</v>
      </c>
      <c r="K115" t="s">
        <v>240</v>
      </c>
      <c r="L115">
        <v>7</v>
      </c>
      <c r="M115" s="18" t="s">
        <v>146</v>
      </c>
      <c r="N115" t="s">
        <v>47</v>
      </c>
      <c r="O115" t="s">
        <v>181</v>
      </c>
      <c r="P115">
        <v>365</v>
      </c>
      <c r="Q115" t="s">
        <v>45</v>
      </c>
      <c r="R115">
        <v>0</v>
      </c>
      <c r="S115">
        <f>2*365</f>
        <v>730</v>
      </c>
      <c r="T115" t="s">
        <v>46</v>
      </c>
      <c r="U115" t="s">
        <v>47</v>
      </c>
      <c r="V115" t="s">
        <v>47</v>
      </c>
      <c r="W115">
        <v>1275.0999999999999</v>
      </c>
      <c r="X115" s="11" t="s">
        <v>53</v>
      </c>
      <c r="Y115" s="11" t="s">
        <v>48</v>
      </c>
      <c r="Z115" s="11" t="s">
        <v>47</v>
      </c>
      <c r="AA115" s="11" t="s">
        <v>47</v>
      </c>
      <c r="AB115" t="s">
        <v>47</v>
      </c>
      <c r="AC115">
        <v>936.4</v>
      </c>
      <c r="AD115">
        <v>1408</v>
      </c>
      <c r="AE115" t="s">
        <v>78</v>
      </c>
      <c r="AF115">
        <v>936.4</v>
      </c>
      <c r="AG115">
        <v>1408</v>
      </c>
      <c r="AH115">
        <v>1</v>
      </c>
      <c r="AI115" t="s">
        <v>97</v>
      </c>
      <c r="AJ115">
        <f t="shared" si="46"/>
        <v>1275.0999999999999</v>
      </c>
      <c r="AK115" t="s">
        <v>78</v>
      </c>
      <c r="AL115">
        <f t="shared" si="51"/>
        <v>936.4</v>
      </c>
      <c r="AM115">
        <f t="shared" si="52"/>
        <v>1408</v>
      </c>
      <c r="AN115">
        <f t="shared" si="53"/>
        <v>936.4</v>
      </c>
      <c r="AO115">
        <f t="shared" si="54"/>
        <v>1408</v>
      </c>
    </row>
    <row r="116" spans="1:41" x14ac:dyDescent="0.25">
      <c r="A116" s="1">
        <v>15</v>
      </c>
      <c r="B116" t="s">
        <v>177</v>
      </c>
      <c r="C116" t="s">
        <v>178</v>
      </c>
      <c r="D116" s="18" t="s">
        <v>117</v>
      </c>
      <c r="E116" t="s">
        <v>179</v>
      </c>
      <c r="F116" t="s">
        <v>41</v>
      </c>
      <c r="G116" t="s">
        <v>41</v>
      </c>
      <c r="H116" t="s">
        <v>52</v>
      </c>
      <c r="I116" t="s">
        <v>182</v>
      </c>
      <c r="K116" t="s">
        <v>240</v>
      </c>
      <c r="L116">
        <v>18</v>
      </c>
      <c r="M116" s="18" t="s">
        <v>146</v>
      </c>
      <c r="N116" t="s">
        <v>47</v>
      </c>
      <c r="O116" t="s">
        <v>182</v>
      </c>
      <c r="P116" t="s">
        <v>47</v>
      </c>
      <c r="Q116" t="s">
        <v>47</v>
      </c>
      <c r="R116" t="s">
        <v>47</v>
      </c>
      <c r="S116" t="s">
        <v>47</v>
      </c>
      <c r="T116" t="s">
        <v>47</v>
      </c>
      <c r="U116" t="s">
        <v>47</v>
      </c>
      <c r="V116" t="s">
        <v>47</v>
      </c>
      <c r="W116">
        <v>923.1</v>
      </c>
      <c r="X116" s="11" t="s">
        <v>53</v>
      </c>
      <c r="Y116" s="11" t="s">
        <v>48</v>
      </c>
      <c r="Z116" s="11" t="s">
        <v>47</v>
      </c>
      <c r="AA116" s="11" t="s">
        <v>47</v>
      </c>
      <c r="AB116" t="s">
        <v>47</v>
      </c>
      <c r="AC116">
        <v>664.1</v>
      </c>
      <c r="AD116">
        <v>1188.8</v>
      </c>
      <c r="AE116" t="s">
        <v>78</v>
      </c>
      <c r="AF116">
        <v>664.1</v>
      </c>
      <c r="AG116">
        <v>1188.8</v>
      </c>
      <c r="AH116">
        <v>1</v>
      </c>
      <c r="AI116" t="s">
        <v>97</v>
      </c>
      <c r="AJ116">
        <f t="shared" si="46"/>
        <v>923.1</v>
      </c>
      <c r="AK116" t="s">
        <v>78</v>
      </c>
      <c r="AL116">
        <f t="shared" si="51"/>
        <v>664.1</v>
      </c>
      <c r="AM116">
        <f t="shared" si="52"/>
        <v>1188.8</v>
      </c>
      <c r="AN116">
        <f t="shared" si="53"/>
        <v>664.1</v>
      </c>
      <c r="AO116">
        <f t="shared" si="54"/>
        <v>1188.8</v>
      </c>
    </row>
    <row r="117" spans="1:41" x14ac:dyDescent="0.25">
      <c r="A117" s="1">
        <v>15</v>
      </c>
      <c r="B117" t="s">
        <v>177</v>
      </c>
      <c r="C117" t="s">
        <v>178</v>
      </c>
      <c r="D117" s="18" t="s">
        <v>117</v>
      </c>
      <c r="E117" t="s">
        <v>179</v>
      </c>
      <c r="F117" t="s">
        <v>41</v>
      </c>
      <c r="G117" t="s">
        <v>41</v>
      </c>
      <c r="H117" t="s">
        <v>52</v>
      </c>
      <c r="I117" t="s">
        <v>183</v>
      </c>
      <c r="K117" t="s">
        <v>240</v>
      </c>
      <c r="L117">
        <v>19</v>
      </c>
      <c r="M117" s="18" t="s">
        <v>146</v>
      </c>
      <c r="N117" t="s">
        <v>47</v>
      </c>
      <c r="O117" t="s">
        <v>183</v>
      </c>
      <c r="P117" t="s">
        <v>47</v>
      </c>
      <c r="Q117" t="s">
        <v>47</v>
      </c>
      <c r="R117" t="s">
        <v>47</v>
      </c>
      <c r="S117" t="s">
        <v>47</v>
      </c>
      <c r="T117" t="s">
        <v>47</v>
      </c>
      <c r="U117" t="s">
        <v>47</v>
      </c>
      <c r="V117" t="s">
        <v>47</v>
      </c>
      <c r="W117">
        <v>743.8</v>
      </c>
      <c r="X117" s="11" t="s">
        <v>53</v>
      </c>
      <c r="Y117" s="11" t="s">
        <v>48</v>
      </c>
      <c r="Z117" s="11" t="s">
        <v>47</v>
      </c>
      <c r="AA117" s="11" t="s">
        <v>47</v>
      </c>
      <c r="AB117" t="s">
        <v>47</v>
      </c>
      <c r="AC117">
        <v>538</v>
      </c>
      <c r="AD117">
        <v>843.5</v>
      </c>
      <c r="AE117" t="s">
        <v>78</v>
      </c>
      <c r="AF117">
        <v>538</v>
      </c>
      <c r="AG117">
        <v>843.5</v>
      </c>
      <c r="AH117">
        <v>1</v>
      </c>
      <c r="AI117" t="s">
        <v>97</v>
      </c>
      <c r="AJ117">
        <f t="shared" si="46"/>
        <v>743.8</v>
      </c>
      <c r="AK117" t="s">
        <v>78</v>
      </c>
      <c r="AL117">
        <f t="shared" si="51"/>
        <v>538</v>
      </c>
      <c r="AM117">
        <f t="shared" si="52"/>
        <v>843.5</v>
      </c>
      <c r="AN117">
        <f t="shared" si="53"/>
        <v>538</v>
      </c>
      <c r="AO117">
        <f t="shared" si="54"/>
        <v>843.5</v>
      </c>
    </row>
    <row r="118" spans="1:41" x14ac:dyDescent="0.25">
      <c r="A118" s="1">
        <v>15</v>
      </c>
      <c r="B118" t="s">
        <v>177</v>
      </c>
      <c r="C118" t="s">
        <v>178</v>
      </c>
      <c r="D118" s="18" t="s">
        <v>117</v>
      </c>
      <c r="E118" t="s">
        <v>179</v>
      </c>
      <c r="F118" t="s">
        <v>41</v>
      </c>
      <c r="G118" t="s">
        <v>41</v>
      </c>
      <c r="H118" t="s">
        <v>52</v>
      </c>
      <c r="I118" t="s">
        <v>184</v>
      </c>
      <c r="K118" t="s">
        <v>240</v>
      </c>
      <c r="L118">
        <v>18</v>
      </c>
      <c r="M118" s="18" t="s">
        <v>146</v>
      </c>
      <c r="N118" t="s">
        <v>47</v>
      </c>
      <c r="O118" t="s">
        <v>184</v>
      </c>
      <c r="P118" t="s">
        <v>47</v>
      </c>
      <c r="Q118" t="s">
        <v>47</v>
      </c>
      <c r="R118" t="s">
        <v>47</v>
      </c>
      <c r="S118" t="s">
        <v>47</v>
      </c>
      <c r="T118" t="s">
        <v>47</v>
      </c>
      <c r="U118" t="s">
        <v>47</v>
      </c>
      <c r="V118" t="s">
        <v>47</v>
      </c>
      <c r="W118">
        <v>478.2</v>
      </c>
      <c r="X118" s="11" t="s">
        <v>53</v>
      </c>
      <c r="Y118" s="11" t="s">
        <v>48</v>
      </c>
      <c r="Z118" s="11" t="s">
        <v>47</v>
      </c>
      <c r="AA118" s="11" t="s">
        <v>47</v>
      </c>
      <c r="AB118" t="s">
        <v>47</v>
      </c>
      <c r="AC118">
        <v>445</v>
      </c>
      <c r="AD118">
        <v>710.6</v>
      </c>
      <c r="AE118" t="s">
        <v>78</v>
      </c>
      <c r="AF118">
        <v>445</v>
      </c>
      <c r="AG118">
        <v>710.6</v>
      </c>
      <c r="AH118">
        <v>1</v>
      </c>
      <c r="AI118" t="s">
        <v>97</v>
      </c>
      <c r="AJ118">
        <f t="shared" si="46"/>
        <v>478.2</v>
      </c>
      <c r="AK118" t="s">
        <v>78</v>
      </c>
      <c r="AL118">
        <f t="shared" si="51"/>
        <v>445</v>
      </c>
      <c r="AM118">
        <f t="shared" si="52"/>
        <v>710.6</v>
      </c>
      <c r="AN118">
        <f t="shared" si="53"/>
        <v>445</v>
      </c>
      <c r="AO118">
        <f t="shared" si="54"/>
        <v>710.6</v>
      </c>
    </row>
    <row r="119" spans="1:41" x14ac:dyDescent="0.25">
      <c r="A119" s="1">
        <v>15</v>
      </c>
      <c r="B119" t="s">
        <v>177</v>
      </c>
      <c r="C119" t="s">
        <v>178</v>
      </c>
      <c r="D119" s="18" t="s">
        <v>117</v>
      </c>
      <c r="E119" t="s">
        <v>179</v>
      </c>
      <c r="F119" t="s">
        <v>41</v>
      </c>
      <c r="G119" t="s">
        <v>41</v>
      </c>
      <c r="H119" t="s">
        <v>52</v>
      </c>
      <c r="I119" t="s">
        <v>185</v>
      </c>
      <c r="K119" t="s">
        <v>240</v>
      </c>
      <c r="L119">
        <v>19</v>
      </c>
      <c r="M119" s="18" t="s">
        <v>146</v>
      </c>
      <c r="N119" t="s">
        <v>47</v>
      </c>
      <c r="O119" t="s">
        <v>185</v>
      </c>
      <c r="P119" t="s">
        <v>47</v>
      </c>
      <c r="Q119" t="s">
        <v>47</v>
      </c>
      <c r="R119" t="s">
        <v>47</v>
      </c>
      <c r="S119" t="s">
        <v>47</v>
      </c>
      <c r="T119" t="s">
        <v>47</v>
      </c>
      <c r="U119" t="s">
        <v>47</v>
      </c>
      <c r="V119" t="s">
        <v>47</v>
      </c>
      <c r="W119">
        <v>332.1</v>
      </c>
      <c r="X119" s="11" t="s">
        <v>53</v>
      </c>
      <c r="Y119" s="11" t="s">
        <v>48</v>
      </c>
      <c r="Z119" s="11" t="s">
        <v>47</v>
      </c>
      <c r="AA119" s="11" t="s">
        <v>47</v>
      </c>
      <c r="AB119" t="s">
        <v>47</v>
      </c>
      <c r="AC119">
        <v>272.3</v>
      </c>
      <c r="AD119">
        <v>438.3</v>
      </c>
      <c r="AE119" t="s">
        <v>78</v>
      </c>
      <c r="AF119">
        <v>272.3</v>
      </c>
      <c r="AG119">
        <v>438.3</v>
      </c>
      <c r="AH119">
        <v>1</v>
      </c>
      <c r="AI119" t="s">
        <v>97</v>
      </c>
      <c r="AJ119">
        <f t="shared" si="46"/>
        <v>332.1</v>
      </c>
      <c r="AK119" t="s">
        <v>78</v>
      </c>
      <c r="AL119">
        <f t="shared" si="51"/>
        <v>272.3</v>
      </c>
      <c r="AM119">
        <f t="shared" si="52"/>
        <v>438.3</v>
      </c>
      <c r="AN119">
        <f t="shared" si="53"/>
        <v>272.3</v>
      </c>
      <c r="AO119">
        <f t="shared" si="54"/>
        <v>438.3</v>
      </c>
    </row>
    <row r="120" spans="1:41" x14ac:dyDescent="0.25">
      <c r="A120" s="1">
        <v>16</v>
      </c>
      <c r="B120" t="s">
        <v>186</v>
      </c>
      <c r="C120" t="s">
        <v>187</v>
      </c>
      <c r="D120" s="18" t="s">
        <v>117</v>
      </c>
      <c r="E120" t="s">
        <v>90</v>
      </c>
      <c r="F120" t="s">
        <v>41</v>
      </c>
      <c r="G120" t="s">
        <v>41</v>
      </c>
      <c r="H120" t="s">
        <v>52</v>
      </c>
      <c r="I120" t="s">
        <v>42</v>
      </c>
      <c r="K120" t="s">
        <v>240</v>
      </c>
      <c r="L120">
        <v>261</v>
      </c>
      <c r="M120" s="18" t="s">
        <v>58</v>
      </c>
      <c r="N120" t="s">
        <v>188</v>
      </c>
      <c r="O120" t="s">
        <v>180</v>
      </c>
      <c r="P120">
        <v>0</v>
      </c>
      <c r="Q120" t="s">
        <v>51</v>
      </c>
      <c r="R120">
        <v>0</v>
      </c>
      <c r="S120">
        <v>0</v>
      </c>
      <c r="T120" t="s">
        <v>46</v>
      </c>
      <c r="U120" t="s">
        <v>47</v>
      </c>
      <c r="V120" t="s">
        <v>47</v>
      </c>
      <c r="W120">
        <v>403.4</v>
      </c>
      <c r="X120" s="11" t="s">
        <v>53</v>
      </c>
      <c r="Y120" s="11" t="s">
        <v>48</v>
      </c>
      <c r="Z120" s="11" t="s">
        <v>47</v>
      </c>
      <c r="AA120" s="11" t="s">
        <v>47</v>
      </c>
      <c r="AB120" t="s">
        <v>47</v>
      </c>
      <c r="AC120">
        <v>321.3</v>
      </c>
      <c r="AD120">
        <v>483.9</v>
      </c>
      <c r="AE120" t="s">
        <v>78</v>
      </c>
      <c r="AF120">
        <v>321.3</v>
      </c>
      <c r="AG120">
        <v>483.9</v>
      </c>
      <c r="AH120">
        <v>1</v>
      </c>
      <c r="AI120" t="s">
        <v>97</v>
      </c>
      <c r="AJ120">
        <f t="shared" si="46"/>
        <v>403.4</v>
      </c>
      <c r="AK120" t="s">
        <v>78</v>
      </c>
      <c r="AL120">
        <f t="shared" si="51"/>
        <v>321.3</v>
      </c>
      <c r="AM120">
        <f t="shared" si="52"/>
        <v>483.9</v>
      </c>
      <c r="AN120">
        <f t="shared" si="53"/>
        <v>321.3</v>
      </c>
      <c r="AO120">
        <f t="shared" si="54"/>
        <v>483.9</v>
      </c>
    </row>
    <row r="121" spans="1:41" x14ac:dyDescent="0.25">
      <c r="A121" s="1">
        <v>16</v>
      </c>
      <c r="B121" t="s">
        <v>186</v>
      </c>
      <c r="C121" t="s">
        <v>187</v>
      </c>
      <c r="D121" s="18" t="s">
        <v>117</v>
      </c>
      <c r="E121" t="s">
        <v>90</v>
      </c>
      <c r="F121" t="s">
        <v>41</v>
      </c>
      <c r="G121" t="s">
        <v>41</v>
      </c>
      <c r="H121" t="s">
        <v>52</v>
      </c>
      <c r="I121" t="s">
        <v>189</v>
      </c>
      <c r="K121" t="s">
        <v>240</v>
      </c>
      <c r="L121">
        <v>40</v>
      </c>
      <c r="M121" s="18" t="s">
        <v>58</v>
      </c>
      <c r="N121" t="s">
        <v>188</v>
      </c>
      <c r="O121" t="s">
        <v>180</v>
      </c>
      <c r="P121">
        <v>0</v>
      </c>
      <c r="Q121" t="s">
        <v>51</v>
      </c>
      <c r="R121">
        <v>0</v>
      </c>
      <c r="S121">
        <v>0</v>
      </c>
      <c r="T121" t="s">
        <v>46</v>
      </c>
      <c r="U121" t="s">
        <v>47</v>
      </c>
      <c r="V121" t="s">
        <v>47</v>
      </c>
      <c r="W121">
        <v>388</v>
      </c>
      <c r="X121" s="11" t="s">
        <v>53</v>
      </c>
      <c r="Y121" s="11" t="s">
        <v>48</v>
      </c>
      <c r="Z121" s="11" t="s">
        <v>47</v>
      </c>
      <c r="AA121" s="11" t="s">
        <v>47</v>
      </c>
      <c r="AB121" t="s">
        <v>47</v>
      </c>
      <c r="AC121">
        <v>327.8</v>
      </c>
      <c r="AD121">
        <v>480.9</v>
      </c>
      <c r="AE121" t="s">
        <v>78</v>
      </c>
      <c r="AF121">
        <v>327.8</v>
      </c>
      <c r="AG121">
        <v>480.9</v>
      </c>
      <c r="AH121">
        <v>1</v>
      </c>
      <c r="AI121" t="s">
        <v>97</v>
      </c>
      <c r="AJ121">
        <f t="shared" si="46"/>
        <v>388</v>
      </c>
      <c r="AK121" t="s">
        <v>78</v>
      </c>
      <c r="AL121">
        <f t="shared" si="51"/>
        <v>327.8</v>
      </c>
      <c r="AM121">
        <f t="shared" si="52"/>
        <v>480.9</v>
      </c>
      <c r="AN121">
        <f t="shared" si="53"/>
        <v>327.8</v>
      </c>
      <c r="AO121">
        <f t="shared" si="54"/>
        <v>480.9</v>
      </c>
    </row>
    <row r="122" spans="1:41" x14ac:dyDescent="0.25">
      <c r="A122" s="1">
        <v>16</v>
      </c>
      <c r="B122" t="s">
        <v>186</v>
      </c>
      <c r="C122" t="s">
        <v>187</v>
      </c>
      <c r="D122" s="18" t="s">
        <v>117</v>
      </c>
      <c r="E122" t="s">
        <v>90</v>
      </c>
      <c r="F122" t="s">
        <v>41</v>
      </c>
      <c r="G122" t="s">
        <v>41</v>
      </c>
      <c r="H122" t="s">
        <v>52</v>
      </c>
      <c r="I122" t="s">
        <v>190</v>
      </c>
      <c r="K122" t="s">
        <v>240</v>
      </c>
      <c r="L122">
        <v>200</v>
      </c>
      <c r="M122" s="18" t="s">
        <v>58</v>
      </c>
      <c r="N122" t="s">
        <v>188</v>
      </c>
      <c r="O122" t="s">
        <v>180</v>
      </c>
      <c r="P122">
        <v>0</v>
      </c>
      <c r="Q122" t="s">
        <v>51</v>
      </c>
      <c r="R122">
        <v>0</v>
      </c>
      <c r="S122">
        <v>0</v>
      </c>
      <c r="T122" t="s">
        <v>46</v>
      </c>
      <c r="U122" t="s">
        <v>47</v>
      </c>
      <c r="V122" t="s">
        <v>47</v>
      </c>
      <c r="W122">
        <v>411.4</v>
      </c>
      <c r="X122" s="11" t="s">
        <v>53</v>
      </c>
      <c r="Y122" s="11" t="s">
        <v>48</v>
      </c>
      <c r="Z122" s="11" t="s">
        <v>47</v>
      </c>
      <c r="AA122" s="11" t="s">
        <v>47</v>
      </c>
      <c r="AB122" t="s">
        <v>47</v>
      </c>
      <c r="AC122">
        <v>327.5</v>
      </c>
      <c r="AD122">
        <v>491.6</v>
      </c>
      <c r="AE122" t="s">
        <v>78</v>
      </c>
      <c r="AF122">
        <v>327.5</v>
      </c>
      <c r="AG122">
        <v>491.6</v>
      </c>
      <c r="AH122">
        <v>1</v>
      </c>
      <c r="AI122" t="s">
        <v>97</v>
      </c>
      <c r="AJ122">
        <f t="shared" si="46"/>
        <v>411.4</v>
      </c>
      <c r="AK122" t="s">
        <v>78</v>
      </c>
      <c r="AL122">
        <f t="shared" si="51"/>
        <v>327.5</v>
      </c>
      <c r="AM122">
        <f t="shared" si="52"/>
        <v>491.6</v>
      </c>
      <c r="AN122">
        <f t="shared" si="53"/>
        <v>327.5</v>
      </c>
      <c r="AO122">
        <f t="shared" si="54"/>
        <v>491.6</v>
      </c>
    </row>
    <row r="123" spans="1:41" x14ac:dyDescent="0.25">
      <c r="A123" s="1">
        <v>16</v>
      </c>
      <c r="B123" t="s">
        <v>186</v>
      </c>
      <c r="C123" t="s">
        <v>187</v>
      </c>
      <c r="D123" s="18" t="s">
        <v>117</v>
      </c>
      <c r="E123" t="s">
        <v>90</v>
      </c>
      <c r="F123" t="s">
        <v>41</v>
      </c>
      <c r="G123" t="s">
        <v>41</v>
      </c>
      <c r="H123" t="s">
        <v>52</v>
      </c>
      <c r="I123" t="s">
        <v>191</v>
      </c>
      <c r="K123" t="s">
        <v>240</v>
      </c>
      <c r="L123">
        <v>21</v>
      </c>
      <c r="M123" s="18" t="s">
        <v>58</v>
      </c>
      <c r="N123" t="s">
        <v>188</v>
      </c>
      <c r="O123" t="s">
        <v>180</v>
      </c>
      <c r="P123">
        <v>0</v>
      </c>
      <c r="Q123" t="s">
        <v>51</v>
      </c>
      <c r="R123">
        <v>0</v>
      </c>
      <c r="S123">
        <v>0</v>
      </c>
      <c r="T123" t="s">
        <v>46</v>
      </c>
      <c r="U123" t="s">
        <v>47</v>
      </c>
      <c r="V123" t="s">
        <v>47</v>
      </c>
      <c r="W123">
        <v>325.39999999999998</v>
      </c>
      <c r="X123" s="11" t="s">
        <v>53</v>
      </c>
      <c r="Y123" s="11" t="s">
        <v>48</v>
      </c>
      <c r="Z123" s="11" t="s">
        <v>47</v>
      </c>
      <c r="AA123" s="11" t="s">
        <v>47</v>
      </c>
      <c r="AB123" t="s">
        <v>47</v>
      </c>
      <c r="AC123">
        <v>269.8</v>
      </c>
      <c r="AD123">
        <v>399.3</v>
      </c>
      <c r="AE123" t="s">
        <v>78</v>
      </c>
      <c r="AF123">
        <v>269.8</v>
      </c>
      <c r="AG123">
        <v>399.3</v>
      </c>
      <c r="AH123">
        <v>1</v>
      </c>
      <c r="AI123" t="s">
        <v>97</v>
      </c>
      <c r="AJ123">
        <f t="shared" si="46"/>
        <v>325.39999999999998</v>
      </c>
      <c r="AK123" t="s">
        <v>78</v>
      </c>
      <c r="AL123">
        <f t="shared" si="51"/>
        <v>269.8</v>
      </c>
      <c r="AM123">
        <f t="shared" si="52"/>
        <v>399.3</v>
      </c>
      <c r="AN123">
        <f t="shared" si="53"/>
        <v>269.8</v>
      </c>
      <c r="AO123">
        <f t="shared" si="54"/>
        <v>399.3</v>
      </c>
    </row>
    <row r="124" spans="1:41" x14ac:dyDescent="0.25">
      <c r="A124" s="1">
        <v>16</v>
      </c>
      <c r="B124" t="s">
        <v>186</v>
      </c>
      <c r="C124" t="s">
        <v>187</v>
      </c>
      <c r="D124" s="18" t="s">
        <v>117</v>
      </c>
      <c r="E124" t="s">
        <v>90</v>
      </c>
      <c r="F124" t="s">
        <v>41</v>
      </c>
      <c r="G124" t="s">
        <v>41</v>
      </c>
      <c r="H124" t="s">
        <v>52</v>
      </c>
      <c r="I124" t="s">
        <v>189</v>
      </c>
      <c r="K124" t="s">
        <v>240</v>
      </c>
      <c r="L124">
        <v>40</v>
      </c>
      <c r="M124" s="18" t="s">
        <v>58</v>
      </c>
      <c r="N124" t="s">
        <v>188</v>
      </c>
      <c r="O124" t="s">
        <v>180</v>
      </c>
      <c r="P124">
        <v>0</v>
      </c>
      <c r="Q124" t="s">
        <v>51</v>
      </c>
      <c r="R124">
        <v>0</v>
      </c>
      <c r="S124">
        <v>0</v>
      </c>
      <c r="T124" t="s">
        <v>46</v>
      </c>
      <c r="U124" t="s">
        <v>47</v>
      </c>
      <c r="V124" t="s">
        <v>47</v>
      </c>
      <c r="W124">
        <v>410</v>
      </c>
      <c r="X124" s="11" t="s">
        <v>53</v>
      </c>
      <c r="Y124" s="11" t="s">
        <v>61</v>
      </c>
      <c r="Z124">
        <v>122.7</v>
      </c>
      <c r="AA124" s="11" t="s">
        <v>62</v>
      </c>
      <c r="AB124">
        <f>Z124/SQRT(L124)</f>
        <v>19.400573445133006</v>
      </c>
      <c r="AC124">
        <f>W124-Z124</f>
        <v>287.3</v>
      </c>
      <c r="AD124">
        <f>W124+Z124</f>
        <v>532.70000000000005</v>
      </c>
      <c r="AE124" t="s">
        <v>62</v>
      </c>
      <c r="AF124">
        <f>W124-AB124</f>
        <v>390.59942655486702</v>
      </c>
      <c r="AG124">
        <f>W124+AB124</f>
        <v>429.40057344513298</v>
      </c>
      <c r="AH124">
        <v>1</v>
      </c>
      <c r="AI124" t="s">
        <v>97</v>
      </c>
      <c r="AJ124">
        <f t="shared" si="46"/>
        <v>410</v>
      </c>
      <c r="AK124" t="s">
        <v>63</v>
      </c>
      <c r="AL124">
        <f t="shared" si="51"/>
        <v>287.3</v>
      </c>
      <c r="AM124">
        <f t="shared" si="52"/>
        <v>532.70000000000005</v>
      </c>
      <c r="AN124">
        <f t="shared" si="53"/>
        <v>390.59942655486702</v>
      </c>
      <c r="AO124">
        <f t="shared" si="54"/>
        <v>429.40057344513298</v>
      </c>
    </row>
    <row r="125" spans="1:41" x14ac:dyDescent="0.25">
      <c r="A125" s="1">
        <v>16</v>
      </c>
      <c r="B125" t="s">
        <v>186</v>
      </c>
      <c r="C125" t="s">
        <v>187</v>
      </c>
      <c r="D125" s="18" t="s">
        <v>117</v>
      </c>
      <c r="E125" t="s">
        <v>90</v>
      </c>
      <c r="F125" t="s">
        <v>41</v>
      </c>
      <c r="G125" t="s">
        <v>41</v>
      </c>
      <c r="H125" t="s">
        <v>52</v>
      </c>
      <c r="I125" t="s">
        <v>190</v>
      </c>
      <c r="K125" t="s">
        <v>240</v>
      </c>
      <c r="L125">
        <v>200</v>
      </c>
      <c r="M125" s="18" t="s">
        <v>58</v>
      </c>
      <c r="N125" t="s">
        <v>188</v>
      </c>
      <c r="O125" t="s">
        <v>180</v>
      </c>
      <c r="P125">
        <v>0</v>
      </c>
      <c r="Q125" t="s">
        <v>51</v>
      </c>
      <c r="R125">
        <v>0</v>
      </c>
      <c r="S125">
        <v>0</v>
      </c>
      <c r="T125" t="s">
        <v>46</v>
      </c>
      <c r="U125" t="s">
        <v>47</v>
      </c>
      <c r="V125" t="s">
        <v>47</v>
      </c>
      <c r="W125">
        <v>425.2</v>
      </c>
      <c r="X125" s="11" t="s">
        <v>53</v>
      </c>
      <c r="Y125" s="11" t="s">
        <v>61</v>
      </c>
      <c r="Z125">
        <v>140.4</v>
      </c>
      <c r="AA125" s="11" t="s">
        <v>62</v>
      </c>
      <c r="AB125">
        <f>Z125/SQRT(L125)</f>
        <v>9.9277792078591265</v>
      </c>
      <c r="AC125">
        <f>W125-Z125</f>
        <v>284.79999999999995</v>
      </c>
      <c r="AD125">
        <f>W125+Z125</f>
        <v>565.6</v>
      </c>
      <c r="AE125" t="s">
        <v>62</v>
      </c>
      <c r="AF125">
        <f>W125-AB125</f>
        <v>415.27222079214084</v>
      </c>
      <c r="AG125">
        <f>W125+AB125</f>
        <v>435.12777920785913</v>
      </c>
      <c r="AH125">
        <v>1</v>
      </c>
      <c r="AI125" t="s">
        <v>97</v>
      </c>
      <c r="AJ125">
        <f t="shared" si="46"/>
        <v>425.2</v>
      </c>
      <c r="AK125" t="s">
        <v>63</v>
      </c>
      <c r="AL125">
        <f t="shared" si="51"/>
        <v>284.79999999999995</v>
      </c>
      <c r="AM125">
        <f t="shared" si="52"/>
        <v>565.6</v>
      </c>
      <c r="AN125">
        <f t="shared" si="53"/>
        <v>415.27222079214084</v>
      </c>
      <c r="AO125">
        <f t="shared" si="54"/>
        <v>435.12777920785913</v>
      </c>
    </row>
    <row r="126" spans="1:41" x14ac:dyDescent="0.25">
      <c r="A126" s="1">
        <v>16</v>
      </c>
      <c r="B126" t="s">
        <v>186</v>
      </c>
      <c r="C126" t="s">
        <v>187</v>
      </c>
      <c r="D126" s="18" t="s">
        <v>117</v>
      </c>
      <c r="E126" t="s">
        <v>90</v>
      </c>
      <c r="F126" t="s">
        <v>41</v>
      </c>
      <c r="G126" t="s">
        <v>41</v>
      </c>
      <c r="H126" t="s">
        <v>52</v>
      </c>
      <c r="I126" t="s">
        <v>191</v>
      </c>
      <c r="K126" t="s">
        <v>240</v>
      </c>
      <c r="L126">
        <v>21</v>
      </c>
      <c r="M126" s="18" t="s">
        <v>58</v>
      </c>
      <c r="N126" t="s">
        <v>188</v>
      </c>
      <c r="O126" t="s">
        <v>180</v>
      </c>
      <c r="P126">
        <v>0</v>
      </c>
      <c r="Q126" t="s">
        <v>51</v>
      </c>
      <c r="R126">
        <v>0</v>
      </c>
      <c r="S126">
        <v>0</v>
      </c>
      <c r="T126" t="s">
        <v>46</v>
      </c>
      <c r="U126" t="s">
        <v>47</v>
      </c>
      <c r="V126" t="s">
        <v>47</v>
      </c>
      <c r="W126">
        <v>323.5</v>
      </c>
      <c r="X126" s="11" t="s">
        <v>53</v>
      </c>
      <c r="Y126" s="11" t="s">
        <v>61</v>
      </c>
      <c r="Z126">
        <v>136.69999999999999</v>
      </c>
      <c r="AA126" s="11" t="s">
        <v>62</v>
      </c>
      <c r="AB126">
        <f>Z126/SQRT(L126)</f>
        <v>29.830385595260157</v>
      </c>
      <c r="AC126">
        <f>W126-Z126</f>
        <v>186.8</v>
      </c>
      <c r="AD126">
        <f>W126+Z126</f>
        <v>460.2</v>
      </c>
      <c r="AE126" t="s">
        <v>62</v>
      </c>
      <c r="AF126">
        <f>W126-AB126</f>
        <v>293.66961440473983</v>
      </c>
      <c r="AG126">
        <f>W126+AB126</f>
        <v>353.33038559526017</v>
      </c>
      <c r="AH126">
        <v>1</v>
      </c>
      <c r="AI126" t="s">
        <v>97</v>
      </c>
      <c r="AJ126">
        <f t="shared" si="46"/>
        <v>323.5</v>
      </c>
      <c r="AK126" t="s">
        <v>63</v>
      </c>
      <c r="AL126">
        <f t="shared" si="51"/>
        <v>186.8</v>
      </c>
      <c r="AM126">
        <f t="shared" si="52"/>
        <v>460.2</v>
      </c>
      <c r="AN126">
        <f t="shared" si="53"/>
        <v>293.66961440473983</v>
      </c>
      <c r="AO126">
        <f t="shared" si="54"/>
        <v>353.33038559526017</v>
      </c>
    </row>
    <row r="127" spans="1:41" x14ac:dyDescent="0.25">
      <c r="A127" s="1">
        <v>16</v>
      </c>
      <c r="B127" t="s">
        <v>186</v>
      </c>
      <c r="C127" t="s">
        <v>187</v>
      </c>
      <c r="D127" s="18" t="s">
        <v>117</v>
      </c>
      <c r="E127" t="s">
        <v>90</v>
      </c>
      <c r="F127" t="s">
        <v>41</v>
      </c>
      <c r="G127" t="s">
        <v>41</v>
      </c>
      <c r="H127" t="s">
        <v>52</v>
      </c>
      <c r="I127" t="s">
        <v>130</v>
      </c>
      <c r="K127" t="s">
        <v>240</v>
      </c>
      <c r="L127">
        <v>114</v>
      </c>
      <c r="M127" s="18" t="s">
        <v>58</v>
      </c>
      <c r="N127" t="s">
        <v>130</v>
      </c>
      <c r="O127" t="s">
        <v>180</v>
      </c>
      <c r="P127">
        <v>0</v>
      </c>
      <c r="Q127" t="s">
        <v>51</v>
      </c>
      <c r="R127">
        <v>0</v>
      </c>
      <c r="S127">
        <v>0</v>
      </c>
      <c r="T127" t="s">
        <v>46</v>
      </c>
      <c r="U127" t="s">
        <v>47</v>
      </c>
      <c r="V127" t="s">
        <v>47</v>
      </c>
      <c r="W127">
        <v>456.4</v>
      </c>
      <c r="X127" s="11" t="s">
        <v>53</v>
      </c>
      <c r="Y127" s="11" t="s">
        <v>48</v>
      </c>
      <c r="Z127" s="11" t="s">
        <v>47</v>
      </c>
      <c r="AA127" s="11" t="s">
        <v>47</v>
      </c>
      <c r="AB127" s="11" t="s">
        <v>47</v>
      </c>
      <c r="AC127">
        <v>362.4</v>
      </c>
      <c r="AD127">
        <v>553</v>
      </c>
      <c r="AE127" t="s">
        <v>78</v>
      </c>
      <c r="AF127">
        <v>362.4</v>
      </c>
      <c r="AG127">
        <v>553</v>
      </c>
      <c r="AH127">
        <v>1</v>
      </c>
      <c r="AI127" t="s">
        <v>97</v>
      </c>
      <c r="AJ127">
        <f t="shared" si="46"/>
        <v>456.4</v>
      </c>
      <c r="AK127" t="s">
        <v>78</v>
      </c>
      <c r="AL127">
        <f t="shared" si="51"/>
        <v>362.4</v>
      </c>
      <c r="AM127">
        <f t="shared" si="52"/>
        <v>553</v>
      </c>
      <c r="AN127">
        <f t="shared" si="53"/>
        <v>362.4</v>
      </c>
      <c r="AO127">
        <f t="shared" si="54"/>
        <v>553</v>
      </c>
    </row>
    <row r="128" spans="1:41" x14ac:dyDescent="0.25">
      <c r="A128" s="1">
        <v>16</v>
      </c>
      <c r="B128" t="s">
        <v>186</v>
      </c>
      <c r="C128" t="s">
        <v>187</v>
      </c>
      <c r="D128" s="18" t="s">
        <v>117</v>
      </c>
      <c r="E128" t="s">
        <v>90</v>
      </c>
      <c r="F128" t="s">
        <v>41</v>
      </c>
      <c r="G128" t="s">
        <v>41</v>
      </c>
      <c r="H128" t="s">
        <v>52</v>
      </c>
      <c r="I128" t="s">
        <v>180</v>
      </c>
      <c r="K128" t="s">
        <v>240</v>
      </c>
      <c r="L128">
        <v>147</v>
      </c>
      <c r="M128" s="18" t="s">
        <v>58</v>
      </c>
      <c r="N128" t="s">
        <v>43</v>
      </c>
      <c r="O128" t="s">
        <v>180</v>
      </c>
      <c r="P128">
        <v>0</v>
      </c>
      <c r="Q128" t="s">
        <v>51</v>
      </c>
      <c r="R128">
        <v>0</v>
      </c>
      <c r="S128">
        <v>0</v>
      </c>
      <c r="T128" t="s">
        <v>46</v>
      </c>
      <c r="U128" t="s">
        <v>47</v>
      </c>
      <c r="V128" t="s">
        <v>47</v>
      </c>
      <c r="W128">
        <v>362.4</v>
      </c>
      <c r="X128" s="11" t="s">
        <v>53</v>
      </c>
      <c r="Y128" s="11" t="s">
        <v>48</v>
      </c>
      <c r="Z128" s="11" t="s">
        <v>47</v>
      </c>
      <c r="AA128" s="11" t="s">
        <v>47</v>
      </c>
      <c r="AB128" s="11" t="s">
        <v>47</v>
      </c>
      <c r="AC128">
        <v>300.7</v>
      </c>
      <c r="AD128">
        <v>434.9</v>
      </c>
      <c r="AE128" t="s">
        <v>78</v>
      </c>
      <c r="AF128">
        <v>300.7</v>
      </c>
      <c r="AG128">
        <v>434.9</v>
      </c>
      <c r="AH128">
        <v>1</v>
      </c>
      <c r="AI128" t="s">
        <v>97</v>
      </c>
      <c r="AJ128">
        <f t="shared" si="46"/>
        <v>362.4</v>
      </c>
      <c r="AK128" t="s">
        <v>78</v>
      </c>
      <c r="AL128">
        <f t="shared" si="51"/>
        <v>300.7</v>
      </c>
      <c r="AM128">
        <f t="shared" si="52"/>
        <v>434.9</v>
      </c>
      <c r="AN128">
        <f t="shared" si="53"/>
        <v>300.7</v>
      </c>
      <c r="AO128">
        <f t="shared" si="54"/>
        <v>434.9</v>
      </c>
    </row>
    <row r="129" spans="1:41" x14ac:dyDescent="0.25">
      <c r="A129" s="1">
        <v>16</v>
      </c>
      <c r="B129" t="s">
        <v>186</v>
      </c>
      <c r="C129" t="s">
        <v>187</v>
      </c>
      <c r="D129" s="18" t="s">
        <v>117</v>
      </c>
      <c r="E129" t="s">
        <v>90</v>
      </c>
      <c r="F129" t="s">
        <v>41</v>
      </c>
      <c r="G129" t="s">
        <v>41</v>
      </c>
      <c r="H129" t="s">
        <v>52</v>
      </c>
      <c r="I129" t="s">
        <v>192</v>
      </c>
      <c r="K129" t="s">
        <v>240</v>
      </c>
      <c r="L129">
        <v>26</v>
      </c>
      <c r="M129" s="18" t="s">
        <v>58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47</v>
      </c>
      <c r="U129" t="s">
        <v>47</v>
      </c>
      <c r="V129" t="s">
        <v>47</v>
      </c>
      <c r="W129">
        <v>26.8</v>
      </c>
      <c r="X129" s="11" t="s">
        <v>53</v>
      </c>
      <c r="Y129" s="11" t="s">
        <v>48</v>
      </c>
      <c r="Z129" s="11" t="s">
        <v>47</v>
      </c>
      <c r="AA129" s="11" t="s">
        <v>47</v>
      </c>
      <c r="AB129" s="11" t="s">
        <v>47</v>
      </c>
      <c r="AC129">
        <v>16.100000000000001</v>
      </c>
      <c r="AD129">
        <v>53.7</v>
      </c>
      <c r="AE129" t="s">
        <v>78</v>
      </c>
      <c r="AF129">
        <v>16.100000000000001</v>
      </c>
      <c r="AG129">
        <v>53.7</v>
      </c>
      <c r="AH129">
        <v>1</v>
      </c>
      <c r="AI129" t="s">
        <v>97</v>
      </c>
      <c r="AJ129">
        <f t="shared" si="46"/>
        <v>26.8</v>
      </c>
      <c r="AK129" t="s">
        <v>78</v>
      </c>
      <c r="AL129">
        <f t="shared" si="51"/>
        <v>16.100000000000001</v>
      </c>
      <c r="AM129">
        <f t="shared" si="52"/>
        <v>53.7</v>
      </c>
      <c r="AN129">
        <f t="shared" si="53"/>
        <v>16.100000000000001</v>
      </c>
      <c r="AO129">
        <f t="shared" si="54"/>
        <v>53.7</v>
      </c>
    </row>
    <row r="130" spans="1:41" x14ac:dyDescent="0.25">
      <c r="A130" s="1">
        <v>16</v>
      </c>
      <c r="B130" t="s">
        <v>186</v>
      </c>
      <c r="C130" t="s">
        <v>187</v>
      </c>
      <c r="D130" s="18" t="s">
        <v>117</v>
      </c>
      <c r="E130" t="s">
        <v>90</v>
      </c>
      <c r="F130" t="s">
        <v>41</v>
      </c>
      <c r="G130" t="s">
        <v>41</v>
      </c>
      <c r="H130" t="s">
        <v>52</v>
      </c>
      <c r="I130" t="s">
        <v>193</v>
      </c>
      <c r="K130" t="s">
        <v>240</v>
      </c>
      <c r="L130">
        <v>11</v>
      </c>
      <c r="M130" s="18" t="s">
        <v>58</v>
      </c>
      <c r="N130" t="s">
        <v>130</v>
      </c>
      <c r="O130" t="s">
        <v>180</v>
      </c>
      <c r="P130">
        <v>0</v>
      </c>
      <c r="Q130" t="s">
        <v>51</v>
      </c>
      <c r="R130" t="s">
        <v>47</v>
      </c>
      <c r="S130" t="s">
        <v>47</v>
      </c>
      <c r="T130" t="s">
        <v>47</v>
      </c>
      <c r="U130" t="s">
        <v>47</v>
      </c>
      <c r="V130" t="s">
        <v>47</v>
      </c>
      <c r="W130">
        <v>607.9</v>
      </c>
      <c r="X130" s="11" t="s">
        <v>53</v>
      </c>
      <c r="Y130" s="11" t="s">
        <v>48</v>
      </c>
      <c r="Z130" s="11" t="s">
        <v>47</v>
      </c>
      <c r="AA130" s="11" t="s">
        <v>47</v>
      </c>
      <c r="AB130" s="11" t="s">
        <v>47</v>
      </c>
      <c r="AC130">
        <v>568.1</v>
      </c>
      <c r="AD130">
        <v>854.1</v>
      </c>
      <c r="AE130" t="s">
        <v>78</v>
      </c>
      <c r="AF130">
        <v>568.1</v>
      </c>
      <c r="AG130">
        <v>854.1</v>
      </c>
      <c r="AH130">
        <v>1</v>
      </c>
      <c r="AI130" t="s">
        <v>97</v>
      </c>
      <c r="AJ130">
        <f t="shared" si="46"/>
        <v>607.9</v>
      </c>
      <c r="AK130" t="s">
        <v>78</v>
      </c>
      <c r="AL130">
        <f t="shared" si="51"/>
        <v>568.1</v>
      </c>
      <c r="AM130">
        <f t="shared" si="52"/>
        <v>854.1</v>
      </c>
      <c r="AN130">
        <f t="shared" si="53"/>
        <v>568.1</v>
      </c>
      <c r="AO130">
        <f t="shared" si="54"/>
        <v>854.1</v>
      </c>
    </row>
    <row r="131" spans="1:41" x14ac:dyDescent="0.25">
      <c r="A131" s="1">
        <v>16</v>
      </c>
      <c r="B131" t="s">
        <v>186</v>
      </c>
      <c r="C131" t="s">
        <v>187</v>
      </c>
      <c r="D131" s="18" t="s">
        <v>117</v>
      </c>
      <c r="E131" t="s">
        <v>90</v>
      </c>
      <c r="F131" t="s">
        <v>41</v>
      </c>
      <c r="G131" t="s">
        <v>41</v>
      </c>
      <c r="H131" t="s">
        <v>52</v>
      </c>
      <c r="I131" t="s">
        <v>194</v>
      </c>
      <c r="K131" t="s">
        <v>240</v>
      </c>
      <c r="L131">
        <v>103</v>
      </c>
      <c r="M131" s="18" t="s">
        <v>58</v>
      </c>
      <c r="N131" t="s">
        <v>130</v>
      </c>
      <c r="O131" t="s">
        <v>180</v>
      </c>
      <c r="P131">
        <v>0</v>
      </c>
      <c r="Q131" t="s">
        <v>51</v>
      </c>
      <c r="R131" t="s">
        <v>47</v>
      </c>
      <c r="S131" t="s">
        <v>47</v>
      </c>
      <c r="T131" t="s">
        <v>47</v>
      </c>
      <c r="U131" t="s">
        <v>47</v>
      </c>
      <c r="V131" t="s">
        <v>47</v>
      </c>
      <c r="W131">
        <v>445.7</v>
      </c>
      <c r="X131" s="11" t="s">
        <v>53</v>
      </c>
      <c r="Y131" s="11" t="s">
        <v>48</v>
      </c>
      <c r="Z131" s="11" t="s">
        <v>47</v>
      </c>
      <c r="AA131" s="11" t="s">
        <v>47</v>
      </c>
      <c r="AB131" s="11" t="s">
        <v>47</v>
      </c>
      <c r="AC131">
        <v>351.6</v>
      </c>
      <c r="AD131">
        <v>526.9</v>
      </c>
      <c r="AE131" t="s">
        <v>78</v>
      </c>
      <c r="AF131">
        <v>351.6</v>
      </c>
      <c r="AG131">
        <v>526.9</v>
      </c>
      <c r="AH131">
        <v>1</v>
      </c>
      <c r="AI131" t="s">
        <v>97</v>
      </c>
      <c r="AJ131">
        <f t="shared" si="46"/>
        <v>445.7</v>
      </c>
      <c r="AK131" t="s">
        <v>78</v>
      </c>
      <c r="AL131">
        <f t="shared" si="51"/>
        <v>351.6</v>
      </c>
      <c r="AM131">
        <f t="shared" si="52"/>
        <v>526.9</v>
      </c>
      <c r="AN131">
        <f t="shared" si="53"/>
        <v>351.6</v>
      </c>
      <c r="AO131">
        <f t="shared" si="54"/>
        <v>526.9</v>
      </c>
    </row>
    <row r="132" spans="1:41" x14ac:dyDescent="0.25">
      <c r="A132" s="1">
        <v>17</v>
      </c>
      <c r="B132" t="s">
        <v>195</v>
      </c>
      <c r="C132" t="s">
        <v>196</v>
      </c>
      <c r="D132" s="18" t="s">
        <v>118</v>
      </c>
      <c r="E132" t="s">
        <v>197</v>
      </c>
      <c r="F132" t="s">
        <v>41</v>
      </c>
      <c r="G132" t="s">
        <v>41</v>
      </c>
      <c r="H132" t="s">
        <v>52</v>
      </c>
      <c r="I132" t="s">
        <v>210</v>
      </c>
      <c r="K132" t="s">
        <v>240</v>
      </c>
      <c r="L132">
        <v>80</v>
      </c>
      <c r="M132" s="18" t="s">
        <v>58</v>
      </c>
      <c r="N132" t="s">
        <v>59</v>
      </c>
      <c r="O132" t="s">
        <v>180</v>
      </c>
      <c r="P132">
        <v>0</v>
      </c>
      <c r="Q132" t="s">
        <v>51</v>
      </c>
      <c r="R132" t="s">
        <v>47</v>
      </c>
      <c r="S132" t="s">
        <v>47</v>
      </c>
      <c r="T132" t="s">
        <v>47</v>
      </c>
      <c r="U132" t="s">
        <v>47</v>
      </c>
      <c r="V132" t="s">
        <v>47</v>
      </c>
      <c r="W132">
        <v>74</v>
      </c>
      <c r="X132" s="11" t="s">
        <v>53</v>
      </c>
      <c r="Y132" s="11" t="s">
        <v>61</v>
      </c>
      <c r="Z132" s="11" t="s">
        <v>47</v>
      </c>
      <c r="AA132" s="11" t="s">
        <v>47</v>
      </c>
      <c r="AB132" s="11" t="s">
        <v>47</v>
      </c>
      <c r="AC132">
        <v>51.4</v>
      </c>
      <c r="AD132">
        <v>92.5</v>
      </c>
      <c r="AE132" t="s">
        <v>204</v>
      </c>
      <c r="AF132">
        <v>51.4</v>
      </c>
      <c r="AG132">
        <v>92.5</v>
      </c>
      <c r="AH132">
        <v>1</v>
      </c>
      <c r="AI132" t="s">
        <v>97</v>
      </c>
      <c r="AJ132">
        <f t="shared" si="46"/>
        <v>74</v>
      </c>
      <c r="AK132" t="s">
        <v>204</v>
      </c>
      <c r="AL132">
        <f t="shared" si="51"/>
        <v>51.4</v>
      </c>
      <c r="AM132">
        <f t="shared" si="52"/>
        <v>92.5</v>
      </c>
      <c r="AN132">
        <f t="shared" si="53"/>
        <v>51.4</v>
      </c>
      <c r="AO132">
        <f t="shared" si="54"/>
        <v>92.5</v>
      </c>
    </row>
    <row r="133" spans="1:41" x14ac:dyDescent="0.25">
      <c r="A133" s="1">
        <v>17</v>
      </c>
      <c r="B133" t="s">
        <v>195</v>
      </c>
      <c r="C133" t="s">
        <v>196</v>
      </c>
      <c r="D133" s="18" t="s">
        <v>118</v>
      </c>
      <c r="E133" t="s">
        <v>197</v>
      </c>
      <c r="F133" t="s">
        <v>41</v>
      </c>
      <c r="G133" t="s">
        <v>41</v>
      </c>
      <c r="H133" t="s">
        <v>52</v>
      </c>
      <c r="I133" t="s">
        <v>211</v>
      </c>
      <c r="K133" t="s">
        <v>240</v>
      </c>
      <c r="L133">
        <v>80</v>
      </c>
      <c r="M133" s="18" t="s">
        <v>58</v>
      </c>
      <c r="N133" t="s">
        <v>59</v>
      </c>
      <c r="O133" t="s">
        <v>198</v>
      </c>
      <c r="P133">
        <f>30*9</f>
        <v>270</v>
      </c>
      <c r="Q133" t="s">
        <v>51</v>
      </c>
      <c r="R133" t="s">
        <v>47</v>
      </c>
      <c r="S133" t="s">
        <v>47</v>
      </c>
      <c r="T133" t="s">
        <v>47</v>
      </c>
      <c r="U133" t="s">
        <v>47</v>
      </c>
      <c r="V133" t="s">
        <v>47</v>
      </c>
      <c r="W133">
        <v>78.099999999999994</v>
      </c>
      <c r="X133" s="11" t="s">
        <v>53</v>
      </c>
      <c r="Y133" s="11" t="s">
        <v>61</v>
      </c>
      <c r="Z133" s="11" t="s">
        <v>47</v>
      </c>
      <c r="AA133" s="11" t="s">
        <v>47</v>
      </c>
      <c r="AB133" s="11" t="s">
        <v>47</v>
      </c>
      <c r="AC133">
        <v>63.7</v>
      </c>
      <c r="AD133">
        <v>92.5</v>
      </c>
      <c r="AE133" t="s">
        <v>204</v>
      </c>
      <c r="AF133">
        <v>63.7</v>
      </c>
      <c r="AG133">
        <v>92.5</v>
      </c>
      <c r="AH133">
        <v>1</v>
      </c>
      <c r="AI133" t="s">
        <v>97</v>
      </c>
      <c r="AJ133">
        <f t="shared" si="46"/>
        <v>78.099999999999994</v>
      </c>
      <c r="AK133" t="s">
        <v>204</v>
      </c>
      <c r="AL133">
        <f t="shared" si="51"/>
        <v>63.7</v>
      </c>
      <c r="AM133">
        <f t="shared" si="52"/>
        <v>92.5</v>
      </c>
      <c r="AN133">
        <f t="shared" si="53"/>
        <v>63.7</v>
      </c>
      <c r="AO133">
        <f t="shared" si="54"/>
        <v>92.5</v>
      </c>
    </row>
    <row r="134" spans="1:41" x14ac:dyDescent="0.25">
      <c r="A134" s="1">
        <v>17</v>
      </c>
      <c r="B134" t="s">
        <v>195</v>
      </c>
      <c r="C134" t="s">
        <v>196</v>
      </c>
      <c r="D134" s="18" t="s">
        <v>118</v>
      </c>
      <c r="E134" t="s">
        <v>197</v>
      </c>
      <c r="F134" t="s">
        <v>41</v>
      </c>
      <c r="G134" t="s">
        <v>41</v>
      </c>
      <c r="H134" t="s">
        <v>52</v>
      </c>
      <c r="I134" t="s">
        <v>180</v>
      </c>
      <c r="K134" t="s">
        <v>240</v>
      </c>
      <c r="L134">
        <v>80</v>
      </c>
      <c r="M134" s="18" t="s">
        <v>58</v>
      </c>
      <c r="N134" t="s">
        <v>59</v>
      </c>
      <c r="O134" t="s">
        <v>180</v>
      </c>
      <c r="P134">
        <v>0</v>
      </c>
      <c r="Q134" t="s">
        <v>51</v>
      </c>
      <c r="R134" t="s">
        <v>47</v>
      </c>
      <c r="S134" t="s">
        <v>47</v>
      </c>
      <c r="T134" t="s">
        <v>47</v>
      </c>
      <c r="U134" t="s">
        <v>47</v>
      </c>
      <c r="V134" t="s">
        <v>47</v>
      </c>
      <c r="W134">
        <v>326.5</v>
      </c>
      <c r="X134" s="11" t="s">
        <v>53</v>
      </c>
      <c r="Y134" s="11" t="s">
        <v>61</v>
      </c>
      <c r="Z134" s="11" t="s">
        <v>47</v>
      </c>
      <c r="AA134" s="11" t="s">
        <v>47</v>
      </c>
      <c r="AB134" s="11" t="s">
        <v>47</v>
      </c>
      <c r="AC134">
        <v>285.7</v>
      </c>
      <c r="AD134">
        <v>367.3</v>
      </c>
      <c r="AE134" t="s">
        <v>204</v>
      </c>
      <c r="AF134">
        <v>285.7</v>
      </c>
      <c r="AG134">
        <v>367.3</v>
      </c>
      <c r="AH134">
        <v>1</v>
      </c>
      <c r="AI134" t="s">
        <v>97</v>
      </c>
      <c r="AJ134">
        <f t="shared" si="46"/>
        <v>326.5</v>
      </c>
      <c r="AK134" t="s">
        <v>204</v>
      </c>
      <c r="AL134">
        <f t="shared" si="51"/>
        <v>285.7</v>
      </c>
      <c r="AM134">
        <f t="shared" si="52"/>
        <v>367.3</v>
      </c>
      <c r="AN134">
        <f t="shared" si="53"/>
        <v>285.7</v>
      </c>
      <c r="AO134">
        <f t="shared" si="54"/>
        <v>367.3</v>
      </c>
    </row>
    <row r="135" spans="1:41" x14ac:dyDescent="0.25">
      <c r="A135" s="1">
        <v>17</v>
      </c>
      <c r="B135" t="s">
        <v>195</v>
      </c>
      <c r="C135" t="s">
        <v>196</v>
      </c>
      <c r="D135" s="18" t="s">
        <v>118</v>
      </c>
      <c r="E135" t="s">
        <v>197</v>
      </c>
      <c r="F135" t="s">
        <v>41</v>
      </c>
      <c r="G135" t="s">
        <v>41</v>
      </c>
      <c r="H135" t="s">
        <v>52</v>
      </c>
      <c r="I135" t="s">
        <v>199</v>
      </c>
      <c r="K135" t="s">
        <v>240</v>
      </c>
      <c r="L135">
        <v>80</v>
      </c>
      <c r="M135" s="18" t="s">
        <v>58</v>
      </c>
      <c r="N135" t="s">
        <v>59</v>
      </c>
      <c r="O135" t="s">
        <v>199</v>
      </c>
      <c r="P135">
        <f>30*2.5</f>
        <v>75</v>
      </c>
      <c r="Q135" t="s">
        <v>51</v>
      </c>
      <c r="R135" t="s">
        <v>47</v>
      </c>
      <c r="S135" t="s">
        <v>47</v>
      </c>
      <c r="T135" t="s">
        <v>47</v>
      </c>
      <c r="U135" t="s">
        <v>47</v>
      </c>
      <c r="V135" t="s">
        <v>47</v>
      </c>
      <c r="W135">
        <v>428.6</v>
      </c>
      <c r="X135" s="11" t="s">
        <v>53</v>
      </c>
      <c r="Y135" s="11" t="s">
        <v>61</v>
      </c>
      <c r="Z135" s="11" t="s">
        <v>47</v>
      </c>
      <c r="AA135" s="11" t="s">
        <v>47</v>
      </c>
      <c r="AB135" s="11" t="s">
        <v>47</v>
      </c>
      <c r="AC135">
        <v>367.3</v>
      </c>
      <c r="AD135">
        <v>489.8</v>
      </c>
      <c r="AE135" t="s">
        <v>204</v>
      </c>
      <c r="AF135">
        <v>367.3</v>
      </c>
      <c r="AG135">
        <v>489.8</v>
      </c>
      <c r="AH135">
        <v>1</v>
      </c>
      <c r="AI135" t="s">
        <v>97</v>
      </c>
      <c r="AJ135">
        <f t="shared" si="46"/>
        <v>428.6</v>
      </c>
      <c r="AK135" t="s">
        <v>204</v>
      </c>
      <c r="AL135">
        <f t="shared" si="51"/>
        <v>367.3</v>
      </c>
      <c r="AM135">
        <f t="shared" si="52"/>
        <v>489.8</v>
      </c>
      <c r="AN135">
        <f t="shared" si="53"/>
        <v>367.3</v>
      </c>
      <c r="AO135">
        <f t="shared" si="54"/>
        <v>489.8</v>
      </c>
    </row>
    <row r="136" spans="1:41" x14ac:dyDescent="0.25">
      <c r="A136" s="1">
        <v>17</v>
      </c>
      <c r="B136" t="s">
        <v>195</v>
      </c>
      <c r="C136" t="s">
        <v>196</v>
      </c>
      <c r="D136" s="18" t="s">
        <v>118</v>
      </c>
      <c r="E136" t="s">
        <v>197</v>
      </c>
      <c r="F136" t="s">
        <v>41</v>
      </c>
      <c r="G136" t="s">
        <v>41</v>
      </c>
      <c r="H136" t="s">
        <v>52</v>
      </c>
      <c r="I136" t="s">
        <v>101</v>
      </c>
      <c r="K136" t="s">
        <v>240</v>
      </c>
      <c r="L136">
        <v>80</v>
      </c>
      <c r="M136" s="18" t="s">
        <v>58</v>
      </c>
      <c r="N136" t="s">
        <v>59</v>
      </c>
      <c r="O136" t="s">
        <v>101</v>
      </c>
      <c r="P136">
        <f>30*6</f>
        <v>180</v>
      </c>
      <c r="Q136" t="s">
        <v>51</v>
      </c>
      <c r="R136" t="s">
        <v>47</v>
      </c>
      <c r="S136" t="s">
        <v>47</v>
      </c>
      <c r="T136" t="s">
        <v>47</v>
      </c>
      <c r="U136" t="s">
        <v>47</v>
      </c>
      <c r="V136" t="s">
        <v>47</v>
      </c>
      <c r="W136">
        <v>285.7</v>
      </c>
      <c r="X136" s="11" t="s">
        <v>53</v>
      </c>
      <c r="Y136" s="11" t="s">
        <v>61</v>
      </c>
      <c r="Z136" s="11" t="s">
        <v>47</v>
      </c>
      <c r="AA136" s="11" t="s">
        <v>47</v>
      </c>
      <c r="AB136" s="11" t="s">
        <v>47</v>
      </c>
      <c r="AC136">
        <v>251.7</v>
      </c>
      <c r="AD136">
        <v>326.5</v>
      </c>
      <c r="AE136" t="s">
        <v>204</v>
      </c>
      <c r="AF136">
        <v>251.7</v>
      </c>
      <c r="AG136">
        <v>326.5</v>
      </c>
      <c r="AH136">
        <v>1</v>
      </c>
      <c r="AI136" t="s">
        <v>97</v>
      </c>
      <c r="AJ136">
        <f t="shared" si="46"/>
        <v>285.7</v>
      </c>
      <c r="AK136" t="s">
        <v>204</v>
      </c>
      <c r="AL136">
        <f t="shared" si="51"/>
        <v>251.7</v>
      </c>
      <c r="AM136">
        <f t="shared" si="52"/>
        <v>326.5</v>
      </c>
      <c r="AN136">
        <f t="shared" si="53"/>
        <v>251.7</v>
      </c>
      <c r="AO136">
        <f t="shared" si="54"/>
        <v>326.5</v>
      </c>
    </row>
    <row r="137" spans="1:41" x14ac:dyDescent="0.25">
      <c r="A137" s="1">
        <v>17</v>
      </c>
      <c r="B137" t="s">
        <v>195</v>
      </c>
      <c r="C137" t="s">
        <v>196</v>
      </c>
      <c r="D137" s="18" t="s">
        <v>118</v>
      </c>
      <c r="E137" t="s">
        <v>197</v>
      </c>
      <c r="F137" t="s">
        <v>41</v>
      </c>
      <c r="G137" t="s">
        <v>41</v>
      </c>
      <c r="H137" t="s">
        <v>52</v>
      </c>
      <c r="I137" t="s">
        <v>198</v>
      </c>
      <c r="K137" t="s">
        <v>240</v>
      </c>
      <c r="L137">
        <v>80</v>
      </c>
      <c r="M137" s="18" t="s">
        <v>58</v>
      </c>
      <c r="N137" t="s">
        <v>59</v>
      </c>
      <c r="O137" t="s">
        <v>198</v>
      </c>
      <c r="P137">
        <f>30*9</f>
        <v>270</v>
      </c>
      <c r="Q137" t="s">
        <v>51</v>
      </c>
      <c r="R137" t="s">
        <v>47</v>
      </c>
      <c r="S137" t="s">
        <v>47</v>
      </c>
      <c r="T137" t="s">
        <v>47</v>
      </c>
      <c r="U137" t="s">
        <v>47</v>
      </c>
      <c r="V137" t="s">
        <v>47</v>
      </c>
      <c r="W137">
        <v>251.7</v>
      </c>
      <c r="X137" s="11" t="s">
        <v>53</v>
      </c>
      <c r="Y137" s="11" t="s">
        <v>61</v>
      </c>
      <c r="Z137" s="11" t="s">
        <v>47</v>
      </c>
      <c r="AA137" s="11" t="s">
        <v>47</v>
      </c>
      <c r="AB137" s="11" t="s">
        <v>47</v>
      </c>
      <c r="AC137">
        <v>224.5</v>
      </c>
      <c r="AD137">
        <v>285.7</v>
      </c>
      <c r="AE137" t="s">
        <v>204</v>
      </c>
      <c r="AF137">
        <v>224.5</v>
      </c>
      <c r="AG137">
        <v>285.7</v>
      </c>
      <c r="AH137">
        <v>1</v>
      </c>
      <c r="AI137" t="s">
        <v>97</v>
      </c>
      <c r="AJ137">
        <f t="shared" si="46"/>
        <v>251.7</v>
      </c>
      <c r="AK137" t="s">
        <v>204</v>
      </c>
      <c r="AL137">
        <f t="shared" si="51"/>
        <v>224.5</v>
      </c>
      <c r="AM137">
        <f t="shared" si="52"/>
        <v>285.7</v>
      </c>
      <c r="AN137">
        <f t="shared" si="53"/>
        <v>224.5</v>
      </c>
      <c r="AO137">
        <f t="shared" si="54"/>
        <v>285.7</v>
      </c>
    </row>
    <row r="138" spans="1:41" x14ac:dyDescent="0.25">
      <c r="A138" s="1">
        <v>17</v>
      </c>
      <c r="B138" t="s">
        <v>195</v>
      </c>
      <c r="C138" t="s">
        <v>196</v>
      </c>
      <c r="D138" s="18" t="s">
        <v>117</v>
      </c>
      <c r="E138" t="s">
        <v>197</v>
      </c>
      <c r="F138" t="s">
        <v>41</v>
      </c>
      <c r="G138" t="s">
        <v>41</v>
      </c>
      <c r="H138" t="s">
        <v>52</v>
      </c>
      <c r="I138" t="s">
        <v>200</v>
      </c>
      <c r="K138" t="s">
        <v>240</v>
      </c>
      <c r="L138">
        <v>80</v>
      </c>
      <c r="M138" s="18" t="s">
        <v>58</v>
      </c>
      <c r="N138" t="s">
        <v>47</v>
      </c>
      <c r="O138" t="s">
        <v>47</v>
      </c>
      <c r="P138" t="s">
        <v>47</v>
      </c>
      <c r="Q138" t="s">
        <v>47</v>
      </c>
      <c r="R138" t="s">
        <v>47</v>
      </c>
      <c r="S138" t="s">
        <v>47</v>
      </c>
      <c r="T138" t="s">
        <v>47</v>
      </c>
      <c r="U138" t="s">
        <v>47</v>
      </c>
      <c r="V138" t="s">
        <v>47</v>
      </c>
      <c r="W138">
        <v>81.5</v>
      </c>
      <c r="X138" s="11" t="s">
        <v>53</v>
      </c>
      <c r="Y138" s="11" t="s">
        <v>48</v>
      </c>
      <c r="Z138" s="11" t="s">
        <v>47</v>
      </c>
      <c r="AA138" s="11" t="s">
        <v>47</v>
      </c>
      <c r="AB138" s="11" t="s">
        <v>47</v>
      </c>
      <c r="AC138">
        <v>25.3</v>
      </c>
      <c r="AD138">
        <v>103.6</v>
      </c>
      <c r="AE138" t="s">
        <v>78</v>
      </c>
      <c r="AF138">
        <v>25.3</v>
      </c>
      <c r="AG138">
        <v>103.6</v>
      </c>
      <c r="AH138">
        <v>1</v>
      </c>
      <c r="AI138" t="s">
        <v>97</v>
      </c>
      <c r="AJ138">
        <f t="shared" si="46"/>
        <v>81.5</v>
      </c>
      <c r="AK138" t="s">
        <v>78</v>
      </c>
      <c r="AL138">
        <f t="shared" si="51"/>
        <v>25.3</v>
      </c>
      <c r="AM138">
        <f t="shared" si="52"/>
        <v>103.6</v>
      </c>
      <c r="AN138">
        <f t="shared" si="53"/>
        <v>25.3</v>
      </c>
      <c r="AO138">
        <f t="shared" si="54"/>
        <v>103.6</v>
      </c>
    </row>
    <row r="139" spans="1:41" x14ac:dyDescent="0.25">
      <c r="A139" s="1">
        <v>17</v>
      </c>
      <c r="B139" t="s">
        <v>195</v>
      </c>
      <c r="C139" t="s">
        <v>196</v>
      </c>
      <c r="D139" s="18" t="s">
        <v>117</v>
      </c>
      <c r="E139" t="s">
        <v>197</v>
      </c>
      <c r="F139" t="s">
        <v>41</v>
      </c>
      <c r="G139" t="s">
        <v>41</v>
      </c>
      <c r="H139" t="s">
        <v>52</v>
      </c>
      <c r="I139" t="s">
        <v>201</v>
      </c>
      <c r="K139" t="s">
        <v>240</v>
      </c>
      <c r="L139">
        <v>35</v>
      </c>
      <c r="M139" s="18" t="s">
        <v>58</v>
      </c>
      <c r="N139" t="s">
        <v>47</v>
      </c>
      <c r="O139" t="s">
        <v>47</v>
      </c>
      <c r="P139" t="s">
        <v>47</v>
      </c>
      <c r="Q139" t="s">
        <v>47</v>
      </c>
      <c r="R139" t="s">
        <v>47</v>
      </c>
      <c r="S139" t="s">
        <v>47</v>
      </c>
      <c r="T139" t="s">
        <v>47</v>
      </c>
      <c r="U139" t="s">
        <v>47</v>
      </c>
      <c r="V139" t="s">
        <v>47</v>
      </c>
      <c r="W139">
        <v>72.7</v>
      </c>
      <c r="X139" s="11" t="s">
        <v>53</v>
      </c>
      <c r="Y139" s="11" t="s">
        <v>48</v>
      </c>
      <c r="Z139" s="11" t="s">
        <v>47</v>
      </c>
      <c r="AA139" s="11" t="s">
        <v>47</v>
      </c>
      <c r="AB139" s="11" t="s">
        <v>47</v>
      </c>
      <c r="AC139">
        <v>35.299999999999997</v>
      </c>
      <c r="AD139">
        <v>104.7</v>
      </c>
      <c r="AE139" t="s">
        <v>78</v>
      </c>
      <c r="AF139">
        <v>35.299999999999997</v>
      </c>
      <c r="AG139">
        <v>104.7</v>
      </c>
      <c r="AH139">
        <v>1</v>
      </c>
      <c r="AI139" t="s">
        <v>97</v>
      </c>
      <c r="AJ139">
        <f t="shared" si="46"/>
        <v>72.7</v>
      </c>
      <c r="AK139" t="s">
        <v>78</v>
      </c>
      <c r="AL139">
        <f t="shared" si="51"/>
        <v>35.299999999999997</v>
      </c>
      <c r="AM139">
        <f t="shared" si="52"/>
        <v>104.7</v>
      </c>
      <c r="AN139">
        <f t="shared" si="53"/>
        <v>35.299999999999997</v>
      </c>
      <c r="AO139">
        <f t="shared" si="54"/>
        <v>104.7</v>
      </c>
    </row>
    <row r="140" spans="1:41" x14ac:dyDescent="0.25">
      <c r="A140" s="1">
        <v>17</v>
      </c>
      <c r="B140" t="s">
        <v>195</v>
      </c>
      <c r="C140" t="s">
        <v>196</v>
      </c>
      <c r="D140" s="18" t="s">
        <v>117</v>
      </c>
      <c r="E140" t="s">
        <v>202</v>
      </c>
      <c r="F140" t="s">
        <v>41</v>
      </c>
      <c r="G140" t="s">
        <v>41</v>
      </c>
      <c r="H140" t="s">
        <v>52</v>
      </c>
      <c r="I140" t="s">
        <v>203</v>
      </c>
      <c r="K140" t="s">
        <v>240</v>
      </c>
      <c r="L140">
        <v>20</v>
      </c>
      <c r="M140" s="18" t="s">
        <v>58</v>
      </c>
      <c r="N140" t="s">
        <v>47</v>
      </c>
      <c r="O140" t="s">
        <v>47</v>
      </c>
      <c r="P140" t="s">
        <v>47</v>
      </c>
      <c r="Q140" t="s">
        <v>47</v>
      </c>
      <c r="R140" t="s">
        <v>47</v>
      </c>
      <c r="S140" t="s">
        <v>47</v>
      </c>
      <c r="T140" t="s">
        <v>47</v>
      </c>
      <c r="U140" t="s">
        <v>47</v>
      </c>
      <c r="V140" t="s">
        <v>47</v>
      </c>
      <c r="W140">
        <v>71.599999999999994</v>
      </c>
      <c r="X140" s="11" t="s">
        <v>53</v>
      </c>
      <c r="Y140" s="11" t="s">
        <v>48</v>
      </c>
      <c r="Z140" s="11" t="s">
        <v>47</v>
      </c>
      <c r="AA140" s="11" t="s">
        <v>47</v>
      </c>
      <c r="AB140" s="11" t="s">
        <v>47</v>
      </c>
      <c r="AC140">
        <v>59.5</v>
      </c>
      <c r="AD140">
        <v>105.8</v>
      </c>
      <c r="AE140" t="s">
        <v>78</v>
      </c>
      <c r="AF140">
        <v>59.5</v>
      </c>
      <c r="AG140">
        <v>105.8</v>
      </c>
      <c r="AH140">
        <v>1</v>
      </c>
      <c r="AI140" t="s">
        <v>97</v>
      </c>
      <c r="AJ140">
        <f t="shared" si="46"/>
        <v>71.599999999999994</v>
      </c>
      <c r="AK140" t="s">
        <v>78</v>
      </c>
      <c r="AL140">
        <f t="shared" si="51"/>
        <v>59.5</v>
      </c>
      <c r="AM140">
        <f t="shared" si="52"/>
        <v>105.8</v>
      </c>
      <c r="AN140">
        <f t="shared" si="53"/>
        <v>59.5</v>
      </c>
      <c r="AO140">
        <f t="shared" si="54"/>
        <v>105.8</v>
      </c>
    </row>
  </sheetData>
  <autoFilter ref="A1:AO140" xr:uid="{818BDABD-A453-46D4-BEDC-1C5B51AF268D}"/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362A-0BCB-4D02-8462-43BB45EFAF5A}">
  <dimension ref="A1:D42"/>
  <sheetViews>
    <sheetView tabSelected="1" zoomScaleNormal="100" workbookViewId="0">
      <selection activeCell="G5" sqref="G5"/>
    </sheetView>
  </sheetViews>
  <sheetFormatPr defaultRowHeight="15" x14ac:dyDescent="0.25"/>
  <cols>
    <col min="1" max="1" width="29.85546875" bestFit="1" customWidth="1"/>
    <col min="2" max="2" width="65.7109375" customWidth="1"/>
    <col min="3" max="3" width="14.42578125" bestFit="1" customWidth="1"/>
    <col min="4" max="4" width="31" bestFit="1" customWidth="1"/>
  </cols>
  <sheetData>
    <row r="1" spans="1:4" ht="31.5" x14ac:dyDescent="0.25">
      <c r="A1" s="14" t="s">
        <v>212</v>
      </c>
      <c r="B1" s="15" t="s">
        <v>213</v>
      </c>
      <c r="C1" s="14" t="s">
        <v>214</v>
      </c>
      <c r="D1" s="15" t="s">
        <v>215</v>
      </c>
    </row>
    <row r="2" spans="1:4" x14ac:dyDescent="0.25">
      <c r="A2" s="2" t="s">
        <v>0</v>
      </c>
      <c r="B2" t="s">
        <v>216</v>
      </c>
      <c r="C2" s="13" t="s">
        <v>217</v>
      </c>
      <c r="D2" s="13" t="s">
        <v>218</v>
      </c>
    </row>
    <row r="3" spans="1:4" x14ac:dyDescent="0.25">
      <c r="A3" s="2" t="s">
        <v>1</v>
      </c>
      <c r="B3" t="s">
        <v>219</v>
      </c>
      <c r="C3" t="s">
        <v>220</v>
      </c>
      <c r="D3" t="s">
        <v>221</v>
      </c>
    </row>
    <row r="4" spans="1:4" x14ac:dyDescent="0.25">
      <c r="A4" s="2" t="s">
        <v>2</v>
      </c>
      <c r="B4" s="16" t="s">
        <v>222</v>
      </c>
      <c r="C4" s="17" t="s">
        <v>223</v>
      </c>
      <c r="D4" t="s">
        <v>39</v>
      </c>
    </row>
    <row r="5" spans="1:4" x14ac:dyDescent="0.25">
      <c r="A5" s="2" t="s">
        <v>209</v>
      </c>
      <c r="B5" t="s">
        <v>224</v>
      </c>
      <c r="C5" t="s">
        <v>225</v>
      </c>
      <c r="D5" t="s">
        <v>226</v>
      </c>
    </row>
    <row r="6" spans="1:4" x14ac:dyDescent="0.25">
      <c r="A6" s="2" t="s">
        <v>3</v>
      </c>
      <c r="B6" t="s">
        <v>227</v>
      </c>
      <c r="C6" t="s">
        <v>228</v>
      </c>
      <c r="D6" t="s">
        <v>115</v>
      </c>
    </row>
    <row r="7" spans="1:4" x14ac:dyDescent="0.25">
      <c r="A7" s="2" t="s">
        <v>4</v>
      </c>
      <c r="B7" t="s">
        <v>229</v>
      </c>
      <c r="C7" t="s">
        <v>228</v>
      </c>
      <c r="D7" t="s">
        <v>230</v>
      </c>
    </row>
    <row r="8" spans="1:4" x14ac:dyDescent="0.25">
      <c r="A8" s="2" t="s">
        <v>5</v>
      </c>
      <c r="B8" t="s">
        <v>231</v>
      </c>
      <c r="C8" t="s">
        <v>228</v>
      </c>
      <c r="D8" t="s">
        <v>232</v>
      </c>
    </row>
    <row r="9" spans="1:4" x14ac:dyDescent="0.25">
      <c r="A9" s="2" t="s">
        <v>6</v>
      </c>
      <c r="B9" t="s">
        <v>233</v>
      </c>
      <c r="C9" t="s">
        <v>228</v>
      </c>
      <c r="D9" t="s">
        <v>234</v>
      </c>
    </row>
    <row r="10" spans="1:4" x14ac:dyDescent="0.25">
      <c r="A10" s="7" t="s">
        <v>7</v>
      </c>
      <c r="B10" t="s">
        <v>236</v>
      </c>
      <c r="C10" s="17" t="s">
        <v>223</v>
      </c>
      <c r="D10" t="s">
        <v>246</v>
      </c>
    </row>
    <row r="11" spans="1:4" x14ac:dyDescent="0.25">
      <c r="A11" s="7" t="s">
        <v>8</v>
      </c>
      <c r="B11" t="s">
        <v>235</v>
      </c>
      <c r="C11" s="17" t="s">
        <v>223</v>
      </c>
      <c r="D11" t="s">
        <v>247</v>
      </c>
    </row>
    <row r="12" spans="1:4" x14ac:dyDescent="0.25">
      <c r="A12" s="7" t="s">
        <v>237</v>
      </c>
      <c r="B12" t="s">
        <v>238</v>
      </c>
      <c r="C12" s="17" t="s">
        <v>223</v>
      </c>
      <c r="D12" t="s">
        <v>245</v>
      </c>
    </row>
    <row r="13" spans="1:4" x14ac:dyDescent="0.25">
      <c r="A13" s="2" t="s">
        <v>9</v>
      </c>
      <c r="B13" t="s">
        <v>248</v>
      </c>
      <c r="C13" s="17" t="s">
        <v>217</v>
      </c>
      <c r="D13" t="s">
        <v>250</v>
      </c>
    </row>
    <row r="14" spans="1:4" x14ac:dyDescent="0.25">
      <c r="A14" s="2" t="s">
        <v>10</v>
      </c>
      <c r="B14" t="s">
        <v>249</v>
      </c>
      <c r="C14" s="17" t="s">
        <v>228</v>
      </c>
      <c r="D14" t="s">
        <v>251</v>
      </c>
    </row>
    <row r="15" spans="1:4" x14ac:dyDescent="0.25">
      <c r="A15" s="2" t="s">
        <v>11</v>
      </c>
      <c r="B15" t="s">
        <v>252</v>
      </c>
      <c r="C15" s="17" t="s">
        <v>228</v>
      </c>
      <c r="D15" t="s">
        <v>253</v>
      </c>
    </row>
    <row r="16" spans="1:4" x14ac:dyDescent="0.25">
      <c r="A16" s="3" t="s">
        <v>12</v>
      </c>
      <c r="B16" t="s">
        <v>254</v>
      </c>
      <c r="C16" s="17" t="s">
        <v>220</v>
      </c>
      <c r="D16" t="s">
        <v>92</v>
      </c>
    </row>
    <row r="17" spans="1:4" x14ac:dyDescent="0.25">
      <c r="A17" s="3" t="s">
        <v>13</v>
      </c>
      <c r="B17" t="s">
        <v>256</v>
      </c>
      <c r="C17" s="17" t="s">
        <v>258</v>
      </c>
      <c r="D17" t="s">
        <v>255</v>
      </c>
    </row>
    <row r="18" spans="1:4" x14ac:dyDescent="0.25">
      <c r="A18" s="6" t="s">
        <v>14</v>
      </c>
      <c r="B18" t="s">
        <v>257</v>
      </c>
      <c r="C18" s="17" t="s">
        <v>228</v>
      </c>
      <c r="D18" t="s">
        <v>259</v>
      </c>
    </row>
    <row r="19" spans="1:4" x14ac:dyDescent="0.25">
      <c r="A19" s="3" t="s">
        <v>15</v>
      </c>
      <c r="B19" t="s">
        <v>260</v>
      </c>
      <c r="C19" s="17" t="s">
        <v>258</v>
      </c>
      <c r="D19" t="s">
        <v>268</v>
      </c>
    </row>
    <row r="20" spans="1:4" x14ac:dyDescent="0.25">
      <c r="A20" s="3" t="s">
        <v>16</v>
      </c>
      <c r="B20" t="s">
        <v>261</v>
      </c>
      <c r="C20" s="17" t="s">
        <v>258</v>
      </c>
      <c r="D20" t="s">
        <v>269</v>
      </c>
    </row>
    <row r="21" spans="1:4" x14ac:dyDescent="0.25">
      <c r="A21" s="3" t="s">
        <v>17</v>
      </c>
      <c r="B21" t="s">
        <v>262</v>
      </c>
      <c r="C21" s="17" t="s">
        <v>228</v>
      </c>
      <c r="D21" t="s">
        <v>265</v>
      </c>
    </row>
    <row r="22" spans="1:4" x14ac:dyDescent="0.25">
      <c r="A22" s="3" t="s">
        <v>18</v>
      </c>
      <c r="B22" t="s">
        <v>263</v>
      </c>
      <c r="C22" s="17" t="s">
        <v>258</v>
      </c>
      <c r="D22" t="s">
        <v>267</v>
      </c>
    </row>
    <row r="23" spans="1:4" x14ac:dyDescent="0.25">
      <c r="A23" s="3" t="s">
        <v>19</v>
      </c>
      <c r="B23" t="s">
        <v>264</v>
      </c>
      <c r="C23" t="s">
        <v>228</v>
      </c>
      <c r="D23" t="s">
        <v>266</v>
      </c>
    </row>
    <row r="24" spans="1:4" x14ac:dyDescent="0.25">
      <c r="A24" s="4" t="s">
        <v>20</v>
      </c>
      <c r="B24" t="s">
        <v>270</v>
      </c>
      <c r="C24" s="17" t="s">
        <v>258</v>
      </c>
      <c r="D24" t="s">
        <v>279</v>
      </c>
    </row>
    <row r="25" spans="1:4" x14ac:dyDescent="0.25">
      <c r="A25" s="4" t="s">
        <v>21</v>
      </c>
      <c r="B25" t="s">
        <v>271</v>
      </c>
      <c r="C25" s="17" t="s">
        <v>228</v>
      </c>
      <c r="D25" t="s">
        <v>272</v>
      </c>
    </row>
    <row r="26" spans="1:4" x14ac:dyDescent="0.25">
      <c r="A26" s="4" t="s">
        <v>22</v>
      </c>
      <c r="B26" t="s">
        <v>273</v>
      </c>
      <c r="C26" s="17" t="s">
        <v>228</v>
      </c>
      <c r="D26" t="s">
        <v>274</v>
      </c>
    </row>
    <row r="27" spans="1:4" x14ac:dyDescent="0.25">
      <c r="A27" s="4" t="s">
        <v>23</v>
      </c>
      <c r="B27" t="s">
        <v>277</v>
      </c>
      <c r="C27" s="17" t="s">
        <v>258</v>
      </c>
      <c r="D27" t="s">
        <v>279</v>
      </c>
    </row>
    <row r="28" spans="1:4" x14ac:dyDescent="0.25">
      <c r="A28" s="4" t="s">
        <v>24</v>
      </c>
      <c r="B28" t="s">
        <v>275</v>
      </c>
      <c r="C28" s="17" t="s">
        <v>228</v>
      </c>
      <c r="D28" t="s">
        <v>276</v>
      </c>
    </row>
    <row r="29" spans="1:4" x14ac:dyDescent="0.25">
      <c r="A29" s="4" t="s">
        <v>25</v>
      </c>
      <c r="B29" t="s">
        <v>278</v>
      </c>
      <c r="C29" s="17" t="s">
        <v>258</v>
      </c>
      <c r="D29" t="s">
        <v>279</v>
      </c>
    </row>
    <row r="30" spans="1:4" x14ac:dyDescent="0.25">
      <c r="A30" s="4" t="s">
        <v>26</v>
      </c>
      <c r="B30" t="s">
        <v>280</v>
      </c>
      <c r="C30" s="17" t="s">
        <v>258</v>
      </c>
      <c r="D30" t="s">
        <v>279</v>
      </c>
    </row>
    <row r="31" spans="1:4" x14ac:dyDescent="0.25">
      <c r="A31" s="4" t="s">
        <v>27</v>
      </c>
      <c r="B31" t="s">
        <v>281</v>
      </c>
      <c r="C31" s="17" t="s">
        <v>258</v>
      </c>
      <c r="D31" t="s">
        <v>279</v>
      </c>
    </row>
    <row r="32" spans="1:4" x14ac:dyDescent="0.25">
      <c r="A32" s="4" t="s">
        <v>28</v>
      </c>
      <c r="B32" t="s">
        <v>282</v>
      </c>
      <c r="C32" s="17" t="s">
        <v>228</v>
      </c>
      <c r="D32" t="s">
        <v>276</v>
      </c>
    </row>
    <row r="33" spans="1:4" x14ac:dyDescent="0.25">
      <c r="A33" s="4" t="s">
        <v>29</v>
      </c>
      <c r="B33" t="s">
        <v>283</v>
      </c>
      <c r="C33" s="17" t="s">
        <v>258</v>
      </c>
      <c r="D33" t="s">
        <v>279</v>
      </c>
    </row>
    <row r="34" spans="1:4" x14ac:dyDescent="0.25">
      <c r="A34" s="4" t="s">
        <v>30</v>
      </c>
      <c r="B34" t="s">
        <v>284</v>
      </c>
      <c r="C34" s="17" t="s">
        <v>258</v>
      </c>
      <c r="D34" t="s">
        <v>279</v>
      </c>
    </row>
    <row r="35" spans="1:4" x14ac:dyDescent="0.25">
      <c r="A35" s="9" t="s">
        <v>31</v>
      </c>
      <c r="B35" t="s">
        <v>285</v>
      </c>
      <c r="C35" s="17" t="s">
        <v>258</v>
      </c>
      <c r="D35" t="s">
        <v>286</v>
      </c>
    </row>
    <row r="36" spans="1:4" x14ac:dyDescent="0.25">
      <c r="A36" s="9" t="s">
        <v>32</v>
      </c>
      <c r="B36" t="s">
        <v>288</v>
      </c>
      <c r="C36" s="17" t="s">
        <v>228</v>
      </c>
      <c r="D36" t="s">
        <v>287</v>
      </c>
    </row>
    <row r="37" spans="1:4" x14ac:dyDescent="0.25">
      <c r="A37" s="8" t="s">
        <v>33</v>
      </c>
      <c r="B37" t="s">
        <v>289</v>
      </c>
      <c r="C37" s="17" t="s">
        <v>258</v>
      </c>
      <c r="D37" t="s">
        <v>279</v>
      </c>
    </row>
    <row r="38" spans="1:4" x14ac:dyDescent="0.25">
      <c r="A38" s="8" t="s">
        <v>34</v>
      </c>
      <c r="B38" t="s">
        <v>282</v>
      </c>
      <c r="C38" s="17" t="s">
        <v>228</v>
      </c>
      <c r="D38" t="s">
        <v>276</v>
      </c>
    </row>
    <row r="39" spans="1:4" x14ac:dyDescent="0.25">
      <c r="A39" s="8" t="s">
        <v>35</v>
      </c>
      <c r="B39" t="s">
        <v>290</v>
      </c>
      <c r="C39" s="17" t="s">
        <v>258</v>
      </c>
      <c r="D39" t="s">
        <v>279</v>
      </c>
    </row>
    <row r="40" spans="1:4" x14ac:dyDescent="0.25">
      <c r="A40" s="8" t="s">
        <v>36</v>
      </c>
      <c r="B40" t="s">
        <v>291</v>
      </c>
      <c r="C40" s="17" t="s">
        <v>258</v>
      </c>
      <c r="D40" t="s">
        <v>279</v>
      </c>
    </row>
    <row r="41" spans="1:4" x14ac:dyDescent="0.25">
      <c r="A41" s="8" t="s">
        <v>37</v>
      </c>
      <c r="B41" t="s">
        <v>292</v>
      </c>
      <c r="C41" s="17" t="s">
        <v>258</v>
      </c>
      <c r="D41" t="s">
        <v>279</v>
      </c>
    </row>
    <row r="42" spans="1:4" x14ac:dyDescent="0.25">
      <c r="A42" s="8" t="s">
        <v>38</v>
      </c>
      <c r="B42" t="s">
        <v>293</v>
      </c>
      <c r="C42" s="17" t="s">
        <v>258</v>
      </c>
      <c r="D42" t="s">
        <v>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d20898b-5885-4c0d-afcc-9281a2cc27ff">
      <Terms xmlns="http://schemas.microsoft.com/office/infopath/2007/PartnerControls"/>
    </lcf76f155ced4ddcb4097134ff3c332f>
    <TaxCatchAll xmlns="6fecc678-ac11-4f91-9789-3fa85fc560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BB2EDC411F44BA0D83502807E63C" ma:contentTypeVersion="17" ma:contentTypeDescription="Create a new document." ma:contentTypeScope="" ma:versionID="30d25eca8a8371d0570d99a563186d07">
  <xsd:schema xmlns:xsd="http://www.w3.org/2001/XMLSchema" xmlns:xs="http://www.w3.org/2001/XMLSchema" xmlns:p="http://schemas.microsoft.com/office/2006/metadata/properties" xmlns:ns2="7d20898b-5885-4c0d-afcc-9281a2cc27ff" xmlns:ns3="6fecc678-ac11-4f91-9789-3fa85fc56059" targetNamespace="http://schemas.microsoft.com/office/2006/metadata/properties" ma:root="true" ma:fieldsID="4109489a85a1f08d5a469b1afd5eb069" ns2:_="" ns3:_="">
    <xsd:import namespace="7d20898b-5885-4c0d-afcc-9281a2cc27ff"/>
    <xsd:import namespace="6fecc678-ac11-4f91-9789-3fa85fc56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0898b-5885-4c0d-afcc-9281a2cc2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6e284d8-895d-457e-a3e6-152496c922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cc678-ac11-4f91-9789-3fa85fc560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3ae15ad-5be8-4bac-9758-a7cdacbd56df}" ma:internalName="TaxCatchAll" ma:showField="CatchAllData" ma:web="6fecc678-ac11-4f91-9789-3fa85fc560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14ADF-F71D-4194-90A6-B6C508275170}">
  <ds:schemaRefs>
    <ds:schemaRef ds:uri="http://schemas.microsoft.com/office/2006/metadata/properties"/>
    <ds:schemaRef ds:uri="http://schemas.microsoft.com/office/infopath/2007/PartnerControls"/>
    <ds:schemaRef ds:uri="7d20898b-5885-4c0d-afcc-9281a2cc27ff"/>
    <ds:schemaRef ds:uri="6fecc678-ac11-4f91-9789-3fa85fc56059"/>
  </ds:schemaRefs>
</ds:datastoreItem>
</file>

<file path=customXml/itemProps2.xml><?xml version="1.0" encoding="utf-8"?>
<ds:datastoreItem xmlns:ds="http://schemas.openxmlformats.org/officeDocument/2006/customXml" ds:itemID="{97CBCF00-055C-426E-9EC2-3E46F07F1E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9BC374-8F8E-4FE9-ACA3-9CC1E8082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20898b-5885-4c0d-afcc-9281a2cc27ff"/>
    <ds:schemaRef ds:uri="6fecc678-ac11-4f91-9789-3fa85fc56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OPN Concentrations</vt:lpstr>
      <vt:lpstr>Variable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Fleming</dc:creator>
  <cp:keywords/>
  <dc:description/>
  <cp:lastModifiedBy>Stephen Fleming</cp:lastModifiedBy>
  <cp:revision/>
  <dcterms:created xsi:type="dcterms:W3CDTF">2023-06-01T16:51:03Z</dcterms:created>
  <dcterms:modified xsi:type="dcterms:W3CDTF">2023-12-01T14:42:46Z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0x010100ED96BB2EDC411F44BA0D83502807E63C</vt:lpwstr>
  </property>
</Properties>
</file>